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70" tabRatio="881"/>
  </bookViews>
  <sheets>
    <sheet name="１　対象経営の概要，２　前提条件" sheetId="19" r:id="rId1"/>
    <sheet name="３　きゅうり標準技術（半促成＋抑制）" sheetId="24" r:id="rId2"/>
    <sheet name="４　経営収支" sheetId="22" r:id="rId3"/>
    <sheet name="５　きゅうり作業時間" sheetId="27" r:id="rId4"/>
    <sheet name="６　固定資本装備と減価償却費" sheetId="30" r:id="rId5"/>
    <sheet name="７　きゅうり部門収支" sheetId="35" r:id="rId6"/>
    <sheet name="８　きゅうり算出基礎" sheetId="36" r:id="rId7"/>
    <sheet name="９　きゅうり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きゅうり作業時間'!$A$1:$AN$52</definedName>
    <definedName name="_xlnm.Print_Area" localSheetId="4">'６　固定資本装備と減価償却費'!$1:$38</definedName>
    <definedName name="_xlnm.Print_Area" localSheetId="5">'７　きゅうり部門収支'!$A$1:$S$37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F18" i="35" l="1"/>
  <c r="N37" i="36" l="1"/>
  <c r="N45" i="36" l="1"/>
  <c r="N38" i="36" l="1"/>
  <c r="S40" i="36"/>
  <c r="G13" i="30"/>
  <c r="V33" i="36" l="1"/>
  <c r="F23" i="35" l="1"/>
  <c r="N44" i="36" l="1"/>
  <c r="V17" i="36" l="1"/>
  <c r="V18" i="36"/>
  <c r="V19" i="36"/>
  <c r="V20" i="36"/>
  <c r="V21" i="36"/>
  <c r="V22" i="36"/>
  <c r="V23" i="36"/>
  <c r="V24" i="36"/>
  <c r="V25" i="36"/>
  <c r="K14" i="30" l="1"/>
  <c r="K13" i="30"/>
  <c r="K6" i="30"/>
  <c r="K7" i="30"/>
  <c r="K8" i="30"/>
  <c r="K5" i="30"/>
  <c r="V16" i="36"/>
  <c r="N54" i="36"/>
  <c r="N26" i="36"/>
  <c r="N11" i="36"/>
  <c r="N12" i="36"/>
  <c r="N13" i="36"/>
  <c r="N6" i="36"/>
  <c r="L10" i="36"/>
  <c r="P13" i="35"/>
  <c r="P14" i="35"/>
  <c r="P15" i="35" l="1"/>
  <c r="O20" i="42"/>
  <c r="C20" i="42"/>
  <c r="N20" i="42"/>
  <c r="M20" i="42"/>
  <c r="L20" i="42"/>
  <c r="K20" i="42"/>
  <c r="J20" i="42"/>
  <c r="I20" i="42"/>
  <c r="H20" i="42"/>
  <c r="G20" i="42"/>
  <c r="F20" i="42"/>
  <c r="E20" i="42"/>
  <c r="D20" i="42"/>
  <c r="C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V53" i="36"/>
  <c r="V47" i="36"/>
  <c r="V40" i="36"/>
  <c r="D54" i="36" l="1"/>
  <c r="D34" i="36"/>
  <c r="D36" i="36"/>
  <c r="G28" i="36" l="1"/>
  <c r="G26" i="22" l="1"/>
  <c r="F26" i="22" s="1"/>
  <c r="G27" i="22"/>
  <c r="F27" i="22" s="1"/>
  <c r="G29" i="22"/>
  <c r="F29" i="22" s="1"/>
  <c r="G14" i="22"/>
  <c r="F14" i="22" s="1"/>
  <c r="G20" i="22"/>
  <c r="F20" i="22" s="1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9" i="36"/>
  <c r="K29" i="36"/>
  <c r="N28" i="36"/>
  <c r="N27" i="36"/>
  <c r="N29" i="36" l="1"/>
  <c r="P35" i="35" s="1"/>
  <c r="N52" i="36"/>
  <c r="N48" i="36"/>
  <c r="N53" i="36"/>
  <c r="V58" i="36"/>
  <c r="V52" i="36"/>
  <c r="V46" i="36"/>
  <c r="V32" i="36"/>
  <c r="N58" i="36" l="1"/>
  <c r="V59" i="36"/>
  <c r="I7" i="30"/>
  <c r="I5" i="30"/>
  <c r="N59" i="36" l="1"/>
  <c r="L6" i="30"/>
  <c r="L7" i="30"/>
  <c r="AM50" i="27" l="1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L51" i="27" s="1"/>
  <c r="K50" i="27"/>
  <c r="J50" i="27"/>
  <c r="I50" i="27"/>
  <c r="H50" i="27"/>
  <c r="G50" i="27"/>
  <c r="F50" i="27"/>
  <c r="E50" i="27"/>
  <c r="D50" i="27"/>
  <c r="AN49" i="27"/>
  <c r="AN52" i="27"/>
  <c r="AN48" i="27"/>
  <c r="AN47" i="27"/>
  <c r="AN46" i="27"/>
  <c r="G19" i="36"/>
  <c r="G18" i="36"/>
  <c r="V10" i="36"/>
  <c r="L33" i="36"/>
  <c r="K33" i="36"/>
  <c r="L25" i="36"/>
  <c r="K25" i="36"/>
  <c r="L21" i="36"/>
  <c r="K21" i="36"/>
  <c r="N32" i="36"/>
  <c r="N31" i="36"/>
  <c r="N30" i="36"/>
  <c r="N24" i="36"/>
  <c r="N23" i="36"/>
  <c r="N22" i="36"/>
  <c r="N20" i="36"/>
  <c r="N19" i="36"/>
  <c r="N18" i="36"/>
  <c r="L17" i="36"/>
  <c r="K17" i="36"/>
  <c r="K10" i="36"/>
  <c r="N16" i="36"/>
  <c r="N15" i="36"/>
  <c r="N14" i="36"/>
  <c r="N7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V15" i="36"/>
  <c r="V14" i="36"/>
  <c r="V13" i="36"/>
  <c r="V12" i="36"/>
  <c r="V11" i="36"/>
  <c r="V9" i="36"/>
  <c r="V8" i="36"/>
  <c r="V7" i="36"/>
  <c r="V6" i="36"/>
  <c r="V5" i="36"/>
  <c r="G56" i="36"/>
  <c r="G55" i="36"/>
  <c r="G54" i="36"/>
  <c r="G52" i="36"/>
  <c r="G51" i="36"/>
  <c r="G50" i="36"/>
  <c r="G48" i="36"/>
  <c r="G40" i="36"/>
  <c r="G39" i="36"/>
  <c r="G37" i="36"/>
  <c r="G36" i="36"/>
  <c r="G30" i="36"/>
  <c r="G29" i="36"/>
  <c r="N7" i="35"/>
  <c r="N8" i="35"/>
  <c r="N9" i="35"/>
  <c r="N10" i="35"/>
  <c r="N11" i="35"/>
  <c r="R6" i="35"/>
  <c r="R7" i="35"/>
  <c r="R8" i="35"/>
  <c r="R9" i="35"/>
  <c r="N6" i="35"/>
  <c r="F6" i="35"/>
  <c r="R5" i="35"/>
  <c r="N5" i="35"/>
  <c r="I14" i="30"/>
  <c r="L14" i="30" s="1"/>
  <c r="G37" i="30"/>
  <c r="P36" i="30"/>
  <c r="P35" i="30"/>
  <c r="P34" i="30"/>
  <c r="G32" i="30"/>
  <c r="I13" i="30"/>
  <c r="G12" i="30"/>
  <c r="I8" i="30"/>
  <c r="L8" i="30" s="1"/>
  <c r="N8" i="30" s="1"/>
  <c r="AN33" i="27"/>
  <c r="AN34" i="27"/>
  <c r="AN25" i="27"/>
  <c r="AN26" i="27"/>
  <c r="AN27" i="27"/>
  <c r="AN28" i="27"/>
  <c r="AN29" i="27"/>
  <c r="AN30" i="27"/>
  <c r="AN31" i="27"/>
  <c r="AN32" i="27"/>
  <c r="AN10" i="27"/>
  <c r="AM35" i="27"/>
  <c r="AM44" i="27" s="1"/>
  <c r="AL35" i="27"/>
  <c r="AL44" i="27" s="1"/>
  <c r="AK35" i="27"/>
  <c r="AK44" i="27" s="1"/>
  <c r="AJ35" i="27"/>
  <c r="AJ44" i="27" s="1"/>
  <c r="AI35" i="27"/>
  <c r="AI44" i="27" s="1"/>
  <c r="AH35" i="27"/>
  <c r="AH44" i="27" s="1"/>
  <c r="AG35" i="27"/>
  <c r="AG44" i="27" s="1"/>
  <c r="AF35" i="27"/>
  <c r="AF44" i="27" s="1"/>
  <c r="AE35" i="27"/>
  <c r="AE44" i="27" s="1"/>
  <c r="AD35" i="27"/>
  <c r="AD44" i="27" s="1"/>
  <c r="AC35" i="27"/>
  <c r="AC44" i="27" s="1"/>
  <c r="AB35" i="27"/>
  <c r="AB44" i="27" s="1"/>
  <c r="AA35" i="27"/>
  <c r="AA44" i="27" s="1"/>
  <c r="Z35" i="27"/>
  <c r="Z44" i="27" s="1"/>
  <c r="Y35" i="27"/>
  <c r="Y44" i="27" s="1"/>
  <c r="X35" i="27"/>
  <c r="X44" i="27" s="1"/>
  <c r="W35" i="27"/>
  <c r="W44" i="27" s="1"/>
  <c r="V35" i="27"/>
  <c r="V44" i="27" s="1"/>
  <c r="U35" i="27"/>
  <c r="U44" i="27" s="1"/>
  <c r="T35" i="27"/>
  <c r="T44" i="27" s="1"/>
  <c r="S35" i="27"/>
  <c r="S44" i="27" s="1"/>
  <c r="R35" i="27"/>
  <c r="R44" i="27" s="1"/>
  <c r="Q35" i="27"/>
  <c r="Q44" i="27" s="1"/>
  <c r="P35" i="27"/>
  <c r="P44" i="27" s="1"/>
  <c r="O35" i="27"/>
  <c r="O44" i="27" s="1"/>
  <c r="N35" i="27"/>
  <c r="N44" i="27" s="1"/>
  <c r="M35" i="27"/>
  <c r="M44" i="27" s="1"/>
  <c r="L35" i="27"/>
  <c r="L44" i="27" s="1"/>
  <c r="K35" i="27"/>
  <c r="K44" i="27" s="1"/>
  <c r="J35" i="27"/>
  <c r="J44" i="27" s="1"/>
  <c r="I35" i="27"/>
  <c r="I44" i="27" s="1"/>
  <c r="H35" i="27"/>
  <c r="H44" i="27" s="1"/>
  <c r="G35" i="27"/>
  <c r="G44" i="27" s="1"/>
  <c r="F35" i="27"/>
  <c r="F44" i="27" s="1"/>
  <c r="E35" i="27"/>
  <c r="E44" i="27" s="1"/>
  <c r="D35" i="27"/>
  <c r="D44" i="27" s="1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V28" i="36" l="1"/>
  <c r="F10" i="35" s="1"/>
  <c r="G12" i="22" s="1"/>
  <c r="F12" i="22" s="1"/>
  <c r="P8" i="30"/>
  <c r="N17" i="36"/>
  <c r="P31" i="35" s="1"/>
  <c r="N10" i="36"/>
  <c r="P30" i="35" s="1"/>
  <c r="N33" i="36"/>
  <c r="P36" i="35" s="1"/>
  <c r="F21" i="35"/>
  <c r="G23" i="22" s="1"/>
  <c r="F23" i="22" s="1"/>
  <c r="F22" i="35"/>
  <c r="G24" i="22" s="1"/>
  <c r="F24" i="22" s="1"/>
  <c r="G8" i="22"/>
  <c r="F8" i="22" s="1"/>
  <c r="G33" i="22"/>
  <c r="F33" i="22" s="1"/>
  <c r="L37" i="22"/>
  <c r="I37" i="30"/>
  <c r="L5" i="30"/>
  <c r="N5" i="30" s="1"/>
  <c r="P5" i="30" s="1"/>
  <c r="S51" i="27"/>
  <c r="G51" i="27"/>
  <c r="K51" i="27"/>
  <c r="O51" i="27"/>
  <c r="W51" i="27"/>
  <c r="AE51" i="27"/>
  <c r="AI51" i="27"/>
  <c r="AM51" i="27"/>
  <c r="N51" i="27"/>
  <c r="V51" i="27"/>
  <c r="AD51" i="27"/>
  <c r="AH51" i="27"/>
  <c r="E51" i="27"/>
  <c r="M51" i="27"/>
  <c r="U51" i="27"/>
  <c r="Y51" i="27"/>
  <c r="AG51" i="27"/>
  <c r="AK51" i="27"/>
  <c r="F51" i="27"/>
  <c r="J51" i="27"/>
  <c r="R51" i="27"/>
  <c r="Z51" i="27"/>
  <c r="AL51" i="27"/>
  <c r="I51" i="27"/>
  <c r="Q51" i="27"/>
  <c r="AC51" i="27"/>
  <c r="T51" i="27"/>
  <c r="AF51" i="27"/>
  <c r="AA51" i="27"/>
  <c r="X51" i="27"/>
  <c r="P51" i="27"/>
  <c r="H51" i="27"/>
  <c r="AJ51" i="27"/>
  <c r="AB51" i="27"/>
  <c r="D51" i="27"/>
  <c r="AN50" i="27"/>
  <c r="K36" i="27"/>
  <c r="H36" i="27"/>
  <c r="G20" i="36"/>
  <c r="P20" i="35" s="1"/>
  <c r="R11" i="35"/>
  <c r="V36" i="36"/>
  <c r="F11" i="35" s="1"/>
  <c r="G13" i="22" s="1"/>
  <c r="F13" i="22" s="1"/>
  <c r="N21" i="36"/>
  <c r="P33" i="35" s="1"/>
  <c r="N25" i="36"/>
  <c r="P34" i="35" s="1"/>
  <c r="G7" i="36"/>
  <c r="P17" i="35" s="1"/>
  <c r="G11" i="36"/>
  <c r="P18" i="35" s="1"/>
  <c r="G16" i="36"/>
  <c r="P19" i="35" s="1"/>
  <c r="G24" i="36"/>
  <c r="P21" i="35" s="1"/>
  <c r="G53" i="36"/>
  <c r="P26" i="35" s="1"/>
  <c r="G57" i="36"/>
  <c r="P27" i="35" s="1"/>
  <c r="G49" i="36"/>
  <c r="P25" i="35" s="1"/>
  <c r="G38" i="36"/>
  <c r="P24" i="35" s="1"/>
  <c r="I32" i="30"/>
  <c r="G38" i="30"/>
  <c r="I12" i="30"/>
  <c r="N7" i="30"/>
  <c r="P7" i="30" s="1"/>
  <c r="N6" i="30"/>
  <c r="P6" i="30" s="1"/>
  <c r="L13" i="30"/>
  <c r="AN35" i="27"/>
  <c r="T36" i="27"/>
  <c r="T45" i="27" s="1"/>
  <c r="AF36" i="27"/>
  <c r="AF45" i="27" s="1"/>
  <c r="W36" i="27"/>
  <c r="W45" i="27" s="1"/>
  <c r="AI36" i="27"/>
  <c r="AI45" i="27" s="1"/>
  <c r="AL36" i="27"/>
  <c r="AL45" i="27" s="1"/>
  <c r="AN36" i="27"/>
  <c r="E36" i="27"/>
  <c r="E45" i="27" s="1"/>
  <c r="Q36" i="27"/>
  <c r="Q45" i="27" s="1"/>
  <c r="AC36" i="27"/>
  <c r="AC45" i="27" s="1"/>
  <c r="N36" i="27"/>
  <c r="N45" i="27" s="1"/>
  <c r="Z36" i="27"/>
  <c r="Z45" i="27" s="1"/>
  <c r="P32" i="35" l="1"/>
  <c r="P37" i="35" s="1"/>
  <c r="F9" i="35" s="1"/>
  <c r="P28" i="35"/>
  <c r="F8" i="35" s="1"/>
  <c r="G10" i="22" s="1"/>
  <c r="F10" i="22" s="1"/>
  <c r="P22" i="35"/>
  <c r="F7" i="35" s="1"/>
  <c r="G9" i="22" s="1"/>
  <c r="F9" i="22" s="1"/>
  <c r="G25" i="22"/>
  <c r="F25" i="22" s="1"/>
  <c r="F4" i="35"/>
  <c r="G5" i="22" s="1"/>
  <c r="F5" i="22" s="1"/>
  <c r="P12" i="30"/>
  <c r="F15" i="35" s="1"/>
  <c r="G17" i="22" s="1"/>
  <c r="F17" i="22" s="1"/>
  <c r="F26" i="35"/>
  <c r="L12" i="30"/>
  <c r="F13" i="35" s="1"/>
  <c r="G15" i="22" s="1"/>
  <c r="F15" i="22" s="1"/>
  <c r="AN51" i="27"/>
  <c r="K45" i="27"/>
  <c r="H45" i="27"/>
  <c r="AN44" i="27"/>
  <c r="Q11" i="35"/>
  <c r="I38" i="30"/>
  <c r="L32" i="30"/>
  <c r="F14" i="35" s="1"/>
  <c r="G16" i="22" s="1"/>
  <c r="F16" i="22" s="1"/>
  <c r="N13" i="30"/>
  <c r="P13" i="30" s="1"/>
  <c r="L37" i="30"/>
  <c r="P33" i="30"/>
  <c r="P37" i="30" s="1"/>
  <c r="F17" i="35" s="1"/>
  <c r="G19" i="22" s="1"/>
  <c r="F19" i="22" s="1"/>
  <c r="N14" i="30"/>
  <c r="P14" i="30" s="1"/>
  <c r="G11" i="22" l="1"/>
  <c r="F11" i="22" s="1"/>
  <c r="P32" i="30"/>
  <c r="F16" i="35" s="1"/>
  <c r="G18" i="22" s="1"/>
  <c r="F18" i="22" s="1"/>
  <c r="G28" i="22"/>
  <c r="F28" i="22" s="1"/>
  <c r="F28" i="35"/>
  <c r="G30" i="22" s="1"/>
  <c r="F30" i="22" s="1"/>
  <c r="L38" i="30"/>
  <c r="AN45" i="27"/>
  <c r="I37" i="22" s="1"/>
  <c r="G37" i="22" s="1"/>
  <c r="F37" i="22" s="1"/>
  <c r="F19" i="35" l="1"/>
  <c r="F29" i="35"/>
  <c r="G31" i="22" s="1"/>
  <c r="F31" i="22" s="1"/>
  <c r="F32" i="22" s="1"/>
  <c r="P38" i="30"/>
  <c r="G7" i="22"/>
  <c r="F30" i="35" l="1"/>
  <c r="G21" i="22"/>
  <c r="F21" i="22" s="1"/>
  <c r="F22" i="22" s="1"/>
  <c r="F34" i="22" s="1"/>
  <c r="F7" i="22"/>
  <c r="F35" i="22" l="1"/>
  <c r="F20" i="35"/>
  <c r="G22" i="22"/>
  <c r="F38" i="22" l="1"/>
  <c r="F36" i="22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<sst xmlns="http://schemas.openxmlformats.org/spreadsheetml/2006/main" count="735" uniqueCount="459">
  <si>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</si>
  <si>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</si>
  <si>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</si>
  <si>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</si>
  <si>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</si>
  <si>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</si>
  <si>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</si>
  <si>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</si>
  <si>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</si>
  <si>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</si>
  <si>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</si>
  <si>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</si>
  <si>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</si>
  <si>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</si>
  <si>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</si>
  <si>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</si>
  <si>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</si>
  <si>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</si>
  <si>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</si>
  <si>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</si>
  <si>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</si>
  <si>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</si>
  <si>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</si>
  <si>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</si>
  <si>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</si>
  <si>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</si>
  <si>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</si>
  <si>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</si>
  <si>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</si>
  <si>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</si>
  <si>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</si>
  <si>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</si>
  <si>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</si>
  <si>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</si>
  <si>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</si>
  <si>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</si>
  <si>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</si>
  <si>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</si>
  <si>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</si>
  <si>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</si>
  <si>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</si>
  <si>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</si>
  <si>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</si>
  <si>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</si>
  <si>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</si>
  <si>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</si>
  <si>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</si>
  <si>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</si>
  <si>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</si>
  <si>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</si>
  <si>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</si>
  <si>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</si>
  <si>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</si>
  <si>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</si>
  <si>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</si>
  <si>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</si>
  <si>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</si>
  <si>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</si>
  <si>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</si>
  <si>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</si>
  <si>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</si>
  <si>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</si>
  <si>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</si>
  <si>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</si>
  <si>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</si>
  <si>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</si>
  <si>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</si>
  <si>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</si>
  <si>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</si>
  <si>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</si>
  <si>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</si>
  <si>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</si>
  <si>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</si>
  <si>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</si>
  <si>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</si>
  <si>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</si>
  <si>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</si>
  <si>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</si>
  <si>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</si>
  <si>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</si>
  <si>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</si>
  <si>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</si>
  <si>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</si>
  <si>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</si>
  <si>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</si>
  <si>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</si>
  <si>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</si>
  <si>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</si>
  <si>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</si>
  <si>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</si>
  <si>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</si>
  <si>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</si>
  <si>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</si>
  <si>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</si>
  <si>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</si>
  <si>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</si>
  <si>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</si>
  <si>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</si>
  <si>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</si>
  <si>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</si>
  <si>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</si>
  <si>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</si>
  <si>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</si>
  <si>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</si>
  <si>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</si>
  <si>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</si>
  <si>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</si>
  <si>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</si>
  <si>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</si>
  <si>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</si>
  <si>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</si>
  <si>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</si>
  <si>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</si>
  <si>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</si>
  <si>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</si>
  <si>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</si>
  <si>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</si>
  <si>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</si>
  <si>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</si>
  <si>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</si>
  <si>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</si>
  <si>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</si>
  <si>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</si>
  <si>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</si>
  <si>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</si>
  <si>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</si>
  <si>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</si>
  <si>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</si>
  <si>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</si>
  <si>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</si>
  <si>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</si>
  <si>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</si>
  <si>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</si>
  <si>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</si>
  <si>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</si>
  <si>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</si>
  <si>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</si>
  <si>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</si>
  <si>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</si>
  <si>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</si>
  <si>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</si>
  <si>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</si>
  <si>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</si>
  <si>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</si>
  <si>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</si>
  <si>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</si>
  <si>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</si>
  <si>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</si>
  <si>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</si>
  <si>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</si>
  <si>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</si>
  <si>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</si>
  <si>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</si>
  <si>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</si>
  <si>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</si>
  <si>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</si>
  <si>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</si>
  <si>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</si>
  <si>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</si>
  <si>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</si>
  <si>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</si>
  <si>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</si>
  <si>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</si>
  <si>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</si>
  <si>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</si>
  <si>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</si>
  <si>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</si>
  <si>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</si>
  <si>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</si>
  <si>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</si>
  <si>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</si>
  <si>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</si>
  <si>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</si>
  <si>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</si>
  <si>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</si>
  <si>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</si>
  <si>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</si>
  <si>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</si>
  <si>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</si>
  <si>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</si>
  <si>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</si>
  <si>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</si>
  <si>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</si>
  <si>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</si>
  <si>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</si>
  <si>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</si>
  <si>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</si>
  <si>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</si>
  <si>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</si>
  <si>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</si>
  <si>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</si>
  <si>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</si>
  <si>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</si>
  <si>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</si>
  <si>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</si>
  <si>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</si>
  <si>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</si>
  <si>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</si>
  <si>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</si>
  <si>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</si>
  <si>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</si>
  <si>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</si>
  <si>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</si>
  <si>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</si>
  <si>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</si>
  <si>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</si>
  <si>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</si>
  <si>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</si>
  <si>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</si>
  <si>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</si>
  <si>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</si>
  <si>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</si>
  <si>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</si>
  <si>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</si>
  <si>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</si>
  <si>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</si>
  <si>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</si>
  <si>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</si>
  <si>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</si>
  <si>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</si>
  <si>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</si>
  <si>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</si>
  <si>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</si>
  <si>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〃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</si>
  <si>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</si>
  <si>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</si>
  <si>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</si>
  <si>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</si>
  <si>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</si>
  <si>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</si>
  <si>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</si>
  <si>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</si>
  <si>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</si>
  <si>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</si>
  <si>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</si>
  <si>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</si>
  <si>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</si>
  <si>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</si>
  <si>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</si>
  <si>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</si>
  <si>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</si>
  <si>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</si>
  <si>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</si>
  <si>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</si>
  <si>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</si>
  <si>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</si>
  <si>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</si>
  <si>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</si>
  <si>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</si>
  <si>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</si>
  <si>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</si>
  <si>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</si>
  <si>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</si>
  <si>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</si>
  <si>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</si>
  <si>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</si>
  <si>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</si>
  <si>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</si>
  <si>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</si>
  <si>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</si>
  <si>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</si>
  <si>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</si>
  <si>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きゅうり</t>
    <phoneticPr fontId="3"/>
  </si>
  <si>
    <t>半促成＋抑制</t>
    <rPh sb="0" eb="1">
      <t>ハン</t>
    </rPh>
    <rPh sb="1" eb="3">
      <t>ソクセイ</t>
    </rPh>
    <rPh sb="4" eb="6">
      <t>ヨクセイ</t>
    </rPh>
    <phoneticPr fontId="3"/>
  </si>
  <si>
    <t>きゅうり（半促成）</t>
    <rPh sb="5" eb="6">
      <t>ハン</t>
    </rPh>
    <rPh sb="6" eb="8">
      <t>ソクセイ</t>
    </rPh>
    <phoneticPr fontId="3"/>
  </si>
  <si>
    <t>きゅうり（抑制）</t>
    <rPh sb="5" eb="7">
      <t>ヨクセイ</t>
    </rPh>
    <phoneticPr fontId="3"/>
  </si>
  <si>
    <t>○</t>
    <phoneticPr fontId="3"/>
  </si>
  <si>
    <t>△</t>
    <phoneticPr fontId="3"/>
  </si>
  <si>
    <t>×</t>
    <phoneticPr fontId="3"/>
  </si>
  <si>
    <t>○</t>
    <phoneticPr fontId="3"/>
  </si>
  <si>
    <t>×</t>
    <phoneticPr fontId="3"/>
  </si>
  <si>
    <t>砂質土</t>
    <rPh sb="0" eb="3">
      <t>サシツド</t>
    </rPh>
    <phoneticPr fontId="3"/>
  </si>
  <si>
    <t>半促成　「ハイグリーン21」（台木：トキワパワーＺ）
抑　制　「エクセレント２号」（台木：ゆうゆう一輝（黒））</t>
    <rPh sb="0" eb="1">
      <t>ハン</t>
    </rPh>
    <rPh sb="1" eb="3">
      <t>ソクセイ</t>
    </rPh>
    <rPh sb="15" eb="17">
      <t>ダイギ</t>
    </rPh>
    <rPh sb="27" eb="28">
      <t>ヨク</t>
    </rPh>
    <rPh sb="29" eb="30">
      <t>セイ</t>
    </rPh>
    <rPh sb="39" eb="40">
      <t>ゴウ</t>
    </rPh>
    <rPh sb="42" eb="44">
      <t>ダイギ</t>
    </rPh>
    <rPh sb="49" eb="51">
      <t>イッキ</t>
    </rPh>
    <rPh sb="52" eb="53">
      <t>クロ</t>
    </rPh>
    <phoneticPr fontId="3"/>
  </si>
  <si>
    <t>きゅうり</t>
    <phoneticPr fontId="4"/>
  </si>
  <si>
    <t>育苗</t>
    <rPh sb="0" eb="2">
      <t>イクビョウ</t>
    </rPh>
    <phoneticPr fontId="4"/>
  </si>
  <si>
    <t>ハウス準備</t>
    <rPh sb="3" eb="5">
      <t>ジュンビ</t>
    </rPh>
    <phoneticPr fontId="4"/>
  </si>
  <si>
    <t>定植</t>
    <rPh sb="0" eb="2">
      <t>テイショク</t>
    </rPh>
    <phoneticPr fontId="4"/>
  </si>
  <si>
    <t>ハウス管理</t>
    <rPh sb="3" eb="5">
      <t>カンリ</t>
    </rPh>
    <phoneticPr fontId="4"/>
  </si>
  <si>
    <t>栽培管理</t>
    <rPh sb="0" eb="2">
      <t>サイバイ</t>
    </rPh>
    <rPh sb="2" eb="4">
      <t>カンリ</t>
    </rPh>
    <phoneticPr fontId="4"/>
  </si>
  <si>
    <t>かん水・追肥</t>
    <rPh sb="2" eb="3">
      <t>スイ</t>
    </rPh>
    <rPh sb="4" eb="6">
      <t>ツイヒ</t>
    </rPh>
    <phoneticPr fontId="4"/>
  </si>
  <si>
    <t>病害虫防除</t>
    <rPh sb="0" eb="2">
      <t>ビョウガイ</t>
    </rPh>
    <rPh sb="2" eb="3">
      <t>チュウ</t>
    </rPh>
    <rPh sb="3" eb="5">
      <t>ボウジョ</t>
    </rPh>
    <phoneticPr fontId="4"/>
  </si>
  <si>
    <t>収穫・調製・出荷</t>
    <rPh sb="0" eb="2">
      <t>シュウカク</t>
    </rPh>
    <rPh sb="3" eb="5">
      <t>チョウセイ</t>
    </rPh>
    <rPh sb="6" eb="8">
      <t>シュッカ</t>
    </rPh>
    <phoneticPr fontId="4"/>
  </si>
  <si>
    <t>後片付け</t>
    <rPh sb="0" eb="3">
      <t>アトカタヅ</t>
    </rPh>
    <phoneticPr fontId="4"/>
  </si>
  <si>
    <t>内張ビニール</t>
    <rPh sb="0" eb="1">
      <t>ウチ</t>
    </rPh>
    <rPh sb="1" eb="2">
      <t>ハ</t>
    </rPh>
    <phoneticPr fontId="4"/>
  </si>
  <si>
    <t>支柱</t>
    <rPh sb="0" eb="2">
      <t>シチュウ</t>
    </rPh>
    <phoneticPr fontId="4"/>
  </si>
  <si>
    <t>トンネルポリ</t>
    <phoneticPr fontId="4"/>
  </si>
  <si>
    <t>寒冷紗</t>
    <rPh sb="0" eb="3">
      <t>カンレイシャ</t>
    </rPh>
    <phoneticPr fontId="4"/>
  </si>
  <si>
    <t>コンテナ</t>
    <phoneticPr fontId="4"/>
  </si>
  <si>
    <t>番線</t>
    <rPh sb="0" eb="2">
      <t>バンセン</t>
    </rPh>
    <phoneticPr fontId="4"/>
  </si>
  <si>
    <t>マイカー線</t>
    <rPh sb="4" eb="5">
      <t>セン</t>
    </rPh>
    <phoneticPr fontId="4"/>
  </si>
  <si>
    <t>ダンポール</t>
    <phoneticPr fontId="4"/>
  </si>
  <si>
    <t>平成21年</t>
  </si>
  <si>
    <t>平成22年</t>
  </si>
  <si>
    <t>平成23年</t>
  </si>
  <si>
    <t>平成24年</t>
  </si>
  <si>
    <t>平成25年</t>
  </si>
  <si>
    <t>本（2L）</t>
    <phoneticPr fontId="4"/>
  </si>
  <si>
    <t>ハウス準備</t>
    <rPh sb="3" eb="5">
      <t>ジュンビ</t>
    </rPh>
    <phoneticPr fontId="4"/>
  </si>
  <si>
    <t>耕起・整地</t>
    <rPh sb="0" eb="1">
      <t>コウ</t>
    </rPh>
    <rPh sb="1" eb="2">
      <t>キ</t>
    </rPh>
    <rPh sb="3" eb="5">
      <t>セイチ</t>
    </rPh>
    <phoneticPr fontId="4"/>
  </si>
  <si>
    <t>定植</t>
    <rPh sb="0" eb="2">
      <t>テイショク</t>
    </rPh>
    <phoneticPr fontId="4"/>
  </si>
  <si>
    <t>ハウス管理</t>
    <rPh sb="3" eb="5">
      <t>カンリ</t>
    </rPh>
    <phoneticPr fontId="4"/>
  </si>
  <si>
    <t>誘引・整枝</t>
    <rPh sb="0" eb="2">
      <t>ユウイン</t>
    </rPh>
    <rPh sb="3" eb="5">
      <t>セイシ</t>
    </rPh>
    <phoneticPr fontId="4"/>
  </si>
  <si>
    <t>かん水・追肥</t>
    <rPh sb="2" eb="3">
      <t>スイ</t>
    </rPh>
    <rPh sb="4" eb="6">
      <t>ツイヒ</t>
    </rPh>
    <phoneticPr fontId="4"/>
  </si>
  <si>
    <t>薬剤散布</t>
    <rPh sb="0" eb="2">
      <t>ヤクザイ</t>
    </rPh>
    <rPh sb="2" eb="4">
      <t>サンプ</t>
    </rPh>
    <phoneticPr fontId="4"/>
  </si>
  <si>
    <t>収穫</t>
    <rPh sb="0" eb="2">
      <t>シュウカク</t>
    </rPh>
    <phoneticPr fontId="4"/>
  </si>
  <si>
    <t>後片付け</t>
    <rPh sb="0" eb="3">
      <t>アトカタヅ</t>
    </rPh>
    <phoneticPr fontId="4"/>
  </si>
  <si>
    <t>黒マルチ</t>
    <rPh sb="0" eb="1">
      <t>クロ</t>
    </rPh>
    <phoneticPr fontId="4"/>
  </si>
  <si>
    <t>トラクター（ロータリー)</t>
  </si>
  <si>
    <t>潅水ポンプ</t>
  </si>
  <si>
    <t>資材･農機具庫</t>
  </si>
  <si>
    <t>育苗ハウス</t>
  </si>
  <si>
    <t>きゅうり</t>
    <phoneticPr fontId="4"/>
  </si>
  <si>
    <t>本</t>
    <phoneticPr fontId="4"/>
  </si>
  <si>
    <t>缶</t>
    <rPh sb="0" eb="1">
      <t>カン</t>
    </rPh>
    <phoneticPr fontId="4"/>
  </si>
  <si>
    <t>半促成＋抑制</t>
    <rPh sb="0" eb="1">
      <t>ハン</t>
    </rPh>
    <rPh sb="1" eb="3">
      <t>ソクセイ</t>
    </rPh>
    <rPh sb="4" eb="6">
      <t>ヨクセイ</t>
    </rPh>
    <phoneticPr fontId="4"/>
  </si>
  <si>
    <t>７　経営収支（きゅうり部門，10a当たり）</t>
    <rPh sb="11" eb="13">
      <t>ブモン</t>
    </rPh>
    <rPh sb="12" eb="13">
      <t>モン</t>
    </rPh>
    <rPh sb="17" eb="18">
      <t>ア</t>
    </rPh>
    <phoneticPr fontId="4"/>
  </si>
  <si>
    <t>９　単価の算出基礎（きゅうり，1kg当たり）</t>
    <rPh sb="2" eb="4">
      <t>タンカ</t>
    </rPh>
    <phoneticPr fontId="4"/>
  </si>
  <si>
    <t>８　経費の算出基礎（きゅうり，10a当たり）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</si>
  <si>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外張ビニール</t>
    <rPh sb="0" eb="1">
      <t>ソト</t>
    </rPh>
    <rPh sb="1" eb="2">
      <t>ハリ</t>
    </rPh>
    <phoneticPr fontId="4"/>
  </si>
  <si>
    <t>５　作業別・旬別作業時間（きゅうり）</t>
    <phoneticPr fontId="4"/>
  </si>
  <si>
    <t>10種類</t>
    <phoneticPr fontId="4"/>
  </si>
  <si>
    <t>9種類</t>
    <phoneticPr fontId="4"/>
  </si>
  <si>
    <t>1種類</t>
    <phoneticPr fontId="4"/>
  </si>
  <si>
    <t>2種類</t>
    <phoneticPr fontId="4"/>
  </si>
  <si>
    <t>1種類</t>
    <phoneticPr fontId="4"/>
  </si>
  <si>
    <t>1種類</t>
    <phoneticPr fontId="4"/>
  </si>
  <si>
    <t>きゅうり種子</t>
    <rPh sb="4" eb="6">
      <t>シュシ</t>
    </rPh>
    <phoneticPr fontId="4"/>
  </si>
  <si>
    <t>（350粒/缶）</t>
    <rPh sb="4" eb="5">
      <t>ツブ</t>
    </rPh>
    <rPh sb="6" eb="7">
      <t>カン</t>
    </rPh>
    <phoneticPr fontId="4"/>
  </si>
  <si>
    <t>台木種子</t>
    <rPh sb="0" eb="2">
      <t>ダイギ</t>
    </rPh>
    <rPh sb="2" eb="4">
      <t>シュシ</t>
    </rPh>
    <phoneticPr fontId="4"/>
  </si>
  <si>
    <t>育苗箱</t>
    <rPh sb="0" eb="2">
      <t>イクビョウ</t>
    </rPh>
    <rPh sb="2" eb="3">
      <t>バコ</t>
    </rPh>
    <phoneticPr fontId="4"/>
  </si>
  <si>
    <t>接木クリップ</t>
    <rPh sb="0" eb="2">
      <t>ツギキ</t>
    </rPh>
    <phoneticPr fontId="4"/>
  </si>
  <si>
    <t>用土（JAの土）</t>
    <rPh sb="0" eb="1">
      <t>ヨウ</t>
    </rPh>
    <rPh sb="1" eb="2">
      <t>ド</t>
    </rPh>
    <rPh sb="6" eb="7">
      <t>ツチ</t>
    </rPh>
    <phoneticPr fontId="4"/>
  </si>
  <si>
    <t>用土（マサ土）</t>
    <rPh sb="0" eb="2">
      <t>ヨウド</t>
    </rPh>
    <rPh sb="5" eb="6">
      <t>ツチ</t>
    </rPh>
    <phoneticPr fontId="4"/>
  </si>
  <si>
    <t>温床線</t>
    <rPh sb="0" eb="2">
      <t>オンショウ</t>
    </rPh>
    <rPh sb="2" eb="3">
      <t>セン</t>
    </rPh>
    <phoneticPr fontId="4"/>
  </si>
  <si>
    <t>土壌消毒（トラクター）</t>
    <rPh sb="0" eb="2">
      <t>ドジョウ</t>
    </rPh>
    <rPh sb="2" eb="4">
      <t>ショウドク</t>
    </rPh>
    <phoneticPr fontId="4"/>
  </si>
  <si>
    <t>耕起・整地（トラクター）</t>
    <rPh sb="0" eb="1">
      <t>コウ</t>
    </rPh>
    <rPh sb="1" eb="2">
      <t>キ</t>
    </rPh>
    <rPh sb="3" eb="5">
      <t>セイチ</t>
    </rPh>
    <phoneticPr fontId="4"/>
  </si>
  <si>
    <t>後片付け（トラクター）</t>
    <rPh sb="0" eb="3">
      <t>アトカタヅ</t>
    </rPh>
    <phoneticPr fontId="4"/>
  </si>
  <si>
    <t>3作業</t>
    <rPh sb="1" eb="3">
      <t>サギョウ</t>
    </rPh>
    <phoneticPr fontId="4"/>
  </si>
  <si>
    <t>堆肥・肥料運搬（軽トラック）</t>
    <rPh sb="0" eb="2">
      <t>タイヒ</t>
    </rPh>
    <rPh sb="3" eb="5">
      <t>ヒリョウ</t>
    </rPh>
    <rPh sb="5" eb="7">
      <t>ウンパン</t>
    </rPh>
    <rPh sb="8" eb="9">
      <t>ケイ</t>
    </rPh>
    <phoneticPr fontId="4"/>
  </si>
  <si>
    <t>定植（軽トラック）</t>
    <rPh sb="0" eb="2">
      <t>テイショク</t>
    </rPh>
    <rPh sb="3" eb="4">
      <t>ケイ</t>
    </rPh>
    <phoneticPr fontId="4"/>
  </si>
  <si>
    <t>病害虫防除（軽トラック）</t>
    <rPh sb="0" eb="3">
      <t>ビョウガイチュウ</t>
    </rPh>
    <rPh sb="3" eb="5">
      <t>ボウジョ</t>
    </rPh>
    <rPh sb="6" eb="7">
      <t>ケイ</t>
    </rPh>
    <phoneticPr fontId="4"/>
  </si>
  <si>
    <t>収穫，出荷（軽トラック）</t>
    <rPh sb="0" eb="2">
      <t>シュウカク</t>
    </rPh>
    <rPh sb="3" eb="5">
      <t>シュッカ</t>
    </rPh>
    <rPh sb="6" eb="7">
      <t>ケイ</t>
    </rPh>
    <phoneticPr fontId="4"/>
  </si>
  <si>
    <t>暖房（暖房機）</t>
    <rPh sb="0" eb="2">
      <t>ダンボウ</t>
    </rPh>
    <rPh sb="3" eb="5">
      <t>ダンボウ</t>
    </rPh>
    <rPh sb="5" eb="6">
      <t>キ</t>
    </rPh>
    <phoneticPr fontId="4"/>
  </si>
  <si>
    <t>育苗（電熱温床）</t>
    <rPh sb="0" eb="2">
      <t>イクビョウ</t>
    </rPh>
    <rPh sb="3" eb="5">
      <t>デンネツ</t>
    </rPh>
    <rPh sb="5" eb="7">
      <t>オンショウ</t>
    </rPh>
    <phoneticPr fontId="4"/>
  </si>
  <si>
    <t>潅水・追肥（潅水ポンプ）</t>
    <rPh sb="0" eb="2">
      <t>カンスイ</t>
    </rPh>
    <rPh sb="3" eb="5">
      <t>ツイヒ</t>
    </rPh>
    <rPh sb="6" eb="8">
      <t>カンスイ</t>
    </rPh>
    <phoneticPr fontId="4"/>
  </si>
  <si>
    <t>畦立て（管理機）</t>
    <rPh sb="0" eb="1">
      <t>ウネ</t>
    </rPh>
    <rPh sb="1" eb="2">
      <t>タ</t>
    </rPh>
    <rPh sb="4" eb="6">
      <t>カンリ</t>
    </rPh>
    <rPh sb="6" eb="7">
      <t>キ</t>
    </rPh>
    <phoneticPr fontId="4"/>
  </si>
  <si>
    <t>病害虫防除（動力噴霧器）</t>
    <rPh sb="0" eb="3">
      <t>ビョウガイチュウ</t>
    </rPh>
    <rPh sb="3" eb="5">
      <t>ボウジョ</t>
    </rPh>
    <rPh sb="6" eb="11">
      <t>ドウリョクフンムキ</t>
    </rPh>
    <phoneticPr fontId="4"/>
  </si>
  <si>
    <t>10a機械</t>
  </si>
  <si>
    <t>ℓ・kw／時</t>
    <rPh sb="5" eb="6">
      <t>ジ</t>
    </rPh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</si>
  <si>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</si>
  <si>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</si>
  <si>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2作業</t>
    <rPh sb="1" eb="3">
      <t>サギョウ</t>
    </rPh>
    <phoneticPr fontId="4"/>
  </si>
  <si>
    <t>軽トラック</t>
    <rPh sb="0" eb="1">
      <t>ケイ</t>
    </rPh>
    <phoneticPr fontId="4"/>
  </si>
  <si>
    <t>殺菌剤　　　10種類
殺虫剤　　　9種類</t>
    <phoneticPr fontId="4"/>
  </si>
  <si>
    <t xml:space="preserve">
9月下旬</t>
    <rPh sb="2" eb="3">
      <t>ガツ</t>
    </rPh>
    <rPh sb="3" eb="5">
      <t>ゲジュン</t>
    </rPh>
    <phoneticPr fontId="4"/>
  </si>
  <si>
    <r>
      <t xml:space="preserve">2月中旬
</t>
    </r>
    <r>
      <rPr>
        <sz val="11"/>
        <rFont val="ＭＳ Ｐゴシック"/>
        <family val="3"/>
        <charset val="128"/>
      </rPr>
      <t>9月中旬</t>
    </r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</si>
  <si>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2月中旬～7月上旬
9月中旬～1月上旬</t>
    <rPh sb="1" eb="2">
      <t>ガツ</t>
    </rPh>
    <rPh sb="2" eb="4">
      <t>チュウジュン</t>
    </rPh>
    <rPh sb="6" eb="7">
      <t>ガツ</t>
    </rPh>
    <rPh sb="7" eb="9">
      <t>ジョウジュン</t>
    </rPh>
    <rPh sb="11" eb="12">
      <t>ガツ</t>
    </rPh>
    <rPh sb="12" eb="14">
      <t>チュウジュン</t>
    </rPh>
    <rPh sb="16" eb="17">
      <t>ガツ</t>
    </rPh>
    <rPh sb="17" eb="19">
      <t>ジョウジュン</t>
    </rPh>
    <phoneticPr fontId="4"/>
  </si>
  <si>
    <t>7月上旬
2月</t>
    <rPh sb="1" eb="2">
      <t>ガツ</t>
    </rPh>
    <rPh sb="2" eb="4">
      <t>ジョウジュン</t>
    </rPh>
    <rPh sb="6" eb="7">
      <t>ガツ</t>
    </rPh>
    <phoneticPr fontId="4"/>
  </si>
  <si>
    <t>3月中旬～7月上旬
10月上旬～1月上旬</t>
    <rPh sb="1" eb="2">
      <t>ガツ</t>
    </rPh>
    <rPh sb="2" eb="4">
      <t>チュウジュン</t>
    </rPh>
    <rPh sb="6" eb="7">
      <t>ガツ</t>
    </rPh>
    <rPh sb="7" eb="9">
      <t>ジョウジュン</t>
    </rPh>
    <rPh sb="12" eb="13">
      <t>ガツ</t>
    </rPh>
    <rPh sb="13" eb="15">
      <t>ジョウジュン</t>
    </rPh>
    <rPh sb="17" eb="18">
      <t>ガツ</t>
    </rPh>
    <rPh sb="18" eb="20">
      <t>ジョウジュン</t>
    </rPh>
    <phoneticPr fontId="4"/>
  </si>
  <si>
    <t>1月中旬～2月上旬
8月中旬～9月上旬</t>
    <rPh sb="1" eb="2">
      <t>ガツ</t>
    </rPh>
    <rPh sb="2" eb="4">
      <t>チュウジュン</t>
    </rPh>
    <rPh sb="6" eb="7">
      <t>ガツ</t>
    </rPh>
    <rPh sb="7" eb="9">
      <t>ジョウジュン</t>
    </rPh>
    <rPh sb="11" eb="12">
      <t>ガツ</t>
    </rPh>
    <rPh sb="12" eb="14">
      <t>チュウジュン</t>
    </rPh>
    <rPh sb="16" eb="17">
      <t>ガツ</t>
    </rPh>
    <rPh sb="17" eb="19">
      <t>ジョウジュン</t>
    </rPh>
    <phoneticPr fontId="4"/>
  </si>
  <si>
    <t>きゅうり（半促成＋抑制）</t>
    <rPh sb="5" eb="6">
      <t>ハン</t>
    </rPh>
    <rPh sb="6" eb="8">
      <t>ソクセイ</t>
    </rPh>
    <rPh sb="9" eb="11">
      <t>ヨクセイ</t>
    </rPh>
    <phoneticPr fontId="4"/>
  </si>
  <si>
    <t>３　標準技術（きゅうり）</t>
    <rPh sb="2" eb="4">
      <t>ヒョウジュン</t>
    </rPh>
    <rPh sb="4" eb="6">
      <t>ギジュツ</t>
    </rPh>
    <phoneticPr fontId="4"/>
  </si>
  <si>
    <t>10/25a</t>
  </si>
  <si>
    <t>10/25a</t>
    <phoneticPr fontId="4"/>
  </si>
  <si>
    <t>半促成＋抑制</t>
    <rPh sb="0" eb="1">
      <t>ハン</t>
    </rPh>
    <rPh sb="1" eb="3">
      <t>ソクセイ</t>
    </rPh>
    <rPh sb="4" eb="6">
      <t>ヨクセイ</t>
    </rPh>
    <phoneticPr fontId="4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</si>
  <si>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</si>
  <si>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販売量×13円/㎏</t>
    <rPh sb="0" eb="2">
      <t>ハンバイ</t>
    </rPh>
    <rPh sb="2" eb="3">
      <t>リョウ</t>
    </rPh>
    <rPh sb="6" eb="7">
      <t>エン</t>
    </rPh>
    <phoneticPr fontId="4"/>
  </si>
  <si>
    <t>販売量×10円/㎏</t>
    <rPh sb="0" eb="2">
      <t>ハンバイ</t>
    </rPh>
    <rPh sb="2" eb="3">
      <t>リョウ</t>
    </rPh>
    <rPh sb="6" eb="7">
      <t>エン</t>
    </rPh>
    <phoneticPr fontId="4"/>
  </si>
  <si>
    <t>ポリポット</t>
  </si>
  <si>
    <t>サーモスタッド</t>
  </si>
  <si>
    <t>ビニール</t>
  </si>
  <si>
    <t>モミ，わら</t>
  </si>
  <si>
    <t>袋</t>
    <rPh sb="0" eb="1">
      <t>フクロ</t>
    </rPh>
    <phoneticPr fontId="4"/>
  </si>
  <si>
    <t>巻</t>
    <rPh sb="0" eb="1">
      <t>マキ</t>
    </rPh>
    <phoneticPr fontId="4"/>
  </si>
  <si>
    <t>個</t>
    <rPh sb="0" eb="1">
      <t>コ</t>
    </rPh>
    <phoneticPr fontId="4"/>
  </si>
  <si>
    <t>個選，共同出荷</t>
    <rPh sb="0" eb="1">
      <t>コ</t>
    </rPh>
    <rPh sb="1" eb="2">
      <t>セン</t>
    </rPh>
    <rPh sb="3" eb="5">
      <t>キョウドウ</t>
    </rPh>
    <rPh sb="5" eb="7">
      <t>シュッカ</t>
    </rPh>
    <phoneticPr fontId="3"/>
  </si>
  <si>
    <t>半促成と抑制の組み合わせ，ハウス加温栽培，自家育苗・接ぎ木</t>
    <rPh sb="0" eb="1">
      <t>ハン</t>
    </rPh>
    <rPh sb="1" eb="3">
      <t>ソクセイ</t>
    </rPh>
    <rPh sb="4" eb="6">
      <t>ヨクセイ</t>
    </rPh>
    <rPh sb="7" eb="8">
      <t>ク</t>
    </rPh>
    <rPh sb="9" eb="10">
      <t>ア</t>
    </rPh>
    <rPh sb="21" eb="23">
      <t>ジカ</t>
    </rPh>
    <rPh sb="23" eb="25">
      <t>イクビョウ</t>
    </rPh>
    <rPh sb="26" eb="27">
      <t>ツ</t>
    </rPh>
    <rPh sb="28" eb="29">
      <t>キ</t>
    </rPh>
    <phoneticPr fontId="3"/>
  </si>
  <si>
    <t>パイプハウス，トラクター，灌水装置など</t>
    <phoneticPr fontId="3"/>
  </si>
  <si>
    <t>0.25ha</t>
    <phoneticPr fontId="3"/>
  </si>
  <si>
    <t>0.25ha</t>
    <phoneticPr fontId="4"/>
  </si>
  <si>
    <t>0.4ha（借地0.4ha）</t>
    <rPh sb="6" eb="8">
      <t>シャクチ</t>
    </rPh>
    <phoneticPr fontId="3"/>
  </si>
  <si>
    <t>0.27ha</t>
    <phoneticPr fontId="3"/>
  </si>
  <si>
    <t>鉄骨，ルーフデッキ</t>
    <rPh sb="0" eb="2">
      <t>テッコツ</t>
    </rPh>
    <phoneticPr fontId="2"/>
  </si>
  <si>
    <t>動力噴霧機</t>
    <rPh sb="4" eb="5">
      <t>キ</t>
    </rPh>
    <phoneticPr fontId="4"/>
  </si>
  <si>
    <t>販売額×11.5％</t>
    <rPh sb="0" eb="2">
      <t>ハンバイ</t>
    </rPh>
    <rPh sb="2" eb="3">
      <t>ガク</t>
    </rPh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</si>
  <si>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</si>
  <si>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潅水ポンプ</t>
    <rPh sb="0" eb="2">
      <t>カンスイ</t>
    </rPh>
    <phoneticPr fontId="4"/>
  </si>
  <si>
    <t>【1月下旬～2月中旬
8月下旬～9月中旬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</si>
  <si>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収穫鋏</t>
    <rPh sb="0" eb="2">
      <t>シュウカク</t>
    </rPh>
    <rPh sb="2" eb="3">
      <t>ハサミ</t>
    </rPh>
    <phoneticPr fontId="4"/>
  </si>
  <si>
    <t>潅水チューブ（100ｍ巻）</t>
    <rPh sb="0" eb="2">
      <t>カンスイ</t>
    </rPh>
    <rPh sb="11" eb="12">
      <t>マキ</t>
    </rPh>
    <phoneticPr fontId="4"/>
  </si>
  <si>
    <t>マルチ穴あけ器</t>
    <rPh sb="3" eb="4">
      <t>アナ</t>
    </rPh>
    <rPh sb="6" eb="7">
      <t>キ</t>
    </rPh>
    <phoneticPr fontId="4"/>
  </si>
  <si>
    <t>個</t>
    <rPh sb="0" eb="1">
      <t>コ</t>
    </rPh>
    <phoneticPr fontId="4"/>
  </si>
  <si>
    <t>トラクター
管理機
畝立て機</t>
    <rPh sb="6" eb="8">
      <t>カンリ</t>
    </rPh>
    <rPh sb="8" eb="9">
      <t>キ</t>
    </rPh>
    <rPh sb="10" eb="11">
      <t>ウネ</t>
    </rPh>
    <rPh sb="11" eb="12">
      <t>タ</t>
    </rPh>
    <rPh sb="13" eb="14">
      <t>キ</t>
    </rPh>
    <phoneticPr fontId="4"/>
  </si>
  <si>
    <t>温風暖房機</t>
    <rPh sb="0" eb="2">
      <t>オンプウ</t>
    </rPh>
    <rPh sb="2" eb="4">
      <t>ダンボウ</t>
    </rPh>
    <rPh sb="4" eb="5">
      <t>キ</t>
    </rPh>
    <phoneticPr fontId="4"/>
  </si>
  <si>
    <t>管理機</t>
    <phoneticPr fontId="4"/>
  </si>
  <si>
    <t>耕起・整地・畝立・元肥</t>
    <rPh sb="0" eb="1">
      <t>コウ</t>
    </rPh>
    <rPh sb="1" eb="2">
      <t>キ</t>
    </rPh>
    <rPh sb="3" eb="5">
      <t>セイチ</t>
    </rPh>
    <rPh sb="6" eb="7">
      <t>ウネ</t>
    </rPh>
    <rPh sb="7" eb="8">
      <t>タ</t>
    </rPh>
    <rPh sb="9" eb="11">
      <t>モトヒ</t>
    </rPh>
    <phoneticPr fontId="4"/>
  </si>
  <si>
    <t>マルチ穴あけ器</t>
    <rPh sb="3" eb="4">
      <t>アナ</t>
    </rPh>
    <rPh sb="6" eb="7">
      <t>キ</t>
    </rPh>
    <phoneticPr fontId="4"/>
  </si>
  <si>
    <t>有機物資材　2ｔ
苦土石灰　100kg
BMようりん　20ｋｇ
野菜有機189　200kg</t>
    <rPh sb="9" eb="13">
      <t>クドセッカイ</t>
    </rPh>
    <rPh sb="32" eb="34">
      <t>ヤサイ</t>
    </rPh>
    <rPh sb="34" eb="36">
      <t>ユウキ</t>
    </rPh>
    <phoneticPr fontId="4"/>
  </si>
  <si>
    <t xml:space="preserve">育苗ハウス
</t>
    <rPh sb="0" eb="2">
      <t>イクビョウ</t>
    </rPh>
    <phoneticPr fontId="4"/>
  </si>
  <si>
    <t>収穫鋏
コンテナ
ダンボール</t>
    <rPh sb="0" eb="2">
      <t>シュウカク</t>
    </rPh>
    <rPh sb="2" eb="3">
      <t>ハサミ</t>
    </rPh>
    <phoneticPr fontId="4"/>
  </si>
  <si>
    <t>潅水チューブ　700m
液肥2号　15本</t>
    <rPh sb="0" eb="2">
      <t>カンスイ</t>
    </rPh>
    <rPh sb="12" eb="14">
      <t>エキヒ</t>
    </rPh>
    <rPh sb="15" eb="16">
      <t>ゴウ</t>
    </rPh>
    <rPh sb="19" eb="20">
      <t>ホン</t>
    </rPh>
    <phoneticPr fontId="4"/>
  </si>
  <si>
    <t>種子　1,400粒
台木　1,400粒
プラグトレイ　11枚
ポリポット（9号）　1,400ポット
接木クリップ　1,400個
用土（ＪＡの土）　23袋
用土（マサ土）　1袋
温床線　1巻
サーモスタッド
ビニール　200ｍ
もみ，わら</t>
    <rPh sb="0" eb="2">
      <t>シュシ</t>
    </rPh>
    <rPh sb="8" eb="9">
      <t>リュウ</t>
    </rPh>
    <rPh sb="10" eb="12">
      <t>ダイギ</t>
    </rPh>
    <rPh sb="18" eb="19">
      <t>ツブ</t>
    </rPh>
    <rPh sb="29" eb="30">
      <t>マイ</t>
    </rPh>
    <rPh sb="38" eb="39">
      <t>ゴウ</t>
    </rPh>
    <rPh sb="50" eb="51">
      <t>ツ</t>
    </rPh>
    <rPh sb="51" eb="52">
      <t>キ</t>
    </rPh>
    <rPh sb="62" eb="63">
      <t>コ</t>
    </rPh>
    <rPh sb="64" eb="66">
      <t>ヨウド</t>
    </rPh>
    <rPh sb="70" eb="71">
      <t>ツチ</t>
    </rPh>
    <rPh sb="75" eb="76">
      <t>フクロ</t>
    </rPh>
    <rPh sb="77" eb="79">
      <t>ヨウド</t>
    </rPh>
    <rPh sb="82" eb="83">
      <t>ツチ</t>
    </rPh>
    <rPh sb="86" eb="87">
      <t>フクロ</t>
    </rPh>
    <rPh sb="88" eb="90">
      <t>オンショウ</t>
    </rPh>
    <rPh sb="90" eb="91">
      <t>セン</t>
    </rPh>
    <rPh sb="93" eb="94">
      <t>マキ</t>
    </rPh>
    <phoneticPr fontId="4"/>
  </si>
  <si>
    <t>南部</t>
    <rPh sb="0" eb="1">
      <t>ナンブ</t>
    </rPh>
    <phoneticPr fontId="3"/>
  </si>
  <si>
    <t>きゅうり専作</t>
    <rPh sb="4" eb="5">
      <t>セン</t>
    </rPh>
    <rPh sb="5" eb="6">
      <t>サク</t>
    </rPh>
    <phoneticPr fontId="3"/>
  </si>
  <si>
    <t>16ps,ロータリーアタッチ付</t>
    <rPh sb="14" eb="15">
      <t>ツキ</t>
    </rPh>
    <phoneticPr fontId="4"/>
  </si>
  <si>
    <t>4.7ps</t>
  </si>
  <si>
    <t>温風暖房機</t>
  </si>
  <si>
    <t>300坪用</t>
  </si>
  <si>
    <t>ハウス</t>
    <phoneticPr fontId="4"/>
  </si>
  <si>
    <t>(3000円×40a)/施設25a</t>
    <rPh sb="5" eb="6">
      <t>エン</t>
    </rPh>
    <rPh sb="12" eb="14">
      <t>シセツ</t>
    </rPh>
    <phoneticPr fontId="4"/>
  </si>
  <si>
    <t>4800円/10a</t>
    <rPh sb="4" eb="5">
      <t>エン</t>
    </rPh>
    <phoneticPr fontId="4"/>
  </si>
  <si>
    <t>個別経営体</t>
    <rPh sb="0" eb="2">
      <t>コベツ</t>
    </rPh>
    <rPh sb="2" eb="5">
      <t>ケイエイタイ</t>
    </rPh>
    <phoneticPr fontId="3"/>
  </si>
  <si>
    <t>○：播種　△：仮植　×：定植　■：収穫　　　　：ハウス</t>
    <rPh sb="17" eb="19">
      <t>シュウカク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</si>
  <si>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</si>
  <si>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</si>
  <si>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</si>
  <si>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プラグトレイに穂木を播種，翌日に台木を播種する。
半促成栽培では穂木播種から7～10日後，抑制栽培では5～6日後に呼び接ぎし，9㎝ポットに鉢上げする（呼び接ぎ鉢上げ）。
定植7日前に穂木の根切りを行う。</t>
    <rPh sb="8" eb="9">
      <t>ホ</t>
    </rPh>
    <rPh sb="9" eb="10">
      <t>ギ</t>
    </rPh>
    <rPh sb="11" eb="13">
      <t>ハシュ</t>
    </rPh>
    <rPh sb="14" eb="16">
      <t>ヨクジツ</t>
    </rPh>
    <rPh sb="17" eb="19">
      <t>ダイギ</t>
    </rPh>
    <rPh sb="20" eb="22">
      <t>ハシュ</t>
    </rPh>
    <rPh sb="70" eb="71">
      <t>ハチ</t>
    </rPh>
    <rPh sb="71" eb="72">
      <t>ア</t>
    </rPh>
    <rPh sb="76" eb="77">
      <t>ヨ</t>
    </rPh>
    <rPh sb="78" eb="79">
      <t>ツ</t>
    </rPh>
    <rPh sb="80" eb="81">
      <t>ハチ</t>
    </rPh>
    <rPh sb="81" eb="82">
      <t>ア</t>
    </rPh>
    <rPh sb="86" eb="88">
      <t>テイショク</t>
    </rPh>
    <rPh sb="89" eb="91">
      <t>ニチマエ</t>
    </rPh>
    <rPh sb="92" eb="93">
      <t>ホ</t>
    </rPh>
    <rPh sb="93" eb="94">
      <t>ギ</t>
    </rPh>
    <rPh sb="95" eb="97">
      <t>ネキ</t>
    </rPh>
    <rPh sb="99" eb="100">
      <t>オコナ</t>
    </rPh>
    <phoneticPr fontId="4"/>
  </si>
  <si>
    <t xml:space="preserve">
内張り金具を整備する。
抑制栽培時にビニールを展張する。</t>
    <rPh sb="1" eb="2">
      <t>ウチ</t>
    </rPh>
    <rPh sb="2" eb="3">
      <t>バ</t>
    </rPh>
    <rPh sb="4" eb="6">
      <t>カナグ</t>
    </rPh>
    <rPh sb="7" eb="9">
      <t>セイビ</t>
    </rPh>
    <rPh sb="13" eb="15">
      <t>ヨクセイ</t>
    </rPh>
    <rPh sb="15" eb="17">
      <t>サイバイ</t>
    </rPh>
    <rPh sb="17" eb="18">
      <t>ジ</t>
    </rPh>
    <rPh sb="24" eb="26">
      <t>テンチョウ</t>
    </rPh>
    <phoneticPr fontId="4"/>
  </si>
  <si>
    <t xml:space="preserve">
土壌消毒後，堆肥や稲わら，元肥等を施用する。</t>
    <rPh sb="1" eb="3">
      <t>ドジョウ</t>
    </rPh>
    <rPh sb="3" eb="5">
      <t>ショウドク</t>
    </rPh>
    <rPh sb="5" eb="6">
      <t>ゴ</t>
    </rPh>
    <rPh sb="7" eb="9">
      <t>タイヒ</t>
    </rPh>
    <rPh sb="10" eb="11">
      <t>イナ</t>
    </rPh>
    <rPh sb="14" eb="16">
      <t>モトヒ</t>
    </rPh>
    <rPh sb="16" eb="17">
      <t>ナド</t>
    </rPh>
    <rPh sb="18" eb="20">
      <t>セヨウ</t>
    </rPh>
    <phoneticPr fontId="4"/>
  </si>
  <si>
    <t xml:space="preserve">
10a当たり1,000～1,200株
定植から活着までは，蒸し気味に管理し活着を促進させる。</t>
    <rPh sb="4" eb="5">
      <t>ア</t>
    </rPh>
    <rPh sb="18" eb="19">
      <t>カブ</t>
    </rPh>
    <rPh sb="20" eb="22">
      <t>テイショク</t>
    </rPh>
    <rPh sb="24" eb="26">
      <t>カッチャク</t>
    </rPh>
    <rPh sb="30" eb="31">
      <t>ム</t>
    </rPh>
    <rPh sb="32" eb="34">
      <t>ギミ</t>
    </rPh>
    <rPh sb="35" eb="37">
      <t>カンリ</t>
    </rPh>
    <rPh sb="38" eb="40">
      <t>カッチャク</t>
    </rPh>
    <rPh sb="41" eb="43">
      <t>ソクシン</t>
    </rPh>
    <phoneticPr fontId="4"/>
  </si>
  <si>
    <t xml:space="preserve">
【半促成】
湿度管理は午前中はやや高め，午後は低めになるように換気する。
【抑制】
夜温が12℃以下になれば，保温を開始する。
夕方には空気が乾燥するようにする。</t>
    <rPh sb="2" eb="3">
      <t>ハン</t>
    </rPh>
    <rPh sb="3" eb="5">
      <t>ソクセイ</t>
    </rPh>
    <rPh sb="7" eb="9">
      <t>シツド</t>
    </rPh>
    <rPh sb="9" eb="11">
      <t>カンリ</t>
    </rPh>
    <rPh sb="12" eb="15">
      <t>ゴゼンチュウ</t>
    </rPh>
    <rPh sb="18" eb="19">
      <t>タカ</t>
    </rPh>
    <rPh sb="21" eb="23">
      <t>ゴゴ</t>
    </rPh>
    <rPh sb="24" eb="25">
      <t>ヒク</t>
    </rPh>
    <rPh sb="32" eb="34">
      <t>カンキ</t>
    </rPh>
    <rPh sb="39" eb="41">
      <t>ヨクセイ</t>
    </rPh>
    <rPh sb="43" eb="45">
      <t>ヤオン</t>
    </rPh>
    <rPh sb="49" eb="51">
      <t>イカ</t>
    </rPh>
    <rPh sb="56" eb="58">
      <t>ホオン</t>
    </rPh>
    <rPh sb="59" eb="61">
      <t>カイシ</t>
    </rPh>
    <rPh sb="65" eb="67">
      <t>ユウガタ</t>
    </rPh>
    <rPh sb="69" eb="71">
      <t>クウキ</t>
    </rPh>
    <rPh sb="72" eb="74">
      <t>カンソウ</t>
    </rPh>
    <phoneticPr fontId="4"/>
  </si>
  <si>
    <t xml:space="preserve">
５～６節までの側枝は全て除去し，以降の節から着果させる。
子づる，孫づるは，2節摘心を基本とし，葉が混み過ぎないようにする。</t>
    <rPh sb="4" eb="5">
      <t>セツ</t>
    </rPh>
    <rPh sb="8" eb="10">
      <t>ソクシ</t>
    </rPh>
    <rPh sb="11" eb="12">
      <t>スベ</t>
    </rPh>
    <rPh sb="13" eb="15">
      <t>ジョキョ</t>
    </rPh>
    <rPh sb="17" eb="19">
      <t>イコウ</t>
    </rPh>
    <rPh sb="20" eb="21">
      <t>セツ</t>
    </rPh>
    <rPh sb="23" eb="24">
      <t>チャク</t>
    </rPh>
    <rPh sb="24" eb="25">
      <t>カ</t>
    </rPh>
    <rPh sb="30" eb="31">
      <t>コ</t>
    </rPh>
    <rPh sb="34" eb="35">
      <t>マゴ</t>
    </rPh>
    <rPh sb="40" eb="41">
      <t>セツ</t>
    </rPh>
    <rPh sb="41" eb="43">
      <t>テキシン</t>
    </rPh>
    <rPh sb="44" eb="46">
      <t>キホン</t>
    </rPh>
    <rPh sb="49" eb="50">
      <t>ハ</t>
    </rPh>
    <rPh sb="51" eb="52">
      <t>コ</t>
    </rPh>
    <rPh sb="53" eb="54">
      <t>ス</t>
    </rPh>
    <phoneticPr fontId="4"/>
  </si>
  <si>
    <t xml:space="preserve">
蒸散量の多い春～夏は晴天日で2Ｌ/日/株程度</t>
    <rPh sb="1" eb="3">
      <t>ジョウサン</t>
    </rPh>
    <rPh sb="3" eb="4">
      <t>リョウ</t>
    </rPh>
    <rPh sb="5" eb="6">
      <t>オオ</t>
    </rPh>
    <rPh sb="7" eb="8">
      <t>ハル</t>
    </rPh>
    <rPh sb="9" eb="10">
      <t>ナツ</t>
    </rPh>
    <rPh sb="11" eb="13">
      <t>セイテン</t>
    </rPh>
    <rPh sb="13" eb="14">
      <t>ビ</t>
    </rPh>
    <rPh sb="18" eb="19">
      <t>ニチ</t>
    </rPh>
    <rPh sb="20" eb="21">
      <t>カブ</t>
    </rPh>
    <rPh sb="21" eb="23">
      <t>テイド</t>
    </rPh>
    <phoneticPr fontId="4"/>
  </si>
  <si>
    <t xml:space="preserve">
定植時に粒剤施用
基幹防除は月2回（生育初期は月3回）</t>
    <rPh sb="1" eb="3">
      <t>テイショク</t>
    </rPh>
    <rPh sb="3" eb="4">
      <t>ジ</t>
    </rPh>
    <rPh sb="5" eb="7">
      <t>リュウザイ</t>
    </rPh>
    <rPh sb="7" eb="9">
      <t>セヨウ</t>
    </rPh>
    <rPh sb="10" eb="12">
      <t>キカン</t>
    </rPh>
    <rPh sb="12" eb="14">
      <t>ボウジョ</t>
    </rPh>
    <rPh sb="15" eb="16">
      <t>ツキ</t>
    </rPh>
    <rPh sb="17" eb="18">
      <t>カイ</t>
    </rPh>
    <rPh sb="19" eb="21">
      <t>セイイク</t>
    </rPh>
    <rPh sb="21" eb="23">
      <t>ショキ</t>
    </rPh>
    <rPh sb="24" eb="25">
      <t>ツキ</t>
    </rPh>
    <rPh sb="26" eb="27">
      <t>カイ</t>
    </rPh>
    <phoneticPr fontId="4"/>
  </si>
  <si>
    <t xml:space="preserve">
90～100gの果実を収穫
出荷規格に沿って選果し，4kg入り段ボールに詰めて出荷する</t>
    <rPh sb="9" eb="11">
      <t>カジツ</t>
    </rPh>
    <rPh sb="12" eb="14">
      <t>シュウカク</t>
    </rPh>
    <rPh sb="15" eb="17">
      <t>シュッカ</t>
    </rPh>
    <rPh sb="17" eb="19">
      <t>キカク</t>
    </rPh>
    <rPh sb="20" eb="21">
      <t>ソ</t>
    </rPh>
    <rPh sb="23" eb="25">
      <t>センカ</t>
    </rPh>
    <rPh sb="30" eb="31">
      <t>イ</t>
    </rPh>
    <rPh sb="32" eb="33">
      <t>ダン</t>
    </rPh>
    <rPh sb="37" eb="38">
      <t>ツ</t>
    </rPh>
    <rPh sb="40" eb="42">
      <t>シュッカ</t>
    </rPh>
    <phoneticPr fontId="4"/>
  </si>
  <si>
    <t xml:space="preserve">
作物残さやパイプ，マルチ等洗浄保管
半促成栽培終了時にビニールを除去する。</t>
    <rPh sb="1" eb="3">
      <t>サクモツ</t>
    </rPh>
    <rPh sb="3" eb="4">
      <t>ザン</t>
    </rPh>
    <rPh sb="13" eb="14">
      <t>ナド</t>
    </rPh>
    <rPh sb="14" eb="16">
      <t>センジョウ</t>
    </rPh>
    <rPh sb="16" eb="18">
      <t>ホカン</t>
    </rPh>
    <rPh sb="19" eb="20">
      <t>ハン</t>
    </rPh>
    <rPh sb="20" eb="22">
      <t>ソクセイ</t>
    </rPh>
    <rPh sb="22" eb="24">
      <t>サイバイ</t>
    </rPh>
    <rPh sb="24" eb="27">
      <t>シュウリョウジ</t>
    </rPh>
    <rPh sb="33" eb="35">
      <t>ジョキョ</t>
    </rPh>
    <phoneticPr fontId="4"/>
  </si>
  <si>
    <t xml:space="preserve">
育苗温度が35℃を超えないよう注意する。</t>
    <rPh sb="1" eb="3">
      <t>イクビョウ</t>
    </rPh>
    <phoneticPr fontId="4"/>
  </si>
  <si>
    <t xml:space="preserve">
土壌診断結果に基づいて施肥を行う。</t>
    <rPh sb="1" eb="3">
      <t>ドジョウ</t>
    </rPh>
    <rPh sb="3" eb="5">
      <t>シンダン</t>
    </rPh>
    <rPh sb="5" eb="7">
      <t>ケッカ</t>
    </rPh>
    <rPh sb="8" eb="9">
      <t>モト</t>
    </rPh>
    <rPh sb="12" eb="14">
      <t>セヒ</t>
    </rPh>
    <rPh sb="15" eb="16">
      <t>オコナ</t>
    </rPh>
    <phoneticPr fontId="4"/>
  </si>
  <si>
    <t xml:space="preserve">
活着まではやや蒸し気味に管理する。</t>
    <rPh sb="1" eb="3">
      <t>カッチャク</t>
    </rPh>
    <rPh sb="8" eb="9">
      <t>ム</t>
    </rPh>
    <rPh sb="10" eb="12">
      <t>ギミ</t>
    </rPh>
    <rPh sb="13" eb="15">
      <t>カンリ</t>
    </rPh>
    <phoneticPr fontId="4"/>
  </si>
  <si>
    <t xml:space="preserve">
10℃以下，35℃以上にならないように温度管理する。</t>
    <rPh sb="3" eb="6">
      <t>ドイカ</t>
    </rPh>
    <rPh sb="10" eb="12">
      <t>イジョウ</t>
    </rPh>
    <rPh sb="20" eb="22">
      <t>オンド</t>
    </rPh>
    <rPh sb="22" eb="24">
      <t>カンリ</t>
    </rPh>
    <phoneticPr fontId="4"/>
  </si>
  <si>
    <t xml:space="preserve">
収穫が始まるころから樹勢に応じて追肥を開始する。</t>
    <rPh sb="1" eb="3">
      <t>シュウカク</t>
    </rPh>
    <rPh sb="4" eb="5">
      <t>ハジ</t>
    </rPh>
    <rPh sb="11" eb="12">
      <t>キ</t>
    </rPh>
    <rPh sb="12" eb="13">
      <t>イキオ</t>
    </rPh>
    <rPh sb="14" eb="15">
      <t>オウ</t>
    </rPh>
    <rPh sb="17" eb="19">
      <t>ツイヒ</t>
    </rPh>
    <rPh sb="20" eb="22">
      <t>カイシ</t>
    </rPh>
    <phoneticPr fontId="4"/>
  </si>
  <si>
    <t xml:space="preserve">
病害虫の発生状況をよく観察し，適期防除に努める。</t>
    <phoneticPr fontId="4"/>
  </si>
  <si>
    <t>右表（ウ）　</t>
    <phoneticPr fontId="4"/>
  </si>
  <si>
    <t>右表（イ）　</t>
    <phoneticPr fontId="4"/>
  </si>
  <si>
    <t>右表（エ）　</t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</si>
  <si>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</si>
  <si>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家族労力（2.5人）</t>
    <rPh sb="0" eb="2">
      <t>カゾク</t>
    </rPh>
    <rPh sb="2" eb="4">
      <t>ロウリョク</t>
    </rPh>
    <rPh sb="8" eb="9">
      <t>ニン</t>
    </rPh>
    <phoneticPr fontId="3"/>
  </si>
  <si>
    <t>外張ビニール　
2,250㎡
内張ビニール　
1,200㎡
支柱　250本
黒マルチ　1,000ｍ
寒冷紗
番線　
マイカー線
ダンポール</t>
    <rPh sb="0" eb="1">
      <t>ソト</t>
    </rPh>
    <rPh sb="1" eb="2">
      <t>ハリ</t>
    </rPh>
    <rPh sb="15" eb="16">
      <t>ウチ</t>
    </rPh>
    <rPh sb="16" eb="17">
      <t>ハリ</t>
    </rPh>
    <rPh sb="30" eb="32">
      <t>シチュウ</t>
    </rPh>
    <rPh sb="36" eb="37">
      <t>ホン</t>
    </rPh>
    <rPh sb="38" eb="39">
      <t>クロ</t>
    </rPh>
    <rPh sb="50" eb="53">
      <t>カンレイシャ</t>
    </rPh>
    <rPh sb="54" eb="56">
      <t>バンセン</t>
    </rPh>
    <rPh sb="62" eb="63">
      <t>セン</t>
    </rPh>
    <phoneticPr fontId="4"/>
  </si>
  <si>
    <t>A</t>
    <phoneticPr fontId="4"/>
  </si>
  <si>
    <t>A</t>
    <phoneticPr fontId="4"/>
  </si>
  <si>
    <t>B</t>
    <phoneticPr fontId="4"/>
  </si>
  <si>
    <t>B</t>
    <phoneticPr fontId="4"/>
  </si>
  <si>
    <t>A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</si>
  <si>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</si>
  <si>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</si>
  <si>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</si>
  <si>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</si>
  <si>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</si>
  <si>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</si>
  <si>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</si>
  <si>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</si>
  <si>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</si>
  <si>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</si>
  <si>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</si>
  <si>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B</t>
    <phoneticPr fontId="4"/>
  </si>
  <si>
    <t>C</t>
    <phoneticPr fontId="4"/>
  </si>
  <si>
    <t>E</t>
    <phoneticPr fontId="4"/>
  </si>
  <si>
    <t>F</t>
    <phoneticPr fontId="4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</si>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</sst>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0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74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9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114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89" xfId="2" applyFont="1" applyBorder="1" applyAlignment="1">
      <alignment vertical="center" wrapText="1"/>
    </xf>
    <xf numFmtId="0" fontId="8" fillId="0" borderId="76" xfId="2" applyFont="1" applyBorder="1" applyAlignment="1">
      <alignment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vertical="center" wrapText="1"/>
    </xf>
    <xf numFmtId="0" fontId="8" fillId="0" borderId="89" xfId="2" applyFont="1" applyBorder="1" applyAlignment="1">
      <alignment horizontal="center" vertical="center"/>
    </xf>
    <xf numFmtId="0" fontId="8" fillId="0" borderId="89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5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horizontal="center"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3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5" xfId="0" applyNumberFormat="1" applyFont="1" applyFill="1" applyBorder="1" applyAlignment="1">
      <alignment vertical="center" shrinkToFit="1"/>
    </xf>
    <xf numFmtId="183" fontId="0" fillId="6" borderId="135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7" fontId="0" fillId="6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46" xfId="3" applyNumberFormat="1" applyFont="1" applyBorder="1" applyAlignment="1">
      <alignment vertical="center" shrinkToFit="1"/>
    </xf>
    <xf numFmtId="177" fontId="0" fillId="0" borderId="146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6" xfId="0" applyNumberForma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6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4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6" xfId="0" applyNumberFormat="1" applyFont="1" applyFill="1" applyBorder="1" applyAlignment="1">
      <alignment horizontal="left" vertical="center"/>
    </xf>
    <xf numFmtId="177" fontId="0" fillId="0" borderId="146" xfId="3" applyNumberFormat="1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4" xfId="3" applyNumberFormat="1" applyFont="1" applyBorder="1" applyAlignment="1">
      <alignment vertical="center" shrinkToFit="1"/>
    </xf>
    <xf numFmtId="176" fontId="0" fillId="0" borderId="154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2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2" xfId="0" applyNumberFormat="1" applyFont="1" applyFill="1" applyBorder="1" applyAlignment="1">
      <alignment vertical="center"/>
    </xf>
    <xf numFmtId="176" fontId="0" fillId="0" borderId="154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6" fontId="0" fillId="6" borderId="127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5" xfId="0" applyNumberFormat="1" applyFont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63" xfId="0" applyNumberFormat="1" applyFont="1" applyFill="1" applyBorder="1" applyAlignment="1">
      <alignment vertical="center" shrinkToFit="1"/>
    </xf>
    <xf numFmtId="176" fontId="0" fillId="2" borderId="164" xfId="0" applyNumberFormat="1" applyFont="1" applyFill="1" applyBorder="1" applyAlignment="1">
      <alignment vertical="center" shrinkToFit="1"/>
    </xf>
    <xf numFmtId="177" fontId="0" fillId="2" borderId="160" xfId="3" applyNumberFormat="1" applyFont="1" applyFill="1" applyBorder="1" applyAlignment="1">
      <alignment horizontal="center" vertical="center" shrinkToFit="1"/>
    </xf>
    <xf numFmtId="177" fontId="0" fillId="2" borderId="160" xfId="3" applyNumberFormat="1" applyFont="1" applyFill="1" applyBorder="1" applyAlignment="1">
      <alignment vertical="center" shrinkToFit="1"/>
    </xf>
    <xf numFmtId="176" fontId="0" fillId="6" borderId="165" xfId="0" applyNumberFormat="1" applyFont="1" applyFill="1" applyBorder="1" applyAlignment="1">
      <alignment vertical="center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70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7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80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4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3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79" fontId="0" fillId="0" borderId="185" xfId="0" applyNumberFormat="1" applyFont="1" applyBorder="1" applyAlignment="1">
      <alignment vertical="center" shrinkToFit="1"/>
    </xf>
    <xf numFmtId="179" fontId="0" fillId="0" borderId="164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80" xfId="0" applyNumberFormat="1" applyFont="1" applyBorder="1" applyAlignment="1">
      <alignment vertical="center" shrinkToFit="1"/>
    </xf>
    <xf numFmtId="184" fontId="13" fillId="0" borderId="180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9" xfId="0" applyNumberFormat="1" applyBorder="1" applyAlignment="1">
      <alignment horizontal="center" vertical="center" shrinkToFit="1"/>
    </xf>
    <xf numFmtId="176" fontId="0" fillId="0" borderId="89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77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1" xfId="0" applyNumberFormat="1" applyFont="1" applyFill="1" applyBorder="1" applyAlignment="1">
      <alignment vertical="center"/>
    </xf>
    <xf numFmtId="177" fontId="0" fillId="0" borderId="168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6" fontId="0" fillId="0" borderId="144" xfId="0" applyNumberFormat="1" applyFont="1" applyBorder="1" applyAlignment="1">
      <alignment vertical="center" shrinkToFit="1"/>
    </xf>
    <xf numFmtId="185" fontId="0" fillId="0" borderId="78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4" xfId="3" applyNumberFormat="1" applyFont="1" applyFill="1" applyBorder="1" applyAlignment="1">
      <alignment vertical="center" shrinkToFit="1"/>
    </xf>
    <xf numFmtId="176" fontId="4" fillId="0" borderId="199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0" fillId="0" borderId="14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1" fillId="8" borderId="14" xfId="2" applyFont="1" applyFill="1" applyBorder="1" applyAlignment="1">
      <alignment horizontal="center" vertical="center" wrapText="1"/>
    </xf>
    <xf numFmtId="0" fontId="1" fillId="8" borderId="121" xfId="2" applyFont="1" applyFill="1" applyBorder="1" applyAlignment="1">
      <alignment horizontal="center" vertical="center" wrapText="1"/>
    </xf>
    <xf numFmtId="0" fontId="1" fillId="8" borderId="13" xfId="2" applyFont="1" applyFill="1" applyBorder="1" applyAlignment="1">
      <alignment horizontal="center" vertical="center" wrapText="1"/>
    </xf>
    <xf numFmtId="0" fontId="1" fillId="8" borderId="52" xfId="2" applyFont="1" applyFill="1" applyBorder="1" applyAlignment="1">
      <alignment horizontal="center" vertical="center" wrapText="1"/>
    </xf>
    <xf numFmtId="0" fontId="1" fillId="8" borderId="122" xfId="2" applyFont="1" applyFill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52" xfId="2" applyFont="1" applyBorder="1" applyAlignment="1">
      <alignment horizontal="center" vertical="center" wrapText="1"/>
    </xf>
    <xf numFmtId="0" fontId="1" fillId="8" borderId="15" xfId="2" applyFont="1" applyFill="1" applyBorder="1" applyAlignment="1">
      <alignment horizontal="center" vertical="center" wrapText="1"/>
    </xf>
    <xf numFmtId="0" fontId="0" fillId="0" borderId="89" xfId="2" applyFont="1" applyBorder="1" applyAlignment="1">
      <alignment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wrapText="1"/>
    </xf>
    <xf numFmtId="0" fontId="1" fillId="8" borderId="0" xfId="2" applyFont="1" applyFill="1" applyBorder="1" applyAlignment="1">
      <alignment horizontal="center" vertical="center" wrapText="1"/>
    </xf>
    <xf numFmtId="0" fontId="1" fillId="8" borderId="2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44" xfId="2" applyFont="1" applyFill="1" applyBorder="1" applyAlignment="1">
      <alignment horizontal="center" vertical="center" wrapText="1"/>
    </xf>
    <xf numFmtId="0" fontId="1" fillId="0" borderId="76" xfId="2" applyFont="1" applyBorder="1" applyAlignment="1">
      <alignment vertical="center" wrapText="1"/>
    </xf>
    <xf numFmtId="177" fontId="0" fillId="0" borderId="146" xfId="0" applyNumberFormat="1" applyFill="1" applyBorder="1" applyAlignment="1">
      <alignment vertical="center" shrinkToFit="1"/>
    </xf>
    <xf numFmtId="177" fontId="0" fillId="0" borderId="146" xfId="0" applyNumberFormat="1" applyFont="1" applyFill="1" applyBorder="1" applyAlignment="1">
      <alignment horizontal="center" vertical="center" shrinkToFit="1"/>
    </xf>
    <xf numFmtId="177" fontId="0" fillId="0" borderId="168" xfId="0" applyNumberFormat="1" applyBorder="1" applyAlignment="1">
      <alignment vertical="center"/>
    </xf>
    <xf numFmtId="177" fontId="0" fillId="0" borderId="168" xfId="0" applyNumberFormat="1" applyFont="1" applyBorder="1" applyAlignment="1">
      <alignment vertical="center"/>
    </xf>
    <xf numFmtId="0" fontId="0" fillId="0" borderId="168" xfId="3" applyFont="1" applyFill="1" applyBorder="1" applyAlignment="1">
      <alignment vertical="center" shrinkToFit="1"/>
    </xf>
    <xf numFmtId="178" fontId="0" fillId="0" borderId="168" xfId="0" applyNumberFormat="1" applyFont="1" applyFill="1" applyBorder="1" applyAlignment="1">
      <alignment horizontal="left" vertical="center"/>
    </xf>
    <xf numFmtId="178" fontId="0" fillId="0" borderId="168" xfId="0" applyNumberFormat="1" applyFont="1" applyBorder="1" applyAlignment="1">
      <alignment horizontal="left" vertical="center"/>
    </xf>
    <xf numFmtId="177" fontId="0" fillId="0" borderId="202" xfId="0" applyNumberFormat="1" applyFont="1" applyBorder="1" applyAlignment="1">
      <alignment vertical="center"/>
    </xf>
    <xf numFmtId="177" fontId="0" fillId="0" borderId="144" xfId="0" applyNumberForma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183" fontId="0" fillId="0" borderId="10" xfId="0" applyNumberFormat="1" applyFont="1" applyFill="1" applyBorder="1" applyAlignment="1">
      <alignment vertical="center" shrinkToFit="1"/>
    </xf>
    <xf numFmtId="176" fontId="0" fillId="0" borderId="89" xfId="0" applyNumberFormat="1" applyFont="1" applyFill="1" applyBorder="1" applyAlignment="1">
      <alignment horizontal="center" vertical="center" shrinkToFit="1"/>
    </xf>
    <xf numFmtId="183" fontId="0" fillId="0" borderId="89" xfId="0" applyNumberFormat="1" applyFont="1" applyFill="1" applyBorder="1" applyAlignment="1">
      <alignment vertical="center" shrinkToFit="1"/>
    </xf>
    <xf numFmtId="183" fontId="0" fillId="0" borderId="89" xfId="0" applyNumberFormat="1" applyFont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0" fontId="8" fillId="0" borderId="76" xfId="2" applyFont="1" applyBorder="1" applyAlignment="1">
      <alignment horizontal="center" vertical="center" wrapText="1"/>
    </xf>
    <xf numFmtId="0" fontId="8" fillId="0" borderId="89" xfId="2" applyFont="1" applyBorder="1" applyAlignment="1">
      <alignment vertical="center" wrapText="1"/>
    </xf>
    <xf numFmtId="0" fontId="8" fillId="0" borderId="76" xfId="2" applyFont="1" applyBorder="1" applyAlignment="1">
      <alignment vertical="center" wrapText="1"/>
    </xf>
    <xf numFmtId="0" fontId="1" fillId="0" borderId="89" xfId="2" applyFont="1" applyBorder="1" applyAlignment="1">
      <alignment vertical="center" wrapText="1"/>
    </xf>
    <xf numFmtId="0" fontId="0" fillId="0" borderId="89" xfId="2" applyFont="1" applyBorder="1" applyAlignment="1">
      <alignment vertical="center" wrapText="1"/>
    </xf>
    <xf numFmtId="183" fontId="0" fillId="0" borderId="161" xfId="0" applyNumberFormat="1" applyFont="1" applyFill="1" applyBorder="1" applyAlignment="1">
      <alignment vertical="center" shrinkToFit="1"/>
    </xf>
    <xf numFmtId="183" fontId="0" fillId="0" borderId="161" xfId="0" applyNumberFormat="1" applyFont="1" applyBorder="1" applyAlignment="1">
      <alignment vertical="center" shrinkToFit="1"/>
    </xf>
    <xf numFmtId="183" fontId="0" fillId="0" borderId="144" xfId="0" applyNumberFormat="1" applyFont="1" applyBorder="1" applyAlignment="1">
      <alignment vertical="center" shrinkToFit="1"/>
    </xf>
    <xf numFmtId="176" fontId="0" fillId="0" borderId="147" xfId="0" applyNumberFormat="1" applyFont="1" applyBorder="1" applyAlignment="1">
      <alignment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83" fontId="0" fillId="6" borderId="203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83" fontId="0" fillId="0" borderId="50" xfId="0" applyNumberFormat="1" applyFont="1" applyFill="1" applyBorder="1" applyAlignment="1">
      <alignment vertical="center" shrinkToFit="1"/>
    </xf>
    <xf numFmtId="183" fontId="0" fillId="0" borderId="24" xfId="0" applyNumberFormat="1" applyFont="1" applyFill="1" applyBorder="1" applyAlignment="1">
      <alignment vertical="center" shrinkToFit="1"/>
    </xf>
    <xf numFmtId="177" fontId="1" fillId="0" borderId="154" xfId="3" applyNumberFormat="1" applyFont="1" applyBorder="1" applyAlignment="1">
      <alignment vertical="center" shrinkToFit="1"/>
    </xf>
    <xf numFmtId="176" fontId="1" fillId="0" borderId="154" xfId="0" applyNumberFormat="1" applyFont="1" applyBorder="1" applyAlignment="1">
      <alignment vertical="center"/>
    </xf>
    <xf numFmtId="176" fontId="1" fillId="0" borderId="155" xfId="0" applyNumberFormat="1" applyFont="1" applyBorder="1" applyAlignment="1">
      <alignment vertical="center"/>
    </xf>
    <xf numFmtId="177" fontId="1" fillId="0" borderId="24" xfId="3" applyNumberFormat="1" applyFont="1" applyBorder="1" applyAlignment="1">
      <alignment vertical="center" shrinkToFit="1"/>
    </xf>
    <xf numFmtId="179" fontId="1" fillId="0" borderId="24" xfId="0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 shrinkToFit="1"/>
    </xf>
    <xf numFmtId="9" fontId="1" fillId="0" borderId="24" xfId="3" applyNumberFormat="1" applyFont="1" applyFill="1" applyBorder="1" applyAlignment="1">
      <alignment vertical="center" shrinkToFit="1"/>
    </xf>
    <xf numFmtId="176" fontId="1" fillId="0" borderId="62" xfId="0" applyNumberFormat="1" applyFont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16" fillId="0" borderId="144" xfId="0" applyNumberFormat="1" applyFont="1" applyFill="1" applyBorder="1" applyAlignment="1">
      <alignment vertical="center"/>
    </xf>
    <xf numFmtId="177" fontId="16" fillId="0" borderId="146" xfId="0" applyNumberFormat="1" applyFont="1" applyFill="1" applyBorder="1" applyAlignment="1">
      <alignment vertical="center"/>
    </xf>
    <xf numFmtId="0" fontId="8" fillId="0" borderId="89" xfId="2" applyFont="1" applyBorder="1" applyAlignment="1">
      <alignment vertical="top" wrapText="1"/>
    </xf>
    <xf numFmtId="0" fontId="8" fillId="0" borderId="76" xfId="2" applyFont="1" applyBorder="1" applyAlignment="1">
      <alignment vertical="top" wrapText="1"/>
    </xf>
    <xf numFmtId="0" fontId="8" fillId="0" borderId="115" xfId="2" applyFont="1" applyBorder="1" applyAlignment="1">
      <alignment vertical="top" wrapText="1"/>
    </xf>
    <xf numFmtId="0" fontId="0" fillId="0" borderId="115" xfId="2" applyFont="1" applyBorder="1" applyAlignment="1">
      <alignment vertical="top" wrapText="1"/>
    </xf>
    <xf numFmtId="0" fontId="1" fillId="0" borderId="115" xfId="2" applyFont="1" applyBorder="1" applyAlignment="1">
      <alignment vertical="top" wrapText="1"/>
    </xf>
    <xf numFmtId="0" fontId="1" fillId="0" borderId="116" xfId="2" applyFont="1" applyBorder="1" applyAlignment="1">
      <alignment vertical="top" wrapText="1"/>
    </xf>
    <xf numFmtId="177" fontId="0" fillId="0" borderId="144" xfId="0" applyNumberFormat="1" applyFill="1" applyBorder="1" applyAlignment="1">
      <alignment horizontal="right" vertical="center"/>
    </xf>
    <xf numFmtId="182" fontId="0" fillId="0" borderId="146" xfId="0" applyNumberFormat="1" applyFont="1" applyFill="1" applyBorder="1" applyAlignment="1">
      <alignment horizontal="left" vertical="center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87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61" xfId="2" applyFont="1" applyBorder="1" applyAlignment="1">
      <alignment horizontal="left" vertical="center" wrapText="1" indent="1"/>
    </xf>
    <xf numFmtId="0" fontId="8" fillId="0" borderId="168" xfId="2" applyFont="1" applyBorder="1" applyAlignment="1">
      <alignment horizontal="left" vertical="center" wrapText="1" indent="1"/>
    </xf>
    <xf numFmtId="0" fontId="8" fillId="0" borderId="52" xfId="2" applyFont="1" applyBorder="1" applyAlignment="1">
      <alignment horizontal="left" vertical="center" wrapText="1" inden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8" fillId="0" borderId="171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0" fontId="0" fillId="0" borderId="101" xfId="0" quotePrefix="1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 textRotation="255" wrapText="1"/>
    </xf>
    <xf numFmtId="0" fontId="8" fillId="0" borderId="113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60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3" xfId="0" applyFont="1" applyFill="1" applyBorder="1" applyAlignment="1">
      <alignment horizontal="center" vertical="center" textRotation="255" wrapText="1"/>
    </xf>
    <xf numFmtId="0" fontId="0" fillId="4" borderId="160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7" xfId="0" applyNumberFormat="1" applyFont="1" applyBorder="1" applyAlignment="1">
      <alignment vertical="center"/>
    </xf>
    <xf numFmtId="0" fontId="0" fillId="0" borderId="150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180" fontId="0" fillId="0" borderId="186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7" xfId="1" applyNumberFormat="1" applyFont="1" applyBorder="1" applyAlignment="1">
      <alignment horizontal="center" vertical="center"/>
    </xf>
    <xf numFmtId="180" fontId="0" fillId="0" borderId="140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88" xfId="1" applyNumberFormat="1" applyFont="1" applyBorder="1" applyAlignment="1">
      <alignment horizontal="center" vertical="center"/>
    </xf>
    <xf numFmtId="181" fontId="0" fillId="0" borderId="189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60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3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60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60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176" fontId="0" fillId="0" borderId="175" xfId="0" applyNumberFormat="1" applyFont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84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2" xfId="0" applyNumberFormat="1" applyBorder="1" applyAlignment="1">
      <alignment horizontal="center" vertical="center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61" xfId="0" applyNumberFormat="1" applyFill="1" applyBorder="1" applyAlignment="1">
      <alignment horizontal="left" vertical="center"/>
    </xf>
    <xf numFmtId="177" fontId="0" fillId="0" borderId="168" xfId="0" applyNumberFormat="1" applyFill="1" applyBorder="1" applyAlignment="1">
      <alignment horizontal="left" vertical="center"/>
    </xf>
    <xf numFmtId="177" fontId="0" fillId="0" borderId="169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8" xfId="0" applyNumberFormat="1" applyFill="1" applyBorder="1" applyAlignment="1">
      <alignment horizontal="center" vertical="center" textRotation="255" shrinkToFit="1"/>
    </xf>
    <xf numFmtId="0" fontId="0" fillId="0" borderId="137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16" fillId="0" borderId="13" xfId="0" applyNumberFormat="1" applyFont="1" applyFill="1" applyBorder="1" applyAlignment="1">
      <alignment vertical="center" shrinkToFit="1"/>
    </xf>
    <xf numFmtId="177" fontId="16" fillId="0" borderId="15" xfId="0" applyNumberFormat="1" applyFont="1" applyFill="1" applyBorder="1" applyAlignment="1">
      <alignment vertical="center" shrinkToFit="1"/>
    </xf>
    <xf numFmtId="177" fontId="0" fillId="0" borderId="161" xfId="0" applyNumberFormat="1" applyFill="1" applyBorder="1" applyAlignment="1">
      <alignment horizontal="left" vertical="center" shrinkToFit="1"/>
    </xf>
    <xf numFmtId="177" fontId="0" fillId="0" borderId="168" xfId="0" applyNumberFormat="1" applyFill="1" applyBorder="1" applyAlignment="1">
      <alignment horizontal="left" vertical="center" shrinkToFit="1"/>
    </xf>
    <xf numFmtId="177" fontId="0" fillId="0" borderId="169" xfId="0" applyNumberFormat="1" applyFill="1" applyBorder="1" applyAlignment="1">
      <alignment horizontal="left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68" xfId="0" applyNumberFormat="1" applyFill="1" applyBorder="1" applyAlignment="1">
      <alignment vertical="center" shrinkToFit="1"/>
    </xf>
    <xf numFmtId="177" fontId="0" fillId="0" borderId="129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2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48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53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6" fontId="1" fillId="0" borderId="156" xfId="3" applyNumberFormat="1" applyFont="1" applyFill="1" applyBorder="1" applyAlignment="1">
      <alignment vertical="center" shrinkToFit="1"/>
    </xf>
    <xf numFmtId="176" fontId="1" fillId="0" borderId="157" xfId="3" applyNumberFormat="1" applyFont="1" applyFill="1" applyBorder="1" applyAlignment="1">
      <alignment vertical="center" shrinkToFit="1"/>
    </xf>
    <xf numFmtId="176" fontId="1" fillId="0" borderId="34" xfId="3" applyNumberFormat="1" applyFont="1" applyFill="1" applyBorder="1" applyAlignment="1">
      <alignment vertical="center" shrinkToFit="1"/>
    </xf>
    <xf numFmtId="176" fontId="1" fillId="0" borderId="41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127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154" xfId="0" applyNumberFormat="1" applyFont="1" applyBorder="1" applyAlignment="1">
      <alignment vertical="center"/>
    </xf>
    <xf numFmtId="176" fontId="0" fillId="0" borderId="124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1" fillId="0" borderId="154" xfId="0" applyNumberFormat="1" applyFont="1" applyBorder="1" applyAlignment="1">
      <alignment vertical="center"/>
    </xf>
    <xf numFmtId="177" fontId="0" fillId="2" borderId="127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horizontal="center" vertical="center" textRotation="255" shrinkToFit="1"/>
    </xf>
    <xf numFmtId="177" fontId="0" fillId="2" borderId="162" xfId="0" applyNumberFormat="1" applyFont="1" applyFill="1" applyBorder="1" applyAlignment="1">
      <alignment horizontal="center" vertical="center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159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0" fontId="0" fillId="0" borderId="106" xfId="0" applyFont="1" applyBorder="1">
      <alignment vertical="center"/>
    </xf>
    <xf numFmtId="0" fontId="0" fillId="0" borderId="159" xfId="0" applyFont="1" applyBorder="1">
      <alignment vertical="center"/>
    </xf>
  </cellXfs>
  <cellStyles count="12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桁区切り 3" xfId="11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</xdr:colOff>
      <xdr:row>12</xdr:row>
      <xdr:rowOff>47625</xdr:rowOff>
    </xdr:from>
    <xdr:to>
      <xdr:col>8</xdr:col>
      <xdr:colOff>280153</xdr:colOff>
      <xdr:row>13</xdr:row>
      <xdr:rowOff>4876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3095625"/>
          <a:ext cx="268247" cy="207282"/>
        </a:xfrm>
        <a:prstGeom prst="rect">
          <a:avLst/>
        </a:prstGeom>
      </xdr:spPr>
    </xdr:pic>
    <xdr:clientData/>
  </xdr:twoCellAnchor>
  <xdr:twoCellAnchor editAs="oneCell">
    <xdr:from>
      <xdr:col>31</xdr:col>
      <xdr:colOff>250031</xdr:colOff>
      <xdr:row>14</xdr:row>
      <xdr:rowOff>11906</xdr:rowOff>
    </xdr:from>
    <xdr:to>
      <xdr:col>32</xdr:col>
      <xdr:colOff>256341</xdr:colOff>
      <xdr:row>14</xdr:row>
      <xdr:rowOff>219188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0" y="3559969"/>
          <a:ext cx="268247" cy="207282"/>
        </a:xfrm>
        <a:prstGeom prst="rect">
          <a:avLst/>
        </a:prstGeom>
      </xdr:spPr>
    </xdr:pic>
    <xdr:clientData/>
  </xdr:twoCellAnchor>
  <xdr:twoCellAnchor editAs="oneCell">
    <xdr:from>
      <xdr:col>5</xdr:col>
      <xdr:colOff>631030</xdr:colOff>
      <xdr:row>20</xdr:row>
      <xdr:rowOff>11907</xdr:rowOff>
    </xdr:from>
    <xdr:to>
      <xdr:col>6</xdr:col>
      <xdr:colOff>208714</xdr:colOff>
      <xdr:row>20</xdr:row>
      <xdr:rowOff>219189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8030" y="5060157"/>
          <a:ext cx="268247" cy="207282"/>
        </a:xfrm>
        <a:prstGeom prst="rect">
          <a:avLst/>
        </a:prstGeom>
      </xdr:spPr>
    </xdr:pic>
    <xdr:clientData/>
  </xdr:twoCellAnchor>
  <xdr:twoCellAnchor>
    <xdr:from>
      <xdr:col>31</xdr:col>
      <xdr:colOff>202405</xdr:colOff>
      <xdr:row>15</xdr:row>
      <xdr:rowOff>130968</xdr:rowOff>
    </xdr:from>
    <xdr:to>
      <xdr:col>33</xdr:col>
      <xdr:colOff>238125</xdr:colOff>
      <xdr:row>15</xdr:row>
      <xdr:rowOff>130968</xdr:rowOff>
    </xdr:to>
    <xdr:cxnSp macro="">
      <xdr:nvCxnSpPr>
        <xdr:cNvPr id="11" name="直線コネクタ 10"/>
        <xdr:cNvCxnSpPr/>
      </xdr:nvCxnSpPr>
      <xdr:spPr>
        <a:xfrm>
          <a:off x="10144124" y="3929062"/>
          <a:ext cx="55959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202406</xdr:colOff>
      <xdr:row>15</xdr:row>
      <xdr:rowOff>130969</xdr:rowOff>
    </xdr:from>
    <xdr:to>
      <xdr:col>30</xdr:col>
      <xdr:colOff>35719</xdr:colOff>
      <xdr:row>15</xdr:row>
      <xdr:rowOff>130969</xdr:rowOff>
    </xdr:to>
    <xdr:cxnSp macro="">
      <xdr:nvCxnSpPr>
        <xdr:cNvPr id="12" name="直線コネクタ 11"/>
        <xdr:cNvCxnSpPr/>
      </xdr:nvCxnSpPr>
      <xdr:spPr>
        <a:xfrm>
          <a:off x="9620250" y="3929063"/>
          <a:ext cx="952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202407</xdr:colOff>
      <xdr:row>15</xdr:row>
      <xdr:rowOff>130969</xdr:rowOff>
    </xdr:from>
    <xdr:to>
      <xdr:col>31</xdr:col>
      <xdr:colOff>35719</xdr:colOff>
      <xdr:row>15</xdr:row>
      <xdr:rowOff>130969</xdr:rowOff>
    </xdr:to>
    <xdr:cxnSp macro="">
      <xdr:nvCxnSpPr>
        <xdr:cNvPr id="18" name="直線コネクタ 17"/>
        <xdr:cNvCxnSpPr/>
      </xdr:nvCxnSpPr>
      <xdr:spPr>
        <a:xfrm>
          <a:off x="9882188" y="3929063"/>
          <a:ext cx="952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190499</xdr:colOff>
      <xdr:row>13</xdr:row>
      <xdr:rowOff>130969</xdr:rowOff>
    </xdr:from>
    <xdr:to>
      <xdr:col>12</xdr:col>
      <xdr:colOff>226219</xdr:colOff>
      <xdr:row>13</xdr:row>
      <xdr:rowOff>130969</xdr:rowOff>
    </xdr:to>
    <xdr:cxnSp macro="">
      <xdr:nvCxnSpPr>
        <xdr:cNvPr id="23" name="直線コネクタ 22"/>
        <xdr:cNvCxnSpPr/>
      </xdr:nvCxnSpPr>
      <xdr:spPr>
        <a:xfrm>
          <a:off x="4631530" y="3429000"/>
          <a:ext cx="55959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214312</xdr:colOff>
      <xdr:row>13</xdr:row>
      <xdr:rowOff>130970</xdr:rowOff>
    </xdr:from>
    <xdr:to>
      <xdr:col>9</xdr:col>
      <xdr:colOff>23812</xdr:colOff>
      <xdr:row>13</xdr:row>
      <xdr:rowOff>130970</xdr:rowOff>
    </xdr:to>
    <xdr:cxnSp macro="">
      <xdr:nvCxnSpPr>
        <xdr:cNvPr id="24" name="直線コネクタ 23"/>
        <xdr:cNvCxnSpPr/>
      </xdr:nvCxnSpPr>
      <xdr:spPr>
        <a:xfrm>
          <a:off x="4107656" y="3429001"/>
          <a:ext cx="952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13</xdr:row>
      <xdr:rowOff>130970</xdr:rowOff>
    </xdr:from>
    <xdr:to>
      <xdr:col>10</xdr:col>
      <xdr:colOff>23813</xdr:colOff>
      <xdr:row>13</xdr:row>
      <xdr:rowOff>130970</xdr:rowOff>
    </xdr:to>
    <xdr:cxnSp macro="">
      <xdr:nvCxnSpPr>
        <xdr:cNvPr id="25" name="直線コネクタ 24"/>
        <xdr:cNvCxnSpPr/>
      </xdr:nvCxnSpPr>
      <xdr:spPr>
        <a:xfrm>
          <a:off x="4369594" y="3429001"/>
          <a:ext cx="952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345281</xdr:colOff>
      <xdr:row>7</xdr:row>
      <xdr:rowOff>142874</xdr:rowOff>
    </xdr:from>
    <xdr:to>
      <xdr:col>31</xdr:col>
      <xdr:colOff>11906</xdr:colOff>
      <xdr:row>7</xdr:row>
      <xdr:rowOff>142874</xdr:rowOff>
    </xdr:to>
    <xdr:cxnSp macro="">
      <xdr:nvCxnSpPr>
        <xdr:cNvPr id="3" name="直線コネクタ 2"/>
        <xdr:cNvCxnSpPr/>
      </xdr:nvCxnSpPr>
      <xdr:spPr>
        <a:xfrm>
          <a:off x="13835062" y="1881187"/>
          <a:ext cx="10596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333374</xdr:colOff>
      <xdr:row>7</xdr:row>
      <xdr:rowOff>142875</xdr:rowOff>
    </xdr:from>
    <xdr:to>
      <xdr:col>28</xdr:col>
      <xdr:colOff>142875</xdr:colOff>
      <xdr:row>7</xdr:row>
      <xdr:rowOff>142875</xdr:rowOff>
    </xdr:to>
    <xdr:cxnSp macro="">
      <xdr:nvCxnSpPr>
        <xdr:cNvPr id="11" name="直線コネクタ 10"/>
        <xdr:cNvCxnSpPr/>
      </xdr:nvCxnSpPr>
      <xdr:spPr>
        <a:xfrm>
          <a:off x="13358812" y="1881188"/>
          <a:ext cx="2738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333374</xdr:colOff>
      <xdr:row>7</xdr:row>
      <xdr:rowOff>142875</xdr:rowOff>
    </xdr:from>
    <xdr:to>
      <xdr:col>27</xdr:col>
      <xdr:colOff>142875</xdr:colOff>
      <xdr:row>7</xdr:row>
      <xdr:rowOff>142875</xdr:rowOff>
    </xdr:to>
    <xdr:cxnSp macro="">
      <xdr:nvCxnSpPr>
        <xdr:cNvPr id="13" name="直線コネクタ 12"/>
        <xdr:cNvCxnSpPr/>
      </xdr:nvCxnSpPr>
      <xdr:spPr>
        <a:xfrm>
          <a:off x="12894468" y="1881188"/>
          <a:ext cx="2738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357187</xdr:colOff>
      <xdr:row>6</xdr:row>
      <xdr:rowOff>130970</xdr:rowOff>
    </xdr:from>
    <xdr:to>
      <xdr:col>10</xdr:col>
      <xdr:colOff>23813</xdr:colOff>
      <xdr:row>6</xdr:row>
      <xdr:rowOff>130970</xdr:rowOff>
    </xdr:to>
    <xdr:cxnSp macro="">
      <xdr:nvCxnSpPr>
        <xdr:cNvPr id="18" name="直線コネクタ 17"/>
        <xdr:cNvCxnSpPr/>
      </xdr:nvCxnSpPr>
      <xdr:spPr>
        <a:xfrm>
          <a:off x="4095750" y="1619251"/>
          <a:ext cx="10596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345281</xdr:colOff>
      <xdr:row>6</xdr:row>
      <xdr:rowOff>130971</xdr:rowOff>
    </xdr:from>
    <xdr:to>
      <xdr:col>7</xdr:col>
      <xdr:colOff>154781</xdr:colOff>
      <xdr:row>6</xdr:row>
      <xdr:rowOff>130971</xdr:rowOff>
    </xdr:to>
    <xdr:cxnSp macro="">
      <xdr:nvCxnSpPr>
        <xdr:cNvPr id="19" name="直線コネクタ 18"/>
        <xdr:cNvCxnSpPr/>
      </xdr:nvCxnSpPr>
      <xdr:spPr>
        <a:xfrm>
          <a:off x="3619500" y="1619252"/>
          <a:ext cx="2738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6</xdr:row>
      <xdr:rowOff>130971</xdr:rowOff>
    </xdr:from>
    <xdr:to>
      <xdr:col>6</xdr:col>
      <xdr:colOff>142876</xdr:colOff>
      <xdr:row>6</xdr:row>
      <xdr:rowOff>130971</xdr:rowOff>
    </xdr:to>
    <xdr:cxnSp macro="">
      <xdr:nvCxnSpPr>
        <xdr:cNvPr id="20" name="直線コネクタ 19"/>
        <xdr:cNvCxnSpPr/>
      </xdr:nvCxnSpPr>
      <xdr:spPr>
        <a:xfrm>
          <a:off x="3143250" y="1619252"/>
          <a:ext cx="2738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9" customWidth="1"/>
    <col min="2" max="3" width="7.625" style="69" customWidth="1"/>
    <col min="4" max="6" width="9" style="69"/>
    <col min="7" max="7" width="3.5" style="69" customWidth="1"/>
    <col min="8" max="8" width="3.625" style="69" customWidth="1"/>
    <col min="9" max="9" width="3.75" style="69" customWidth="1"/>
    <col min="10" max="42" width="3.5" style="69" customWidth="1"/>
    <col min="43" max="43" width="1.375" style="69" customWidth="1"/>
    <col min="44" max="16384" width="9" style="69"/>
  </cols>
  <sheetData>
    <row r="1" spans="1:42" ht="9.9499999999999993" customHeight="1" thickBot="1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2" ht="39.950000000000003" customHeight="1" thickBot="1" x14ac:dyDescent="0.2">
      <c r="A2" s="80"/>
      <c r="B2" s="272" t="s">
        <v>71</v>
      </c>
      <c r="C2" s="510" t="s">
        <v>411</v>
      </c>
      <c r="D2" s="511"/>
      <c r="E2" s="273" t="s">
        <v>56</v>
      </c>
      <c r="F2" s="510" t="s">
        <v>403</v>
      </c>
      <c r="G2" s="512"/>
      <c r="H2" s="512"/>
      <c r="I2" s="512"/>
      <c r="J2" s="512"/>
      <c r="K2" s="512"/>
      <c r="L2" s="512"/>
      <c r="M2" s="512"/>
      <c r="N2" s="511"/>
      <c r="O2" s="516" t="s">
        <v>57</v>
      </c>
      <c r="P2" s="517"/>
      <c r="Q2" s="518"/>
      <c r="R2" s="519" t="s">
        <v>263</v>
      </c>
      <c r="S2" s="520"/>
      <c r="T2" s="520"/>
      <c r="U2" s="520"/>
      <c r="V2" s="519" t="s">
        <v>58</v>
      </c>
      <c r="W2" s="520"/>
      <c r="X2" s="520"/>
      <c r="Y2" s="513" t="s">
        <v>402</v>
      </c>
      <c r="Z2" s="514"/>
      <c r="AA2" s="515"/>
      <c r="AB2" s="81"/>
      <c r="AC2" s="81"/>
      <c r="AD2" s="81"/>
    </row>
    <row r="3" spans="1:42" ht="9.9499999999999993" customHeight="1" x14ac:dyDescent="0.15">
      <c r="B3" s="82"/>
    </row>
    <row r="4" spans="1:42" ht="24.95" customHeight="1" thickBot="1" x14ac:dyDescent="0.2">
      <c r="B4" s="69" t="s">
        <v>94</v>
      </c>
    </row>
    <row r="5" spans="1:42" ht="20.100000000000001" customHeight="1" x14ac:dyDescent="0.15">
      <c r="B5" s="418" t="s">
        <v>95</v>
      </c>
      <c r="C5" s="419"/>
      <c r="D5" s="420" t="s">
        <v>435</v>
      </c>
      <c r="E5" s="421"/>
      <c r="F5" s="421"/>
      <c r="G5" s="422"/>
      <c r="H5" s="423" t="s">
        <v>59</v>
      </c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24"/>
      <c r="AD5" s="81"/>
      <c r="AE5" s="81"/>
      <c r="AF5" s="81"/>
      <c r="AG5" s="81"/>
      <c r="AH5" s="81"/>
      <c r="AI5" s="81"/>
      <c r="AJ5" s="81"/>
      <c r="AK5" s="81"/>
      <c r="AL5" s="81"/>
    </row>
    <row r="6" spans="1:42" ht="20.100000000000001" customHeight="1" x14ac:dyDescent="0.15">
      <c r="B6" s="430" t="s">
        <v>60</v>
      </c>
      <c r="C6" s="431"/>
      <c r="D6" s="431"/>
      <c r="E6" s="431"/>
      <c r="F6" s="431"/>
      <c r="G6" s="432"/>
      <c r="H6" s="432" t="s">
        <v>61</v>
      </c>
      <c r="I6" s="416"/>
      <c r="J6" s="416"/>
      <c r="K6" s="416"/>
      <c r="L6" s="416"/>
      <c r="M6" s="416"/>
      <c r="N6" s="432" t="s">
        <v>62</v>
      </c>
      <c r="O6" s="416"/>
      <c r="P6" s="416"/>
      <c r="Q6" s="432" t="s">
        <v>63</v>
      </c>
      <c r="R6" s="416"/>
      <c r="S6" s="416"/>
      <c r="T6" s="416"/>
      <c r="U6" s="416"/>
      <c r="V6" s="416"/>
      <c r="W6" s="416"/>
      <c r="X6" s="437"/>
      <c r="Y6" s="416" t="s">
        <v>64</v>
      </c>
      <c r="Z6" s="416"/>
      <c r="AA6" s="417"/>
    </row>
    <row r="7" spans="1:42" ht="20.100000000000001" customHeight="1" x14ac:dyDescent="0.15">
      <c r="B7" s="433" t="s">
        <v>65</v>
      </c>
      <c r="C7" s="434"/>
      <c r="D7" s="435"/>
      <c r="E7" s="436"/>
      <c r="F7" s="436"/>
      <c r="G7" s="436"/>
      <c r="H7" s="432" t="s">
        <v>262</v>
      </c>
      <c r="I7" s="416"/>
      <c r="J7" s="416"/>
      <c r="K7" s="416"/>
      <c r="L7" s="416"/>
      <c r="M7" s="437"/>
      <c r="N7" s="438" t="s">
        <v>379</v>
      </c>
      <c r="O7" s="439"/>
      <c r="P7" s="440"/>
      <c r="Q7" s="425"/>
      <c r="R7" s="426"/>
      <c r="S7" s="426"/>
      <c r="T7" s="426"/>
      <c r="U7" s="426"/>
      <c r="V7" s="426"/>
      <c r="W7" s="426"/>
      <c r="X7" s="427"/>
      <c r="Y7" s="428"/>
      <c r="Z7" s="428"/>
      <c r="AA7" s="429"/>
    </row>
    <row r="8" spans="1:42" ht="20.100000000000001" customHeight="1" x14ac:dyDescent="0.15">
      <c r="B8" s="430" t="s">
        <v>66</v>
      </c>
      <c r="C8" s="431"/>
      <c r="D8" s="443" t="s">
        <v>380</v>
      </c>
      <c r="E8" s="441"/>
      <c r="F8" s="441"/>
      <c r="G8" s="442"/>
      <c r="H8" s="432"/>
      <c r="I8" s="416"/>
      <c r="J8" s="416"/>
      <c r="K8" s="416"/>
      <c r="L8" s="416"/>
      <c r="M8" s="437"/>
      <c r="N8" s="432"/>
      <c r="O8" s="416"/>
      <c r="P8" s="437"/>
      <c r="Q8" s="444"/>
      <c r="R8" s="445"/>
      <c r="S8" s="445"/>
      <c r="T8" s="445"/>
      <c r="U8" s="445"/>
      <c r="V8" s="445"/>
      <c r="W8" s="445"/>
      <c r="X8" s="446"/>
      <c r="Y8" s="432"/>
      <c r="Z8" s="416"/>
      <c r="AA8" s="417"/>
    </row>
    <row r="9" spans="1:42" ht="20.100000000000001" customHeight="1" x14ac:dyDescent="0.15">
      <c r="B9" s="430" t="s">
        <v>67</v>
      </c>
      <c r="C9" s="431"/>
      <c r="D9" s="441"/>
      <c r="E9" s="441"/>
      <c r="F9" s="441"/>
      <c r="G9" s="442"/>
      <c r="H9" s="432"/>
      <c r="I9" s="416"/>
      <c r="J9" s="416"/>
      <c r="K9" s="416"/>
      <c r="L9" s="416"/>
      <c r="M9" s="437"/>
      <c r="N9" s="432"/>
      <c r="O9" s="416"/>
      <c r="P9" s="437"/>
      <c r="Q9" s="444"/>
      <c r="R9" s="445"/>
      <c r="S9" s="445"/>
      <c r="T9" s="445"/>
      <c r="U9" s="445"/>
      <c r="V9" s="445"/>
      <c r="W9" s="445"/>
      <c r="X9" s="446"/>
      <c r="Y9" s="432"/>
      <c r="Z9" s="416"/>
      <c r="AA9" s="417"/>
    </row>
    <row r="10" spans="1:42" ht="20.100000000000001" customHeight="1" x14ac:dyDescent="0.15">
      <c r="B10" s="430" t="s">
        <v>68</v>
      </c>
      <c r="C10" s="431"/>
      <c r="D10" s="441"/>
      <c r="E10" s="441"/>
      <c r="F10" s="441"/>
      <c r="G10" s="442"/>
      <c r="H10" s="447"/>
      <c r="I10" s="448"/>
      <c r="J10" s="448"/>
      <c r="K10" s="448"/>
      <c r="L10" s="448"/>
      <c r="M10" s="448"/>
      <c r="N10" s="432"/>
      <c r="O10" s="416"/>
      <c r="P10" s="437"/>
      <c r="Q10" s="444"/>
      <c r="R10" s="445"/>
      <c r="S10" s="445"/>
      <c r="T10" s="445"/>
      <c r="U10" s="445"/>
      <c r="V10" s="445"/>
      <c r="W10" s="445"/>
      <c r="X10" s="446"/>
      <c r="Y10" s="416"/>
      <c r="Z10" s="416"/>
      <c r="AA10" s="417"/>
    </row>
    <row r="11" spans="1:42" ht="20.100000000000001" customHeight="1" thickBot="1" x14ac:dyDescent="0.2">
      <c r="B11" s="451" t="s">
        <v>69</v>
      </c>
      <c r="C11" s="434"/>
      <c r="D11" s="452" t="s">
        <v>381</v>
      </c>
      <c r="E11" s="453"/>
      <c r="F11" s="453"/>
      <c r="G11" s="454"/>
      <c r="H11" s="455"/>
      <c r="I11" s="456"/>
      <c r="J11" s="456"/>
      <c r="K11" s="456"/>
      <c r="L11" s="456"/>
      <c r="M11" s="456"/>
      <c r="N11" s="470"/>
      <c r="O11" s="467"/>
      <c r="P11" s="467"/>
      <c r="Q11" s="464"/>
      <c r="R11" s="465"/>
      <c r="S11" s="465"/>
      <c r="T11" s="465"/>
      <c r="U11" s="465"/>
      <c r="V11" s="465"/>
      <c r="W11" s="465"/>
      <c r="X11" s="466"/>
      <c r="Y11" s="467"/>
      <c r="Z11" s="467"/>
      <c r="AA11" s="468"/>
    </row>
    <row r="12" spans="1:42" ht="20.100000000000001" customHeight="1" x14ac:dyDescent="0.15">
      <c r="B12" s="457" t="s">
        <v>92</v>
      </c>
      <c r="C12" s="423" t="s">
        <v>96</v>
      </c>
      <c r="D12" s="419"/>
      <c r="E12" s="449"/>
      <c r="F12" s="70" t="s">
        <v>93</v>
      </c>
      <c r="G12" s="423">
        <v>1</v>
      </c>
      <c r="H12" s="419"/>
      <c r="I12" s="419"/>
      <c r="J12" s="423">
        <v>2</v>
      </c>
      <c r="K12" s="419"/>
      <c r="L12" s="449"/>
      <c r="M12" s="419">
        <v>3</v>
      </c>
      <c r="N12" s="419"/>
      <c r="O12" s="450"/>
      <c r="P12" s="423">
        <v>4</v>
      </c>
      <c r="Q12" s="419"/>
      <c r="R12" s="449"/>
      <c r="S12" s="469">
        <v>5</v>
      </c>
      <c r="T12" s="419"/>
      <c r="U12" s="450"/>
      <c r="V12" s="423">
        <v>6</v>
      </c>
      <c r="W12" s="419"/>
      <c r="X12" s="449"/>
      <c r="Y12" s="469">
        <v>7</v>
      </c>
      <c r="Z12" s="419"/>
      <c r="AA12" s="450"/>
      <c r="AB12" s="423">
        <v>8</v>
      </c>
      <c r="AC12" s="419"/>
      <c r="AD12" s="449"/>
      <c r="AE12" s="469">
        <v>9</v>
      </c>
      <c r="AF12" s="419"/>
      <c r="AG12" s="450"/>
      <c r="AH12" s="423">
        <v>10</v>
      </c>
      <c r="AI12" s="419"/>
      <c r="AJ12" s="449"/>
      <c r="AK12" s="423">
        <v>11</v>
      </c>
      <c r="AL12" s="419"/>
      <c r="AM12" s="449"/>
      <c r="AN12" s="419">
        <v>12</v>
      </c>
      <c r="AO12" s="419"/>
      <c r="AP12" s="424"/>
    </row>
    <row r="13" spans="1:42" ht="20.100000000000001" customHeight="1" x14ac:dyDescent="0.15">
      <c r="B13" s="458"/>
      <c r="C13" s="471"/>
      <c r="D13" s="472"/>
      <c r="E13" s="473"/>
      <c r="F13" s="83"/>
      <c r="G13" s="84"/>
      <c r="H13" s="85"/>
      <c r="I13" s="354"/>
      <c r="J13" s="84"/>
      <c r="K13" s="85"/>
      <c r="L13" s="86"/>
      <c r="M13" s="85"/>
      <c r="N13" s="85"/>
      <c r="O13" s="87"/>
      <c r="P13" s="84"/>
      <c r="Q13" s="85"/>
      <c r="R13" s="86"/>
      <c r="S13" s="88"/>
      <c r="T13" s="85"/>
      <c r="U13" s="87"/>
      <c r="V13" s="84"/>
      <c r="W13" s="85"/>
      <c r="X13" s="86"/>
      <c r="Y13" s="88"/>
      <c r="Z13" s="85"/>
      <c r="AA13" s="87"/>
      <c r="AB13" s="84"/>
      <c r="AC13" s="85"/>
      <c r="AD13" s="86"/>
      <c r="AE13" s="84"/>
      <c r="AF13" s="85"/>
      <c r="AG13" s="86"/>
      <c r="AH13" s="84"/>
      <c r="AI13" s="85"/>
      <c r="AJ13" s="86"/>
      <c r="AK13" s="84"/>
      <c r="AL13" s="85"/>
      <c r="AM13" s="86"/>
      <c r="AN13" s="85"/>
      <c r="AO13" s="85"/>
      <c r="AP13" s="89"/>
    </row>
    <row r="14" spans="1:42" ht="20.100000000000001" customHeight="1" x14ac:dyDescent="0.15">
      <c r="B14" s="458"/>
      <c r="C14" s="471" t="s">
        <v>264</v>
      </c>
      <c r="D14" s="472"/>
      <c r="E14" s="473"/>
      <c r="F14" s="78" t="s">
        <v>378</v>
      </c>
      <c r="G14" s="90"/>
      <c r="H14" s="91"/>
      <c r="I14" s="347" t="s">
        <v>266</v>
      </c>
      <c r="J14" s="348" t="s">
        <v>267</v>
      </c>
      <c r="K14" s="347" t="s">
        <v>268</v>
      </c>
      <c r="L14" s="92"/>
      <c r="M14" s="91"/>
      <c r="N14" s="349"/>
      <c r="O14" s="350"/>
      <c r="P14" s="351"/>
      <c r="Q14" s="349"/>
      <c r="R14" s="352"/>
      <c r="S14" s="353"/>
      <c r="T14" s="349"/>
      <c r="U14" s="350"/>
      <c r="V14" s="351"/>
      <c r="W14" s="349"/>
      <c r="X14" s="352"/>
      <c r="Y14" s="353"/>
      <c r="Z14" s="91"/>
      <c r="AA14" s="93"/>
      <c r="AB14" s="90"/>
      <c r="AC14" s="91"/>
      <c r="AD14" s="92"/>
      <c r="AE14" s="90"/>
      <c r="AF14" s="91"/>
      <c r="AG14" s="92"/>
      <c r="AH14" s="90"/>
      <c r="AI14" s="91"/>
      <c r="AJ14" s="92"/>
      <c r="AK14" s="90"/>
      <c r="AL14" s="91"/>
      <c r="AM14" s="92"/>
      <c r="AN14" s="91"/>
      <c r="AO14" s="91"/>
      <c r="AP14" s="95"/>
    </row>
    <row r="15" spans="1:42" ht="20.100000000000001" customHeight="1" x14ac:dyDescent="0.15">
      <c r="B15" s="458"/>
      <c r="C15" s="471"/>
      <c r="D15" s="472"/>
      <c r="E15" s="473"/>
      <c r="F15" s="78"/>
      <c r="G15" s="90"/>
      <c r="H15" s="91"/>
      <c r="I15" s="91"/>
      <c r="J15" s="90"/>
      <c r="K15" s="91"/>
      <c r="L15" s="92"/>
      <c r="M15" s="91"/>
      <c r="N15" s="91"/>
      <c r="O15" s="93"/>
      <c r="P15" s="90"/>
      <c r="Q15" s="91"/>
      <c r="R15" s="92"/>
      <c r="S15" s="94"/>
      <c r="T15" s="91"/>
      <c r="U15" s="93"/>
      <c r="V15" s="90"/>
      <c r="W15" s="91"/>
      <c r="X15" s="92"/>
      <c r="Y15" s="94"/>
      <c r="Z15" s="91"/>
      <c r="AA15" s="93"/>
      <c r="AB15" s="90"/>
      <c r="AC15" s="91"/>
      <c r="AD15" s="92"/>
      <c r="AE15" s="90"/>
      <c r="AF15" s="91"/>
      <c r="AG15" s="92"/>
      <c r="AH15" s="90"/>
      <c r="AI15" s="91"/>
      <c r="AJ15" s="92"/>
      <c r="AK15" s="90"/>
      <c r="AL15" s="91"/>
      <c r="AM15" s="92"/>
      <c r="AN15" s="91"/>
      <c r="AO15" s="91"/>
      <c r="AP15" s="95"/>
    </row>
    <row r="16" spans="1:42" ht="20.100000000000001" customHeight="1" x14ac:dyDescent="0.15">
      <c r="B16" s="458"/>
      <c r="C16" s="460" t="s">
        <v>265</v>
      </c>
      <c r="D16" s="461"/>
      <c r="E16" s="461"/>
      <c r="F16" s="78" t="s">
        <v>378</v>
      </c>
      <c r="G16" s="351"/>
      <c r="H16" s="91"/>
      <c r="I16" s="91"/>
      <c r="J16" s="90"/>
      <c r="K16" s="91"/>
      <c r="L16" s="92"/>
      <c r="M16" s="91"/>
      <c r="N16" s="91"/>
      <c r="O16" s="93"/>
      <c r="P16" s="90"/>
      <c r="Q16" s="91"/>
      <c r="R16" s="92"/>
      <c r="S16" s="94"/>
      <c r="T16" s="91"/>
      <c r="U16" s="93"/>
      <c r="V16" s="90"/>
      <c r="W16" s="91"/>
      <c r="X16" s="92"/>
      <c r="Y16" s="94"/>
      <c r="Z16" s="91"/>
      <c r="AA16" s="93"/>
      <c r="AB16" s="90"/>
      <c r="AC16" s="91"/>
      <c r="AD16" s="355" t="s">
        <v>269</v>
      </c>
      <c r="AE16" s="348" t="s">
        <v>267</v>
      </c>
      <c r="AF16" s="347" t="s">
        <v>270</v>
      </c>
      <c r="AG16" s="92"/>
      <c r="AH16" s="90"/>
      <c r="AI16" s="349"/>
      <c r="AJ16" s="352"/>
      <c r="AK16" s="351"/>
      <c r="AL16" s="349"/>
      <c r="AM16" s="352"/>
      <c r="AN16" s="349"/>
      <c r="AO16" s="349"/>
      <c r="AP16" s="356"/>
    </row>
    <row r="17" spans="2:42" ht="20.100000000000001" customHeight="1" x14ac:dyDescent="0.15">
      <c r="B17" s="458"/>
      <c r="C17" s="460"/>
      <c r="D17" s="461"/>
      <c r="E17" s="461"/>
      <c r="F17" s="96"/>
      <c r="G17" s="90"/>
      <c r="H17" s="91"/>
      <c r="I17" s="91"/>
      <c r="J17" s="90"/>
      <c r="K17" s="91"/>
      <c r="L17" s="92"/>
      <c r="M17" s="91"/>
      <c r="N17" s="91"/>
      <c r="O17" s="93"/>
      <c r="P17" s="90"/>
      <c r="Q17" s="91"/>
      <c r="R17" s="92"/>
      <c r="S17" s="94"/>
      <c r="T17" s="91"/>
      <c r="U17" s="93"/>
      <c r="V17" s="90"/>
      <c r="W17" s="91"/>
      <c r="X17" s="92"/>
      <c r="Y17" s="94"/>
      <c r="Z17" s="91"/>
      <c r="AA17" s="93"/>
      <c r="AB17" s="90"/>
      <c r="AC17" s="91"/>
      <c r="AD17" s="92"/>
      <c r="AE17" s="90"/>
      <c r="AF17" s="91"/>
      <c r="AG17" s="92"/>
      <c r="AH17" s="90"/>
      <c r="AI17" s="91"/>
      <c r="AJ17" s="92"/>
      <c r="AK17" s="90"/>
      <c r="AL17" s="91"/>
      <c r="AM17" s="92"/>
      <c r="AN17" s="91"/>
      <c r="AO17" s="91"/>
      <c r="AP17" s="95"/>
    </row>
    <row r="18" spans="2:42" ht="20.100000000000001" customHeight="1" x14ac:dyDescent="0.15">
      <c r="B18" s="458"/>
      <c r="C18" s="460"/>
      <c r="D18" s="461"/>
      <c r="E18" s="461"/>
      <c r="F18" s="96"/>
      <c r="G18" s="90"/>
      <c r="H18" s="91"/>
      <c r="I18" s="91"/>
      <c r="J18" s="90"/>
      <c r="K18" s="91"/>
      <c r="L18" s="92"/>
      <c r="M18" s="91"/>
      <c r="N18" s="91"/>
      <c r="O18" s="93"/>
      <c r="P18" s="90"/>
      <c r="Q18" s="91"/>
      <c r="R18" s="92"/>
      <c r="S18" s="94"/>
      <c r="T18" s="91"/>
      <c r="U18" s="93"/>
      <c r="V18" s="90"/>
      <c r="W18" s="91"/>
      <c r="X18" s="92"/>
      <c r="Y18" s="94"/>
      <c r="Z18" s="91"/>
      <c r="AA18" s="93"/>
      <c r="AB18" s="90"/>
      <c r="AC18" s="91"/>
      <c r="AD18" s="92"/>
      <c r="AE18" s="90"/>
      <c r="AF18" s="91"/>
      <c r="AG18" s="92"/>
      <c r="AH18" s="90"/>
      <c r="AI18" s="91"/>
      <c r="AJ18" s="92"/>
      <c r="AK18" s="90"/>
      <c r="AL18" s="91"/>
      <c r="AM18" s="92"/>
      <c r="AN18" s="91"/>
      <c r="AO18" s="91"/>
      <c r="AP18" s="95"/>
    </row>
    <row r="19" spans="2:42" ht="20.100000000000001" customHeight="1" x14ac:dyDescent="0.15">
      <c r="B19" s="459"/>
      <c r="C19" s="462"/>
      <c r="D19" s="463"/>
      <c r="E19" s="463"/>
      <c r="F19" s="97"/>
      <c r="G19" s="98"/>
      <c r="H19" s="99"/>
      <c r="I19" s="99"/>
      <c r="J19" s="100"/>
      <c r="K19" s="101"/>
      <c r="L19" s="102"/>
      <c r="M19" s="99"/>
      <c r="N19" s="99"/>
      <c r="O19" s="103"/>
      <c r="P19" s="100"/>
      <c r="Q19" s="101"/>
      <c r="R19" s="102"/>
      <c r="S19" s="104"/>
      <c r="T19" s="99"/>
      <c r="U19" s="103"/>
      <c r="V19" s="100"/>
      <c r="W19" s="101"/>
      <c r="X19" s="102"/>
      <c r="Y19" s="104"/>
      <c r="Z19" s="99"/>
      <c r="AA19" s="103"/>
      <c r="AB19" s="100"/>
      <c r="AC19" s="101"/>
      <c r="AD19" s="102"/>
      <c r="AE19" s="100"/>
      <c r="AF19" s="101"/>
      <c r="AG19" s="102"/>
      <c r="AH19" s="100"/>
      <c r="AI19" s="101"/>
      <c r="AJ19" s="102"/>
      <c r="AK19" s="100"/>
      <c r="AL19" s="101"/>
      <c r="AM19" s="102"/>
      <c r="AN19" s="101"/>
      <c r="AO19" s="101"/>
      <c r="AP19" s="105"/>
    </row>
    <row r="20" spans="2:42" ht="20.100000000000001" customHeight="1" x14ac:dyDescent="0.15">
      <c r="B20" s="495" t="s">
        <v>70</v>
      </c>
      <c r="C20" s="479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1"/>
    </row>
    <row r="21" spans="2:42" ht="20.100000000000001" customHeight="1" x14ac:dyDescent="0.15">
      <c r="B21" s="433"/>
      <c r="C21" s="496" t="s">
        <v>412</v>
      </c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106"/>
      <c r="W21" s="106"/>
      <c r="Y21" s="436"/>
      <c r="Z21" s="436"/>
      <c r="AA21" s="436"/>
      <c r="AB21" s="436"/>
      <c r="AC21" s="106"/>
      <c r="AD21" s="106"/>
      <c r="AI21" s="106"/>
      <c r="AJ21" s="106"/>
      <c r="AK21" s="106"/>
      <c r="AL21" s="106"/>
      <c r="AM21" s="106"/>
      <c r="AN21" s="106"/>
      <c r="AO21" s="106"/>
      <c r="AP21" s="107"/>
    </row>
    <row r="22" spans="2:42" ht="20.100000000000001" customHeight="1" thickBot="1" x14ac:dyDescent="0.2">
      <c r="B22" s="451"/>
      <c r="C22" s="482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4"/>
    </row>
    <row r="23" spans="2:42" ht="9.9499999999999993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</row>
    <row r="24" spans="2:42" ht="24.95" customHeight="1" thickBot="1" x14ac:dyDescent="0.2">
      <c r="B24" s="69" t="s">
        <v>97</v>
      </c>
    </row>
    <row r="25" spans="2:42" ht="20.100000000000001" customHeight="1" thickBot="1" x14ac:dyDescent="0.2">
      <c r="B25" s="485" t="s">
        <v>16</v>
      </c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7"/>
      <c r="O25" s="488" t="s">
        <v>15</v>
      </c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489"/>
      <c r="AN25" s="489"/>
      <c r="AO25" s="489"/>
      <c r="AP25" s="490"/>
    </row>
    <row r="26" spans="2:42" ht="39.950000000000003" customHeight="1" x14ac:dyDescent="0.15">
      <c r="B26" s="491" t="s">
        <v>11</v>
      </c>
      <c r="C26" s="475"/>
      <c r="D26" s="475"/>
      <c r="E26" s="492" t="s">
        <v>271</v>
      </c>
      <c r="F26" s="493"/>
      <c r="G26" s="493"/>
      <c r="H26" s="493"/>
      <c r="I26" s="493"/>
      <c r="J26" s="493"/>
      <c r="K26" s="493"/>
      <c r="L26" s="493"/>
      <c r="M26" s="493"/>
      <c r="N26" s="494"/>
      <c r="O26" s="474" t="s">
        <v>8</v>
      </c>
      <c r="P26" s="475"/>
      <c r="Q26" s="475"/>
      <c r="R26" s="475"/>
      <c r="S26" s="475"/>
      <c r="T26" s="476" t="s">
        <v>272</v>
      </c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8"/>
    </row>
    <row r="27" spans="2:42" ht="39.950000000000003" customHeight="1" x14ac:dyDescent="0.15">
      <c r="B27" s="501" t="s">
        <v>12</v>
      </c>
      <c r="C27" s="502"/>
      <c r="D27" s="502"/>
      <c r="E27" s="503" t="s">
        <v>436</v>
      </c>
      <c r="F27" s="504"/>
      <c r="G27" s="504"/>
      <c r="H27" s="504"/>
      <c r="I27" s="504"/>
      <c r="J27" s="504"/>
      <c r="K27" s="504"/>
      <c r="L27" s="504"/>
      <c r="M27" s="504"/>
      <c r="N27" s="505"/>
      <c r="O27" s="506" t="s">
        <v>9</v>
      </c>
      <c r="P27" s="502"/>
      <c r="Q27" s="502"/>
      <c r="R27" s="502"/>
      <c r="S27" s="502"/>
      <c r="T27" s="503" t="s">
        <v>376</v>
      </c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  <c r="AO27" s="504"/>
      <c r="AP27" s="505"/>
    </row>
    <row r="28" spans="2:42" ht="39.950000000000003" customHeight="1" x14ac:dyDescent="0.15">
      <c r="B28" s="501" t="s">
        <v>13</v>
      </c>
      <c r="C28" s="502"/>
      <c r="D28" s="502"/>
      <c r="E28" s="503" t="s">
        <v>377</v>
      </c>
      <c r="F28" s="504"/>
      <c r="G28" s="504"/>
      <c r="H28" s="504"/>
      <c r="I28" s="504"/>
      <c r="J28" s="504"/>
      <c r="K28" s="504"/>
      <c r="L28" s="504"/>
      <c r="M28" s="504"/>
      <c r="N28" s="505"/>
      <c r="O28" s="506" t="s">
        <v>10</v>
      </c>
      <c r="P28" s="502"/>
      <c r="Q28" s="502"/>
      <c r="R28" s="502"/>
      <c r="S28" s="502"/>
      <c r="T28" s="503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5"/>
    </row>
    <row r="29" spans="2:42" ht="39.950000000000003" customHeight="1" thickBot="1" x14ac:dyDescent="0.2">
      <c r="B29" s="509" t="s">
        <v>14</v>
      </c>
      <c r="C29" s="508"/>
      <c r="D29" s="508"/>
      <c r="E29" s="498" t="s">
        <v>375</v>
      </c>
      <c r="F29" s="499"/>
      <c r="G29" s="499"/>
      <c r="H29" s="499"/>
      <c r="I29" s="499"/>
      <c r="J29" s="499"/>
      <c r="K29" s="499"/>
      <c r="L29" s="499"/>
      <c r="M29" s="499"/>
      <c r="N29" s="500"/>
      <c r="O29" s="507"/>
      <c r="P29" s="508"/>
      <c r="Q29" s="508"/>
      <c r="R29" s="508"/>
      <c r="S29" s="508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500"/>
    </row>
    <row r="30" spans="2:42" ht="9.75" customHeight="1" x14ac:dyDescent="0.15">
      <c r="B30" s="79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 x14ac:dyDescent="0.15"/>
  <cols>
    <col min="1" max="1" width="1.625" style="69" customWidth="1"/>
    <col min="2" max="2" width="7.625" style="69" customWidth="1"/>
    <col min="3" max="3" width="25.625" style="69" customWidth="1"/>
    <col min="4" max="4" width="23.5" style="69" customWidth="1"/>
    <col min="5" max="13" width="17.875" style="69" customWidth="1"/>
    <col min="14" max="16384" width="9" style="69"/>
  </cols>
  <sheetData>
    <row r="1" spans="2:13" ht="9.9499999999999993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3" ht="24.95" customHeight="1" thickBot="1" x14ac:dyDescent="0.2">
      <c r="B2" s="271" t="s">
        <v>361</v>
      </c>
      <c r="F2" s="295" t="s">
        <v>203</v>
      </c>
      <c r="G2" s="271" t="s">
        <v>273</v>
      </c>
      <c r="I2" s="295" t="s">
        <v>204</v>
      </c>
      <c r="J2" s="271" t="s">
        <v>314</v>
      </c>
    </row>
    <row r="3" spans="2:13" ht="20.100000000000001" customHeight="1" x14ac:dyDescent="0.15">
      <c r="B3" s="522" t="s">
        <v>91</v>
      </c>
      <c r="C3" s="523"/>
      <c r="D3" s="70" t="s">
        <v>274</v>
      </c>
      <c r="E3" s="70" t="s">
        <v>297</v>
      </c>
      <c r="F3" s="70" t="s">
        <v>298</v>
      </c>
      <c r="G3" s="70" t="s">
        <v>299</v>
      </c>
      <c r="H3" s="70" t="s">
        <v>300</v>
      </c>
      <c r="I3" s="70" t="s">
        <v>301</v>
      </c>
      <c r="J3" s="70" t="s">
        <v>302</v>
      </c>
      <c r="K3" s="70" t="s">
        <v>303</v>
      </c>
      <c r="L3" s="70" t="s">
        <v>304</v>
      </c>
      <c r="M3" s="71" t="s">
        <v>305</v>
      </c>
    </row>
    <row r="4" spans="2:13" ht="195.75" customHeight="1" x14ac:dyDescent="0.15">
      <c r="B4" s="521" t="s">
        <v>82</v>
      </c>
      <c r="C4" s="72" t="s">
        <v>83</v>
      </c>
      <c r="D4" s="406" t="s">
        <v>416</v>
      </c>
      <c r="E4" s="406" t="s">
        <v>417</v>
      </c>
      <c r="F4" s="406" t="s">
        <v>418</v>
      </c>
      <c r="G4" s="406" t="s">
        <v>419</v>
      </c>
      <c r="H4" s="406" t="s">
        <v>420</v>
      </c>
      <c r="I4" s="406" t="s">
        <v>421</v>
      </c>
      <c r="J4" s="406" t="s">
        <v>422</v>
      </c>
      <c r="K4" s="406" t="s">
        <v>423</v>
      </c>
      <c r="L4" s="406" t="s">
        <v>424</v>
      </c>
      <c r="M4" s="407" t="s">
        <v>425</v>
      </c>
    </row>
    <row r="5" spans="2:13" ht="48.75" customHeight="1" x14ac:dyDescent="0.15">
      <c r="B5" s="521"/>
      <c r="C5" s="72" t="s">
        <v>84</v>
      </c>
      <c r="D5" s="357" t="s">
        <v>387</v>
      </c>
      <c r="E5" s="357" t="s">
        <v>354</v>
      </c>
      <c r="F5" s="357" t="s">
        <v>359</v>
      </c>
      <c r="G5" s="357" t="s">
        <v>355</v>
      </c>
      <c r="H5" s="73" t="s">
        <v>356</v>
      </c>
      <c r="I5" s="73" t="s">
        <v>356</v>
      </c>
      <c r="J5" s="73" t="s">
        <v>356</v>
      </c>
      <c r="K5" s="73" t="s">
        <v>356</v>
      </c>
      <c r="L5" s="73" t="s">
        <v>358</v>
      </c>
      <c r="M5" s="74" t="s">
        <v>357</v>
      </c>
    </row>
    <row r="6" spans="2:13" ht="123" customHeight="1" x14ac:dyDescent="0.15">
      <c r="B6" s="521"/>
      <c r="C6" s="72" t="s">
        <v>90</v>
      </c>
      <c r="D6" s="385" t="s">
        <v>398</v>
      </c>
      <c r="E6" s="385"/>
      <c r="F6" s="385" t="s">
        <v>392</v>
      </c>
      <c r="G6" s="384"/>
      <c r="H6" s="382" t="s">
        <v>393</v>
      </c>
      <c r="I6" s="382"/>
      <c r="J6" s="382" t="s">
        <v>386</v>
      </c>
      <c r="K6" s="382" t="s">
        <v>385</v>
      </c>
      <c r="L6" s="382" t="s">
        <v>190</v>
      </c>
      <c r="M6" s="383"/>
    </row>
    <row r="7" spans="2:13" ht="20.100000000000001" customHeight="1" x14ac:dyDescent="0.15">
      <c r="B7" s="521"/>
      <c r="C7" s="77" t="s">
        <v>87</v>
      </c>
      <c r="D7" s="415"/>
      <c r="E7" s="415"/>
      <c r="F7" s="415">
        <v>60</v>
      </c>
      <c r="G7" s="415"/>
      <c r="H7" s="414">
        <v>45</v>
      </c>
      <c r="I7" s="414"/>
      <c r="J7" s="414">
        <v>31</v>
      </c>
      <c r="K7" s="414">
        <v>58</v>
      </c>
      <c r="L7" s="414">
        <v>52</v>
      </c>
      <c r="M7" s="381"/>
    </row>
    <row r="8" spans="2:13" ht="20.100000000000001" customHeight="1" x14ac:dyDescent="0.15">
      <c r="B8" s="521"/>
      <c r="C8" s="75" t="s">
        <v>88</v>
      </c>
      <c r="D8" s="415">
        <v>69</v>
      </c>
      <c r="E8" s="415">
        <v>18</v>
      </c>
      <c r="F8" s="415">
        <v>60</v>
      </c>
      <c r="G8" s="415">
        <v>36</v>
      </c>
      <c r="H8" s="414">
        <v>96</v>
      </c>
      <c r="I8" s="414">
        <v>348</v>
      </c>
      <c r="J8" s="414">
        <v>31</v>
      </c>
      <c r="K8" s="414">
        <v>58</v>
      </c>
      <c r="L8" s="414">
        <v>777</v>
      </c>
      <c r="M8" s="381">
        <v>48</v>
      </c>
    </row>
    <row r="9" spans="2:13" ht="20.100000000000001" customHeight="1" x14ac:dyDescent="0.15">
      <c r="B9" s="521"/>
      <c r="C9" s="72" t="s">
        <v>89</v>
      </c>
      <c r="D9" s="414"/>
      <c r="E9" s="414">
        <v>2</v>
      </c>
      <c r="F9" s="414"/>
      <c r="G9" s="414"/>
      <c r="H9" s="414"/>
      <c r="I9" s="414"/>
      <c r="J9" s="414"/>
      <c r="K9" s="414"/>
      <c r="L9" s="414">
        <v>2</v>
      </c>
      <c r="M9" s="381"/>
    </row>
    <row r="10" spans="2:13" ht="214.5" customHeight="1" x14ac:dyDescent="0.15">
      <c r="B10" s="526" t="s">
        <v>85</v>
      </c>
      <c r="C10" s="527"/>
      <c r="D10" s="73" t="s">
        <v>401</v>
      </c>
      <c r="E10" s="73" t="s">
        <v>437</v>
      </c>
      <c r="F10" s="73" t="s">
        <v>397</v>
      </c>
      <c r="G10" s="385" t="s">
        <v>396</v>
      </c>
      <c r="H10" s="76"/>
      <c r="I10" s="76"/>
      <c r="J10" s="385" t="s">
        <v>400</v>
      </c>
      <c r="K10" s="357" t="s">
        <v>353</v>
      </c>
      <c r="L10" s="357" t="s">
        <v>399</v>
      </c>
      <c r="M10" s="364"/>
    </row>
    <row r="11" spans="2:13" ht="150" customHeight="1" thickBot="1" x14ac:dyDescent="0.2">
      <c r="B11" s="524" t="s">
        <v>86</v>
      </c>
      <c r="C11" s="525"/>
      <c r="D11" s="408" t="s">
        <v>426</v>
      </c>
      <c r="E11" s="408"/>
      <c r="F11" s="408" t="s">
        <v>427</v>
      </c>
      <c r="G11" s="409" t="s">
        <v>428</v>
      </c>
      <c r="H11" s="409" t="s">
        <v>429</v>
      </c>
      <c r="I11" s="410"/>
      <c r="J11" s="409" t="s">
        <v>430</v>
      </c>
      <c r="K11" s="409" t="s">
        <v>431</v>
      </c>
      <c r="L11" s="410"/>
      <c r="M11" s="411"/>
    </row>
    <row r="12" spans="2:13" ht="9.75" customHeight="1" x14ac:dyDescent="0.15">
      <c r="B12" s="79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 x14ac:dyDescent="0.15"/>
    <row r="2" spans="2:14" ht="24.95" customHeight="1" thickBot="1" x14ac:dyDescent="0.2">
      <c r="B2" s="11" t="s">
        <v>81</v>
      </c>
      <c r="C2" s="12"/>
      <c r="D2" s="12"/>
      <c r="M2" s="13"/>
      <c r="N2" s="13"/>
    </row>
    <row r="3" spans="2:14" ht="20.100000000000001" customHeight="1" x14ac:dyDescent="0.15">
      <c r="B3" s="564" t="s">
        <v>257</v>
      </c>
      <c r="C3" s="565"/>
      <c r="D3" s="565"/>
      <c r="E3" s="565"/>
      <c r="F3" s="14" t="s">
        <v>22</v>
      </c>
      <c r="G3" s="14" t="s">
        <v>360</v>
      </c>
      <c r="H3" s="545" t="s">
        <v>256</v>
      </c>
      <c r="I3" s="546"/>
      <c r="J3" s="546"/>
      <c r="K3" s="546"/>
      <c r="L3" s="546"/>
      <c r="M3" s="546"/>
      <c r="N3" s="547"/>
    </row>
    <row r="4" spans="2:14" ht="20.100000000000001" customHeight="1" thickBot="1" x14ac:dyDescent="0.2">
      <c r="B4" s="566"/>
      <c r="C4" s="567"/>
      <c r="D4" s="567"/>
      <c r="E4" s="567"/>
      <c r="F4" s="15"/>
      <c r="G4" s="324">
        <v>25</v>
      </c>
      <c r="H4" s="548"/>
      <c r="I4" s="549"/>
      <c r="J4" s="549"/>
      <c r="K4" s="549"/>
      <c r="L4" s="549"/>
      <c r="M4" s="549"/>
      <c r="N4" s="550"/>
    </row>
    <row r="5" spans="2:14" ht="20.100000000000001" customHeight="1" x14ac:dyDescent="0.15">
      <c r="B5" s="576" t="s">
        <v>46</v>
      </c>
      <c r="C5" s="577"/>
      <c r="D5" s="16" t="s">
        <v>166</v>
      </c>
      <c r="E5" s="17"/>
      <c r="F5" s="18">
        <f>SUM(G5:G5)</f>
        <v>12506250</v>
      </c>
      <c r="G5" s="270">
        <f>'７　きゅうり部門収支'!F4*G$4/10</f>
        <v>12506250</v>
      </c>
      <c r="H5" s="551"/>
      <c r="I5" s="552"/>
      <c r="J5" s="552"/>
      <c r="K5" s="552"/>
      <c r="L5" s="552"/>
      <c r="M5" s="552"/>
      <c r="N5" s="553"/>
    </row>
    <row r="6" spans="2:14" ht="20.100000000000001" customHeight="1" x14ac:dyDescent="0.15">
      <c r="B6" s="578"/>
      <c r="C6" s="579"/>
      <c r="D6" s="19" t="s">
        <v>73</v>
      </c>
      <c r="E6" s="20"/>
      <c r="F6" s="21">
        <f>SUM(G6:G6)</f>
        <v>0</v>
      </c>
      <c r="G6" s="24">
        <f>'７　きゅうり部門収支'!F5*G$4/10</f>
        <v>0</v>
      </c>
      <c r="H6" s="542"/>
      <c r="I6" s="543"/>
      <c r="J6" s="543"/>
      <c r="K6" s="543"/>
      <c r="L6" s="543"/>
      <c r="M6" s="543"/>
      <c r="N6" s="544"/>
    </row>
    <row r="7" spans="2:14" ht="20.100000000000001" customHeight="1" x14ac:dyDescent="0.15">
      <c r="B7" s="580"/>
      <c r="C7" s="581"/>
      <c r="D7" s="568" t="s">
        <v>162</v>
      </c>
      <c r="E7" s="569"/>
      <c r="F7" s="22">
        <f>SUM(G7,H7,M7)</f>
        <v>12506250</v>
      </c>
      <c r="G7" s="23">
        <f>G5+G6</f>
        <v>12506250</v>
      </c>
      <c r="H7" s="542"/>
      <c r="I7" s="543"/>
      <c r="J7" s="543"/>
      <c r="K7" s="543"/>
      <c r="L7" s="543"/>
      <c r="M7" s="543"/>
      <c r="N7" s="544"/>
    </row>
    <row r="8" spans="2:14" ht="20.100000000000001" customHeight="1" x14ac:dyDescent="0.15">
      <c r="B8" s="538" t="s">
        <v>243</v>
      </c>
      <c r="C8" s="530" t="s">
        <v>258</v>
      </c>
      <c r="D8" s="19" t="s">
        <v>47</v>
      </c>
      <c r="E8" s="20"/>
      <c r="F8" s="21">
        <f t="shared" ref="F8:F21" si="0">SUM(G8:G8)</f>
        <v>136120</v>
      </c>
      <c r="G8" s="24">
        <f>'７　きゅうり部門収支'!F6*G$4/10</f>
        <v>136120</v>
      </c>
      <c r="H8" s="542"/>
      <c r="I8" s="543"/>
      <c r="J8" s="543"/>
      <c r="K8" s="543"/>
      <c r="L8" s="543"/>
      <c r="M8" s="543"/>
      <c r="N8" s="544"/>
    </row>
    <row r="9" spans="2:14" ht="20.100000000000001" customHeight="1" x14ac:dyDescent="0.15">
      <c r="B9" s="539"/>
      <c r="C9" s="531"/>
      <c r="D9" s="19" t="s">
        <v>48</v>
      </c>
      <c r="E9" s="20"/>
      <c r="F9" s="21">
        <f t="shared" si="0"/>
        <v>306125</v>
      </c>
      <c r="G9" s="24">
        <f>'７　きゅうり部門収支'!F7*G$4/10</f>
        <v>306125</v>
      </c>
      <c r="H9" s="542"/>
      <c r="I9" s="543"/>
      <c r="J9" s="543"/>
      <c r="K9" s="543"/>
      <c r="L9" s="543"/>
      <c r="M9" s="543"/>
      <c r="N9" s="544"/>
    </row>
    <row r="10" spans="2:14" ht="20.100000000000001" customHeight="1" x14ac:dyDescent="0.15">
      <c r="B10" s="539"/>
      <c r="C10" s="531"/>
      <c r="D10" s="19" t="s">
        <v>49</v>
      </c>
      <c r="E10" s="20"/>
      <c r="F10" s="21">
        <f t="shared" si="0"/>
        <v>419835.35</v>
      </c>
      <c r="G10" s="24">
        <f>'７　きゅうり部門収支'!F8*G$4/10</f>
        <v>419835.35</v>
      </c>
      <c r="H10" s="542"/>
      <c r="I10" s="543"/>
      <c r="J10" s="543"/>
      <c r="K10" s="543"/>
      <c r="L10" s="543"/>
      <c r="M10" s="543"/>
      <c r="N10" s="544"/>
    </row>
    <row r="11" spans="2:14" ht="20.100000000000001" customHeight="1" x14ac:dyDescent="0.15">
      <c r="B11" s="539"/>
      <c r="C11" s="531"/>
      <c r="D11" s="19" t="s">
        <v>74</v>
      </c>
      <c r="E11" s="20"/>
      <c r="F11" s="21">
        <f t="shared" si="0"/>
        <v>1324534.3</v>
      </c>
      <c r="G11" s="24">
        <f>'７　きゅうり部門収支'!F9*G$4/10</f>
        <v>1324534.3</v>
      </c>
      <c r="H11" s="542"/>
      <c r="I11" s="543"/>
      <c r="J11" s="543"/>
      <c r="K11" s="543"/>
      <c r="L11" s="543"/>
      <c r="M11" s="543"/>
      <c r="N11" s="544"/>
    </row>
    <row r="12" spans="2:14" ht="20.100000000000001" customHeight="1" x14ac:dyDescent="0.15">
      <c r="B12" s="539"/>
      <c r="C12" s="531"/>
      <c r="D12" s="19" t="s">
        <v>50</v>
      </c>
      <c r="E12" s="20"/>
      <c r="F12" s="21">
        <f t="shared" si="0"/>
        <v>832221.875</v>
      </c>
      <c r="G12" s="24">
        <f>'７　きゅうり部門収支'!F10*G$4/10</f>
        <v>832221.875</v>
      </c>
      <c r="H12" s="542"/>
      <c r="I12" s="543"/>
      <c r="J12" s="543"/>
      <c r="K12" s="543"/>
      <c r="L12" s="543"/>
      <c r="M12" s="543"/>
      <c r="N12" s="544"/>
    </row>
    <row r="13" spans="2:14" ht="20.100000000000001" customHeight="1" x14ac:dyDescent="0.15">
      <c r="B13" s="539"/>
      <c r="C13" s="531"/>
      <c r="D13" s="19" t="s">
        <v>4</v>
      </c>
      <c r="E13" s="20"/>
      <c r="F13" s="21">
        <f t="shared" si="0"/>
        <v>6600</v>
      </c>
      <c r="G13" s="24">
        <f>'７　きゅうり部門収支'!F11*G$4/10</f>
        <v>6600</v>
      </c>
      <c r="H13" s="542"/>
      <c r="I13" s="543"/>
      <c r="J13" s="543"/>
      <c r="K13" s="543"/>
      <c r="L13" s="543"/>
      <c r="M13" s="543"/>
      <c r="N13" s="544"/>
    </row>
    <row r="14" spans="2:14" ht="20.100000000000001" customHeight="1" x14ac:dyDescent="0.15">
      <c r="B14" s="539"/>
      <c r="C14" s="531"/>
      <c r="D14" s="19" t="s">
        <v>5</v>
      </c>
      <c r="E14" s="20"/>
      <c r="F14" s="24">
        <f t="shared" si="0"/>
        <v>0</v>
      </c>
      <c r="G14" s="24">
        <f>'７　きゅうり部門収支'!F12*G$4/10</f>
        <v>0</v>
      </c>
      <c r="H14" s="542"/>
      <c r="I14" s="543"/>
      <c r="J14" s="543"/>
      <c r="K14" s="543"/>
      <c r="L14" s="543"/>
      <c r="M14" s="543"/>
      <c r="N14" s="544"/>
    </row>
    <row r="15" spans="2:14" ht="20.100000000000001" customHeight="1" x14ac:dyDescent="0.15">
      <c r="B15" s="539"/>
      <c r="C15" s="531"/>
      <c r="D15" s="570" t="s">
        <v>51</v>
      </c>
      <c r="E15" s="317" t="s">
        <v>156</v>
      </c>
      <c r="F15" s="24">
        <f t="shared" si="0"/>
        <v>74125</v>
      </c>
      <c r="G15" s="24">
        <f>'７　きゅうり部門収支'!F13*G$4/10</f>
        <v>74125</v>
      </c>
      <c r="H15" s="542"/>
      <c r="I15" s="543"/>
      <c r="J15" s="543"/>
      <c r="K15" s="543"/>
      <c r="L15" s="543"/>
      <c r="M15" s="543"/>
      <c r="N15" s="544"/>
    </row>
    <row r="16" spans="2:14" ht="20.100000000000001" customHeight="1" x14ac:dyDescent="0.15">
      <c r="B16" s="539"/>
      <c r="C16" s="531"/>
      <c r="D16" s="571"/>
      <c r="E16" s="317" t="s">
        <v>157</v>
      </c>
      <c r="F16" s="24">
        <f t="shared" si="0"/>
        <v>112837.03125</v>
      </c>
      <c r="G16" s="24">
        <f>'７　きゅうり部門収支'!F14*G$4/10</f>
        <v>112837.03125</v>
      </c>
      <c r="H16" s="542"/>
      <c r="I16" s="543"/>
      <c r="J16" s="543"/>
      <c r="K16" s="543"/>
      <c r="L16" s="543"/>
      <c r="M16" s="543"/>
      <c r="N16" s="544"/>
    </row>
    <row r="17" spans="2:14" ht="20.100000000000001" customHeight="1" x14ac:dyDescent="0.15">
      <c r="B17" s="539"/>
      <c r="C17" s="531"/>
      <c r="D17" s="572" t="s">
        <v>75</v>
      </c>
      <c r="E17" s="317" t="s">
        <v>156</v>
      </c>
      <c r="F17" s="24">
        <f t="shared" si="0"/>
        <v>626041.66666666663</v>
      </c>
      <c r="G17" s="24">
        <f>'７　きゅうり部門収支'!F15*G$4/10</f>
        <v>626041.66666666663</v>
      </c>
      <c r="H17" s="542"/>
      <c r="I17" s="543"/>
      <c r="J17" s="543"/>
      <c r="K17" s="543"/>
      <c r="L17" s="543"/>
      <c r="M17" s="543"/>
      <c r="N17" s="544"/>
    </row>
    <row r="18" spans="2:14" ht="20.100000000000001" customHeight="1" x14ac:dyDescent="0.15">
      <c r="B18" s="539"/>
      <c r="C18" s="531"/>
      <c r="D18" s="573"/>
      <c r="E18" s="317" t="s">
        <v>157</v>
      </c>
      <c r="F18" s="24">
        <f t="shared" si="0"/>
        <v>383998.66071428574</v>
      </c>
      <c r="G18" s="24">
        <f>'７　きゅうり部門収支'!F16*G$4/10</f>
        <v>383998.66071428574</v>
      </c>
      <c r="H18" s="542"/>
      <c r="I18" s="543"/>
      <c r="J18" s="543"/>
      <c r="K18" s="543"/>
      <c r="L18" s="543"/>
      <c r="M18" s="543"/>
      <c r="N18" s="544"/>
    </row>
    <row r="19" spans="2:14" ht="20.100000000000001" customHeight="1" x14ac:dyDescent="0.15">
      <c r="B19" s="539"/>
      <c r="C19" s="531"/>
      <c r="D19" s="571"/>
      <c r="E19" s="318" t="s">
        <v>52</v>
      </c>
      <c r="F19" s="24">
        <f t="shared" si="0"/>
        <v>0</v>
      </c>
      <c r="G19" s="24">
        <f>'７　きゅうり部門収支'!F17*G$4/10</f>
        <v>0</v>
      </c>
      <c r="H19" s="542"/>
      <c r="I19" s="543"/>
      <c r="J19" s="543"/>
      <c r="K19" s="543"/>
      <c r="L19" s="543"/>
      <c r="M19" s="543"/>
      <c r="N19" s="544"/>
    </row>
    <row r="20" spans="2:14" ht="20.100000000000001" customHeight="1" x14ac:dyDescent="0.15">
      <c r="B20" s="539"/>
      <c r="C20" s="531"/>
      <c r="D20" s="19" t="s">
        <v>53</v>
      </c>
      <c r="E20" s="20"/>
      <c r="F20" s="21">
        <f t="shared" si="0"/>
        <v>12000</v>
      </c>
      <c r="G20" s="24">
        <f>'７　きゅうり部門収支'!F18*G$4/10</f>
        <v>12000</v>
      </c>
      <c r="H20" s="542"/>
      <c r="I20" s="543"/>
      <c r="J20" s="543"/>
      <c r="K20" s="543"/>
      <c r="L20" s="543"/>
      <c r="M20" s="543"/>
      <c r="N20" s="544"/>
    </row>
    <row r="21" spans="2:14" ht="20.100000000000001" customHeight="1" x14ac:dyDescent="0.15">
      <c r="B21" s="539"/>
      <c r="C21" s="531"/>
      <c r="D21" s="19" t="s">
        <v>133</v>
      </c>
      <c r="E21" s="20"/>
      <c r="F21" s="21">
        <f t="shared" si="0"/>
        <v>42772.109935666187</v>
      </c>
      <c r="G21" s="24">
        <f>'７　きゅうり部門収支'!F19*G$4/10</f>
        <v>42772.109935666187</v>
      </c>
      <c r="H21" s="542"/>
      <c r="I21" s="543"/>
      <c r="J21" s="543"/>
      <c r="K21" s="543"/>
      <c r="L21" s="543"/>
      <c r="M21" s="543"/>
      <c r="N21" s="544"/>
    </row>
    <row r="22" spans="2:14" ht="20.100000000000001" customHeight="1" x14ac:dyDescent="0.15">
      <c r="B22" s="539"/>
      <c r="C22" s="532"/>
      <c r="D22" s="574" t="s">
        <v>163</v>
      </c>
      <c r="E22" s="575"/>
      <c r="F22" s="327">
        <f>SUM(F8:F21)</f>
        <v>4277210.9935666183</v>
      </c>
      <c r="G22" s="327">
        <f>SUM(G8:G21)</f>
        <v>4277210.9935666183</v>
      </c>
      <c r="H22" s="542"/>
      <c r="I22" s="543"/>
      <c r="J22" s="543"/>
      <c r="K22" s="543"/>
      <c r="L22" s="543"/>
      <c r="M22" s="543"/>
      <c r="N22" s="544"/>
    </row>
    <row r="23" spans="2:14" ht="20.100000000000001" customHeight="1" x14ac:dyDescent="0.15">
      <c r="B23" s="539"/>
      <c r="C23" s="533" t="s">
        <v>160</v>
      </c>
      <c r="D23" s="556" t="s">
        <v>54</v>
      </c>
      <c r="E23" s="27" t="s">
        <v>1</v>
      </c>
      <c r="F23" s="24">
        <f t="shared" ref="F23:F31" si="1">SUM(G23:G23)</f>
        <v>608140</v>
      </c>
      <c r="G23" s="24">
        <f>'７　きゅうり部門収支'!F21*G$4/10</f>
        <v>608140</v>
      </c>
      <c r="H23" s="542"/>
      <c r="I23" s="543"/>
      <c r="J23" s="543"/>
      <c r="K23" s="543"/>
      <c r="L23" s="543"/>
      <c r="M23" s="543"/>
      <c r="N23" s="544"/>
    </row>
    <row r="24" spans="2:14" ht="20.100000000000001" customHeight="1" x14ac:dyDescent="0.15">
      <c r="B24" s="539"/>
      <c r="C24" s="534"/>
      <c r="D24" s="557"/>
      <c r="E24" s="27" t="s">
        <v>2</v>
      </c>
      <c r="F24" s="24">
        <f t="shared" si="1"/>
        <v>467800</v>
      </c>
      <c r="G24" s="24">
        <f>'７　きゅうり部門収支'!F22*G$4/10</f>
        <v>467800</v>
      </c>
      <c r="H24" s="542"/>
      <c r="I24" s="543"/>
      <c r="J24" s="543"/>
      <c r="K24" s="543"/>
      <c r="L24" s="543"/>
      <c r="M24" s="543"/>
      <c r="N24" s="544"/>
    </row>
    <row r="25" spans="2:14" ht="20.100000000000001" customHeight="1" x14ac:dyDescent="0.15">
      <c r="B25" s="539"/>
      <c r="C25" s="534"/>
      <c r="D25" s="558"/>
      <c r="E25" s="27" t="s">
        <v>6</v>
      </c>
      <c r="F25" s="24">
        <f t="shared" si="1"/>
        <v>1438218.75</v>
      </c>
      <c r="G25" s="24">
        <f>'７　きゅうり部門収支'!F23*G$4/10</f>
        <v>1438218.75</v>
      </c>
      <c r="H25" s="542"/>
      <c r="I25" s="543"/>
      <c r="J25" s="543"/>
      <c r="K25" s="543"/>
      <c r="L25" s="543"/>
      <c r="M25" s="543"/>
      <c r="N25" s="544"/>
    </row>
    <row r="26" spans="2:14" ht="20.100000000000001" customHeight="1" x14ac:dyDescent="0.15">
      <c r="B26" s="539"/>
      <c r="C26" s="534"/>
      <c r="D26" s="27" t="s">
        <v>241</v>
      </c>
      <c r="E26" s="28"/>
      <c r="F26" s="24">
        <f t="shared" si="1"/>
        <v>0</v>
      </c>
      <c r="G26" s="24">
        <f>'７　きゅうり部門収支'!F24*G$4/10</f>
        <v>0</v>
      </c>
      <c r="H26" s="542"/>
      <c r="I26" s="543"/>
      <c r="J26" s="543"/>
      <c r="K26" s="543"/>
      <c r="L26" s="543"/>
      <c r="M26" s="543"/>
      <c r="N26" s="544"/>
    </row>
    <row r="27" spans="2:14" ht="20.100000000000001" customHeight="1" x14ac:dyDescent="0.15">
      <c r="B27" s="539"/>
      <c r="C27" s="534"/>
      <c r="D27" s="27" t="s">
        <v>76</v>
      </c>
      <c r="E27" s="28"/>
      <c r="F27" s="24">
        <f t="shared" si="1"/>
        <v>0</v>
      </c>
      <c r="G27" s="24">
        <f>'７　きゅうり部門収支'!F25*G$4/10</f>
        <v>0</v>
      </c>
      <c r="H27" s="542"/>
      <c r="I27" s="543"/>
      <c r="J27" s="543"/>
      <c r="K27" s="543"/>
      <c r="L27" s="543"/>
      <c r="M27" s="543"/>
      <c r="N27" s="544"/>
    </row>
    <row r="28" spans="2:14" ht="20.100000000000001" customHeight="1" x14ac:dyDescent="0.15">
      <c r="B28" s="539"/>
      <c r="C28" s="534"/>
      <c r="D28" s="27" t="s">
        <v>98</v>
      </c>
      <c r="E28" s="28"/>
      <c r="F28" s="24">
        <f t="shared" si="1"/>
        <v>72475</v>
      </c>
      <c r="G28" s="24">
        <f>'７　きゅうり部門収支'!F26*G$4/10</f>
        <v>72475</v>
      </c>
      <c r="H28" s="542"/>
      <c r="I28" s="543"/>
      <c r="J28" s="543"/>
      <c r="K28" s="543"/>
      <c r="L28" s="543"/>
      <c r="M28" s="543"/>
      <c r="N28" s="544"/>
    </row>
    <row r="29" spans="2:14" ht="20.100000000000001" customHeight="1" x14ac:dyDescent="0.15">
      <c r="B29" s="539"/>
      <c r="C29" s="534"/>
      <c r="D29" s="27" t="s">
        <v>77</v>
      </c>
      <c r="E29" s="28"/>
      <c r="F29" s="24">
        <f t="shared" si="1"/>
        <v>0</v>
      </c>
      <c r="G29" s="24">
        <f>'７　きゅうり部門収支'!F27*G$4/10</f>
        <v>0</v>
      </c>
      <c r="H29" s="542"/>
      <c r="I29" s="543"/>
      <c r="J29" s="543"/>
      <c r="K29" s="543"/>
      <c r="L29" s="543"/>
      <c r="M29" s="543"/>
      <c r="N29" s="544"/>
    </row>
    <row r="30" spans="2:14" ht="20.100000000000001" customHeight="1" x14ac:dyDescent="0.15">
      <c r="B30" s="539"/>
      <c r="C30" s="534"/>
      <c r="D30" s="27" t="s">
        <v>55</v>
      </c>
      <c r="E30" s="28"/>
      <c r="F30" s="24">
        <f t="shared" si="1"/>
        <v>29643.999999999993</v>
      </c>
      <c r="G30" s="24">
        <f>'７　きゅうり部門収支'!F28*G$4/10</f>
        <v>29643.999999999993</v>
      </c>
      <c r="H30" s="542"/>
      <c r="I30" s="543"/>
      <c r="J30" s="543"/>
      <c r="K30" s="543"/>
      <c r="L30" s="543"/>
      <c r="M30" s="543"/>
      <c r="N30" s="544"/>
    </row>
    <row r="31" spans="2:14" ht="20.100000000000001" customHeight="1" x14ac:dyDescent="0.15">
      <c r="B31" s="539"/>
      <c r="C31" s="534"/>
      <c r="D31" s="27" t="s">
        <v>242</v>
      </c>
      <c r="E31" s="28"/>
      <c r="F31" s="24">
        <f t="shared" si="1"/>
        <v>26427.047979797982</v>
      </c>
      <c r="G31" s="24">
        <f>'７　きゅうり部門収支'!F29*G$4/10</f>
        <v>26427.047979797982</v>
      </c>
      <c r="H31" s="542"/>
      <c r="I31" s="543"/>
      <c r="J31" s="543"/>
      <c r="K31" s="543"/>
      <c r="L31" s="543"/>
      <c r="M31" s="543"/>
      <c r="N31" s="544"/>
    </row>
    <row r="32" spans="2:14" ht="20.100000000000001" customHeight="1" x14ac:dyDescent="0.15">
      <c r="B32" s="539"/>
      <c r="C32" s="534"/>
      <c r="D32" s="559" t="s">
        <v>244</v>
      </c>
      <c r="E32" s="560"/>
      <c r="F32" s="325">
        <f>SUM(F23:F31)</f>
        <v>2642704.7979797982</v>
      </c>
      <c r="G32" s="325">
        <f>SUM(G23:G31)</f>
        <v>2642704.7979797982</v>
      </c>
      <c r="H32" s="542"/>
      <c r="I32" s="543"/>
      <c r="J32" s="543"/>
      <c r="K32" s="543"/>
      <c r="L32" s="543"/>
      <c r="M32" s="543"/>
      <c r="N32" s="544"/>
    </row>
    <row r="33" spans="2:14" ht="20.100000000000001" customHeight="1" x14ac:dyDescent="0.15">
      <c r="B33" s="539"/>
      <c r="C33" s="561" t="s">
        <v>245</v>
      </c>
      <c r="D33" s="562"/>
      <c r="E33" s="563"/>
      <c r="F33" s="24">
        <f>SUM(G33:G33)</f>
        <v>0</v>
      </c>
      <c r="G33" s="326">
        <f>'５　きゅうり作業時間'!AN52*'４　経営収支'!I33</f>
        <v>0</v>
      </c>
      <c r="H33" s="25" t="s">
        <v>247</v>
      </c>
      <c r="I33" s="331">
        <v>900</v>
      </c>
      <c r="J33" s="329" t="s">
        <v>248</v>
      </c>
      <c r="K33" s="329"/>
      <c r="L33" s="329"/>
      <c r="M33" s="329"/>
      <c r="N33" s="330"/>
    </row>
    <row r="34" spans="2:14" ht="20.100000000000001" customHeight="1" x14ac:dyDescent="0.15">
      <c r="B34" s="554" t="s">
        <v>246</v>
      </c>
      <c r="C34" s="555"/>
      <c r="D34" s="555"/>
      <c r="E34" s="555"/>
      <c r="F34" s="328">
        <f>F22+F32+F33</f>
        <v>6919915.7915464165</v>
      </c>
      <c r="G34" s="328">
        <f>G22+G32+G33</f>
        <v>6919915.7915464165</v>
      </c>
      <c r="H34" s="542"/>
      <c r="I34" s="543"/>
      <c r="J34" s="543"/>
      <c r="K34" s="543"/>
      <c r="L34" s="543"/>
      <c r="M34" s="543"/>
      <c r="N34" s="544"/>
    </row>
    <row r="35" spans="2:14" ht="20.100000000000001" customHeight="1" x14ac:dyDescent="0.15">
      <c r="B35" s="528" t="s">
        <v>249</v>
      </c>
      <c r="C35" s="529"/>
      <c r="D35" s="529"/>
      <c r="E35" s="529"/>
      <c r="F35" s="332">
        <f>F7-F34</f>
        <v>5586334.2084535835</v>
      </c>
      <c r="G35" s="332">
        <f>G7-G34</f>
        <v>5586334.2084535835</v>
      </c>
      <c r="H35" s="542"/>
      <c r="I35" s="543"/>
      <c r="J35" s="543"/>
      <c r="K35" s="543"/>
      <c r="L35" s="543"/>
      <c r="M35" s="543"/>
      <c r="N35" s="544"/>
    </row>
    <row r="36" spans="2:14" ht="20.100000000000001" customHeight="1" x14ac:dyDescent="0.15">
      <c r="B36" s="528" t="s">
        <v>250</v>
      </c>
      <c r="C36" s="529"/>
      <c r="D36" s="529"/>
      <c r="E36" s="529"/>
      <c r="F36" s="334">
        <f>F35/F7</f>
        <v>0.44668339497879728</v>
      </c>
      <c r="G36" s="334">
        <f>G35/G7</f>
        <v>0.44668339497879728</v>
      </c>
      <c r="H36" s="542"/>
      <c r="I36" s="543"/>
      <c r="J36" s="543"/>
      <c r="K36" s="543"/>
      <c r="L36" s="543"/>
      <c r="M36" s="543"/>
      <c r="N36" s="544"/>
    </row>
    <row r="37" spans="2:14" ht="20.100000000000001" customHeight="1" x14ac:dyDescent="0.15">
      <c r="B37" s="528" t="s">
        <v>254</v>
      </c>
      <c r="C37" s="529"/>
      <c r="D37" s="529"/>
      <c r="E37" s="529"/>
      <c r="F37" s="332">
        <f>SUM(G37:G37)</f>
        <v>3852.5</v>
      </c>
      <c r="G37" s="332">
        <f>I37+L37</f>
        <v>3852.5</v>
      </c>
      <c r="H37" s="25" t="s">
        <v>251</v>
      </c>
      <c r="I37" s="331">
        <f>'５　きゅうり作業時間'!AN45</f>
        <v>3852.5</v>
      </c>
      <c r="J37" s="329" t="s">
        <v>252</v>
      </c>
      <c r="K37" s="333" t="s">
        <v>253</v>
      </c>
      <c r="L37" s="331">
        <f>'５　きゅうり作業時間'!AN52</f>
        <v>0</v>
      </c>
      <c r="M37" s="329" t="s">
        <v>252</v>
      </c>
      <c r="N37" s="330"/>
    </row>
    <row r="38" spans="2:14" ht="20.100000000000001" customHeight="1" thickBot="1" x14ac:dyDescent="0.2">
      <c r="B38" s="540" t="s">
        <v>255</v>
      </c>
      <c r="C38" s="541"/>
      <c r="D38" s="541"/>
      <c r="E38" s="541"/>
      <c r="F38" s="335">
        <f>F35/I37</f>
        <v>1450.0543045953493</v>
      </c>
      <c r="G38" s="335">
        <f>G35/I37</f>
        <v>1450.0543045953493</v>
      </c>
      <c r="H38" s="535"/>
      <c r="I38" s="536"/>
      <c r="J38" s="536"/>
      <c r="K38" s="536"/>
      <c r="L38" s="536"/>
      <c r="M38" s="536"/>
      <c r="N38" s="537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2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319</v>
      </c>
      <c r="C2" s="2"/>
      <c r="D2" s="5"/>
      <c r="E2" s="5"/>
      <c r="F2" s="5"/>
      <c r="G2" s="5"/>
      <c r="H2" s="5"/>
      <c r="I2" s="5"/>
      <c r="J2" s="5"/>
      <c r="K2" s="5"/>
      <c r="L2" s="295" t="s">
        <v>203</v>
      </c>
      <c r="M2" s="271" t="s">
        <v>273</v>
      </c>
      <c r="N2" s="69"/>
      <c r="O2" s="295" t="s">
        <v>204</v>
      </c>
      <c r="P2" s="271" t="s">
        <v>314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207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582" t="s">
        <v>99</v>
      </c>
      <c r="C4" s="583"/>
      <c r="D4" s="586">
        <v>1</v>
      </c>
      <c r="E4" s="587"/>
      <c r="F4" s="588"/>
      <c r="G4" s="586">
        <v>2</v>
      </c>
      <c r="H4" s="587"/>
      <c r="I4" s="588"/>
      <c r="J4" s="586">
        <v>3</v>
      </c>
      <c r="K4" s="587"/>
      <c r="L4" s="588"/>
      <c r="M4" s="586">
        <v>4</v>
      </c>
      <c r="N4" s="587"/>
      <c r="O4" s="588"/>
      <c r="P4" s="586">
        <v>5</v>
      </c>
      <c r="Q4" s="587"/>
      <c r="R4" s="588"/>
      <c r="S4" s="586">
        <v>6</v>
      </c>
      <c r="T4" s="587"/>
      <c r="U4" s="588"/>
      <c r="V4" s="586">
        <v>7</v>
      </c>
      <c r="W4" s="587"/>
      <c r="X4" s="588"/>
      <c r="Y4" s="586">
        <v>8</v>
      </c>
      <c r="Z4" s="587"/>
      <c r="AA4" s="588"/>
      <c r="AB4" s="586">
        <v>9</v>
      </c>
      <c r="AC4" s="587"/>
      <c r="AD4" s="588"/>
      <c r="AE4" s="586">
        <v>10</v>
      </c>
      <c r="AF4" s="587"/>
      <c r="AG4" s="588"/>
      <c r="AH4" s="586">
        <v>11</v>
      </c>
      <c r="AI4" s="587"/>
      <c r="AJ4" s="588"/>
      <c r="AK4" s="586">
        <v>12</v>
      </c>
      <c r="AL4" s="587"/>
      <c r="AM4" s="588"/>
      <c r="AN4" s="589" t="s">
        <v>30</v>
      </c>
    </row>
    <row r="5" spans="2:63" ht="20.100000000000001" customHeight="1" x14ac:dyDescent="0.15">
      <c r="B5" s="584"/>
      <c r="C5" s="585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590"/>
    </row>
    <row r="6" spans="2:63" ht="20.100000000000001" customHeight="1" x14ac:dyDescent="0.15">
      <c r="B6" s="591" t="s">
        <v>100</v>
      </c>
      <c r="C6" s="592"/>
      <c r="D6" s="56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100000000000001" customHeight="1" x14ac:dyDescent="0.15">
      <c r="B7" s="593"/>
      <c r="C7" s="594"/>
      <c r="D7" s="56"/>
      <c r="E7" s="5"/>
      <c r="F7" s="359" t="s">
        <v>266</v>
      </c>
      <c r="G7" s="359" t="s">
        <v>267</v>
      </c>
      <c r="H7" s="359" t="s">
        <v>268</v>
      </c>
      <c r="I7" s="99"/>
      <c r="J7" s="99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5"/>
      <c r="X7" s="5"/>
      <c r="Y7" s="5"/>
      <c r="Z7" s="5"/>
      <c r="AA7" s="359"/>
      <c r="AB7" s="359"/>
      <c r="AC7" s="359"/>
      <c r="AD7" s="99"/>
      <c r="AE7" s="362"/>
      <c r="AF7" s="362"/>
      <c r="AG7" s="362"/>
      <c r="AH7" s="362"/>
      <c r="AI7" s="362"/>
      <c r="AJ7" s="362"/>
      <c r="AK7" s="362"/>
      <c r="AL7" s="362"/>
      <c r="AM7" s="362"/>
      <c r="AN7" s="57"/>
    </row>
    <row r="8" spans="2:63" ht="20.100000000000001" customHeight="1" x14ac:dyDescent="0.15">
      <c r="B8" s="593"/>
      <c r="C8" s="594"/>
      <c r="D8" s="361"/>
      <c r="E8" s="5"/>
      <c r="F8" s="359"/>
      <c r="G8" s="359"/>
      <c r="H8" s="359"/>
      <c r="I8" s="99"/>
      <c r="J8" s="99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184"/>
      <c r="X8" s="5"/>
      <c r="Y8" s="5"/>
      <c r="Z8" s="5"/>
      <c r="AA8" s="359" t="s">
        <v>266</v>
      </c>
      <c r="AB8" s="359" t="s">
        <v>267</v>
      </c>
      <c r="AC8" s="359" t="s">
        <v>268</v>
      </c>
      <c r="AD8" s="99"/>
      <c r="AE8" s="99"/>
      <c r="AF8" s="360"/>
      <c r="AG8" s="360"/>
      <c r="AH8" s="360"/>
      <c r="AI8" s="360"/>
      <c r="AJ8" s="360"/>
      <c r="AK8" s="360"/>
      <c r="AL8" s="360"/>
      <c r="AM8" s="360"/>
      <c r="AN8" s="57"/>
    </row>
    <row r="9" spans="2:63" ht="20.100000000000001" customHeight="1" x14ac:dyDescent="0.15">
      <c r="B9" s="584"/>
      <c r="C9" s="585"/>
      <c r="D9" s="363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</row>
    <row r="10" spans="2:63" ht="20.100000000000001" customHeight="1" x14ac:dyDescent="0.15">
      <c r="B10" s="595" t="s">
        <v>274</v>
      </c>
      <c r="C10" s="596"/>
      <c r="D10" s="60"/>
      <c r="E10" s="61">
        <v>9</v>
      </c>
      <c r="F10" s="61">
        <v>12</v>
      </c>
      <c r="G10" s="60">
        <v>15</v>
      </c>
      <c r="H10" s="61">
        <v>3</v>
      </c>
      <c r="I10" s="61"/>
      <c r="J10" s="60"/>
      <c r="K10" s="61"/>
      <c r="L10" s="61"/>
      <c r="M10" s="60"/>
      <c r="N10" s="61"/>
      <c r="O10" s="61"/>
      <c r="P10" s="60"/>
      <c r="Q10" s="61"/>
      <c r="R10" s="61"/>
      <c r="S10" s="60"/>
      <c r="T10" s="61"/>
      <c r="U10" s="61"/>
      <c r="V10" s="60"/>
      <c r="W10" s="61"/>
      <c r="X10" s="61"/>
      <c r="Y10" s="60"/>
      <c r="Z10" s="61"/>
      <c r="AA10" s="61">
        <v>9</v>
      </c>
      <c r="AB10" s="60">
        <v>15</v>
      </c>
      <c r="AC10" s="61">
        <v>6</v>
      </c>
      <c r="AD10" s="61"/>
      <c r="AE10" s="60"/>
      <c r="AF10" s="61"/>
      <c r="AG10" s="61"/>
      <c r="AH10" s="60"/>
      <c r="AI10" s="61"/>
      <c r="AJ10" s="61"/>
      <c r="AK10" s="60"/>
      <c r="AL10" s="61"/>
      <c r="AM10" s="61"/>
      <c r="AN10" s="62">
        <f>SUM(D10:AM10)</f>
        <v>69</v>
      </c>
    </row>
    <row r="11" spans="2:63" ht="20.100000000000001" customHeight="1" x14ac:dyDescent="0.15">
      <c r="B11" s="595" t="s">
        <v>275</v>
      </c>
      <c r="C11" s="596"/>
      <c r="D11" s="60"/>
      <c r="E11" s="61"/>
      <c r="F11" s="61"/>
      <c r="G11" s="60"/>
      <c r="H11" s="61"/>
      <c r="I11" s="61"/>
      <c r="J11" s="60"/>
      <c r="K11" s="61"/>
      <c r="L11" s="61"/>
      <c r="M11" s="60"/>
      <c r="N11" s="61"/>
      <c r="O11" s="61"/>
      <c r="P11" s="60"/>
      <c r="Q11" s="61"/>
      <c r="R11" s="61"/>
      <c r="S11" s="60"/>
      <c r="T11" s="61"/>
      <c r="U11" s="61"/>
      <c r="V11" s="60"/>
      <c r="W11" s="61"/>
      <c r="X11" s="61"/>
      <c r="Y11" s="60"/>
      <c r="Z11" s="61"/>
      <c r="AA11" s="61"/>
      <c r="AB11" s="60"/>
      <c r="AC11" s="61"/>
      <c r="AD11" s="61"/>
      <c r="AE11" s="60">
        <v>18</v>
      </c>
      <c r="AF11" s="61"/>
      <c r="AG11" s="61"/>
      <c r="AH11" s="60"/>
      <c r="AI11" s="61"/>
      <c r="AJ11" s="61"/>
      <c r="AK11" s="60"/>
      <c r="AL11" s="61"/>
      <c r="AM11" s="61"/>
      <c r="AN11" s="62">
        <f t="shared" ref="AN11:AN35" si="0">SUM(D11:AM11)</f>
        <v>18</v>
      </c>
    </row>
    <row r="12" spans="2:63" ht="20.100000000000001" customHeight="1" x14ac:dyDescent="0.15">
      <c r="B12" s="595" t="s">
        <v>395</v>
      </c>
      <c r="C12" s="596"/>
      <c r="D12" s="60"/>
      <c r="E12" s="61">
        <v>15</v>
      </c>
      <c r="F12" s="61">
        <v>3</v>
      </c>
      <c r="G12" s="60">
        <v>12</v>
      </c>
      <c r="H12" s="61"/>
      <c r="I12" s="61"/>
      <c r="J12" s="60"/>
      <c r="K12" s="61"/>
      <c r="L12" s="61"/>
      <c r="M12" s="60"/>
      <c r="N12" s="61"/>
      <c r="O12" s="61"/>
      <c r="P12" s="60"/>
      <c r="Q12" s="61"/>
      <c r="R12" s="61"/>
      <c r="S12" s="60"/>
      <c r="T12" s="61"/>
      <c r="U12" s="61"/>
      <c r="V12" s="60"/>
      <c r="W12" s="61"/>
      <c r="X12" s="61"/>
      <c r="Y12" s="60"/>
      <c r="Z12" s="61">
        <v>15</v>
      </c>
      <c r="AA12" s="61">
        <v>3</v>
      </c>
      <c r="AB12" s="60">
        <v>12</v>
      </c>
      <c r="AC12" s="61"/>
      <c r="AD12" s="61"/>
      <c r="AE12" s="60"/>
      <c r="AF12" s="61"/>
      <c r="AG12" s="61"/>
      <c r="AH12" s="60"/>
      <c r="AI12" s="61"/>
      <c r="AJ12" s="61"/>
      <c r="AK12" s="60"/>
      <c r="AL12" s="61"/>
      <c r="AM12" s="61"/>
      <c r="AN12" s="62">
        <f t="shared" si="0"/>
        <v>60</v>
      </c>
    </row>
    <row r="13" spans="2:63" ht="20.100000000000001" customHeight="1" x14ac:dyDescent="0.15">
      <c r="B13" s="595" t="s">
        <v>276</v>
      </c>
      <c r="C13" s="596"/>
      <c r="D13" s="60"/>
      <c r="E13" s="61"/>
      <c r="F13" s="61"/>
      <c r="G13" s="60"/>
      <c r="H13" s="61">
        <v>18</v>
      </c>
      <c r="I13" s="61"/>
      <c r="J13" s="60"/>
      <c r="K13" s="61"/>
      <c r="L13" s="61"/>
      <c r="M13" s="60"/>
      <c r="N13" s="61"/>
      <c r="O13" s="61"/>
      <c r="P13" s="60"/>
      <c r="Q13" s="61"/>
      <c r="R13" s="61"/>
      <c r="S13" s="60"/>
      <c r="T13" s="61"/>
      <c r="U13" s="61"/>
      <c r="V13" s="60"/>
      <c r="W13" s="61"/>
      <c r="X13" s="61"/>
      <c r="Y13" s="60"/>
      <c r="Z13" s="61"/>
      <c r="AA13" s="61"/>
      <c r="AB13" s="60"/>
      <c r="AC13" s="61">
        <v>18</v>
      </c>
      <c r="AD13" s="61"/>
      <c r="AE13" s="60"/>
      <c r="AF13" s="61"/>
      <c r="AG13" s="61"/>
      <c r="AH13" s="60"/>
      <c r="AI13" s="61"/>
      <c r="AJ13" s="61"/>
      <c r="AK13" s="60"/>
      <c r="AL13" s="61"/>
      <c r="AM13" s="61"/>
      <c r="AN13" s="62">
        <f t="shared" si="0"/>
        <v>36</v>
      </c>
    </row>
    <row r="14" spans="2:63" ht="20.100000000000001" customHeight="1" x14ac:dyDescent="0.15">
      <c r="B14" s="595" t="s">
        <v>277</v>
      </c>
      <c r="C14" s="596"/>
      <c r="D14" s="60">
        <v>3</v>
      </c>
      <c r="E14" s="61"/>
      <c r="F14" s="61"/>
      <c r="G14" s="60"/>
      <c r="H14" s="61">
        <v>3</v>
      </c>
      <c r="I14" s="61">
        <v>3</v>
      </c>
      <c r="J14" s="60">
        <v>3</v>
      </c>
      <c r="K14" s="61">
        <v>3</v>
      </c>
      <c r="L14" s="61">
        <v>3</v>
      </c>
      <c r="M14" s="60">
        <v>3</v>
      </c>
      <c r="N14" s="61">
        <v>6</v>
      </c>
      <c r="O14" s="61">
        <v>6</v>
      </c>
      <c r="P14" s="60">
        <v>6</v>
      </c>
      <c r="Q14" s="61">
        <v>3</v>
      </c>
      <c r="R14" s="61">
        <v>3</v>
      </c>
      <c r="S14" s="60">
        <v>1</v>
      </c>
      <c r="T14" s="61">
        <v>1</v>
      </c>
      <c r="U14" s="61">
        <v>1</v>
      </c>
      <c r="V14" s="60">
        <v>1</v>
      </c>
      <c r="W14" s="61"/>
      <c r="X14" s="61"/>
      <c r="Y14" s="60"/>
      <c r="Z14" s="61"/>
      <c r="AA14" s="61"/>
      <c r="AB14" s="60"/>
      <c r="AC14" s="61">
        <v>1</v>
      </c>
      <c r="AD14" s="61">
        <v>1</v>
      </c>
      <c r="AE14" s="60">
        <v>6</v>
      </c>
      <c r="AF14" s="61">
        <v>6</v>
      </c>
      <c r="AG14" s="61">
        <v>6</v>
      </c>
      <c r="AH14" s="60">
        <v>6</v>
      </c>
      <c r="AI14" s="61">
        <v>6</v>
      </c>
      <c r="AJ14" s="61">
        <v>6</v>
      </c>
      <c r="AK14" s="60">
        <v>3</v>
      </c>
      <c r="AL14" s="61">
        <v>3</v>
      </c>
      <c r="AM14" s="61">
        <v>3</v>
      </c>
      <c r="AN14" s="62">
        <f t="shared" si="0"/>
        <v>96</v>
      </c>
    </row>
    <row r="15" spans="2:63" ht="20.100000000000001" customHeight="1" x14ac:dyDescent="0.15">
      <c r="B15" s="595" t="s">
        <v>278</v>
      </c>
      <c r="C15" s="596"/>
      <c r="D15" s="60"/>
      <c r="E15" s="61"/>
      <c r="F15" s="61"/>
      <c r="G15" s="60"/>
      <c r="H15" s="61"/>
      <c r="I15" s="61"/>
      <c r="J15" s="60">
        <v>9</v>
      </c>
      <c r="K15" s="61">
        <v>12</v>
      </c>
      <c r="L15" s="61">
        <v>18</v>
      </c>
      <c r="M15" s="60">
        <v>18</v>
      </c>
      <c r="N15" s="61">
        <v>18</v>
      </c>
      <c r="O15" s="61">
        <v>24</v>
      </c>
      <c r="P15" s="60">
        <v>18</v>
      </c>
      <c r="Q15" s="61">
        <v>18</v>
      </c>
      <c r="R15" s="61">
        <v>24</v>
      </c>
      <c r="S15" s="60">
        <v>18</v>
      </c>
      <c r="T15" s="61">
        <v>18</v>
      </c>
      <c r="U15" s="61">
        <v>9</v>
      </c>
      <c r="V15" s="60"/>
      <c r="W15" s="61"/>
      <c r="X15" s="61"/>
      <c r="Y15" s="60"/>
      <c r="Z15" s="61"/>
      <c r="AA15" s="61"/>
      <c r="AB15" s="60"/>
      <c r="AC15" s="61"/>
      <c r="AD15" s="61"/>
      <c r="AE15" s="60">
        <v>9</v>
      </c>
      <c r="AF15" s="61">
        <v>12</v>
      </c>
      <c r="AG15" s="61">
        <v>18</v>
      </c>
      <c r="AH15" s="60">
        <v>18</v>
      </c>
      <c r="AI15" s="61">
        <v>18</v>
      </c>
      <c r="AJ15" s="61">
        <v>24</v>
      </c>
      <c r="AK15" s="60">
        <v>18</v>
      </c>
      <c r="AL15" s="61">
        <v>18</v>
      </c>
      <c r="AM15" s="61">
        <v>9</v>
      </c>
      <c r="AN15" s="62">
        <f t="shared" si="0"/>
        <v>348</v>
      </c>
    </row>
    <row r="16" spans="2:63" ht="20.100000000000001" customHeight="1" x14ac:dyDescent="0.15">
      <c r="B16" s="595" t="s">
        <v>279</v>
      </c>
      <c r="C16" s="596"/>
      <c r="D16" s="60">
        <v>1</v>
      </c>
      <c r="E16" s="61"/>
      <c r="F16" s="61">
        <v>1</v>
      </c>
      <c r="G16" s="60">
        <v>1</v>
      </c>
      <c r="H16" s="61">
        <v>1</v>
      </c>
      <c r="I16" s="61">
        <v>1</v>
      </c>
      <c r="J16" s="60">
        <v>1</v>
      </c>
      <c r="K16" s="61">
        <v>1</v>
      </c>
      <c r="L16" s="61">
        <v>1</v>
      </c>
      <c r="M16" s="60">
        <v>1</v>
      </c>
      <c r="N16" s="61">
        <v>1</v>
      </c>
      <c r="O16" s="61">
        <v>1</v>
      </c>
      <c r="P16" s="60">
        <v>1</v>
      </c>
      <c r="Q16" s="61">
        <v>1</v>
      </c>
      <c r="R16" s="61">
        <v>1</v>
      </c>
      <c r="S16" s="60">
        <v>1</v>
      </c>
      <c r="T16" s="61">
        <v>1</v>
      </c>
      <c r="U16" s="61">
        <v>1</v>
      </c>
      <c r="V16" s="60">
        <v>1</v>
      </c>
      <c r="W16" s="61"/>
      <c r="X16" s="61"/>
      <c r="Y16" s="60"/>
      <c r="Z16" s="61"/>
      <c r="AA16" s="61">
        <v>1</v>
      </c>
      <c r="AB16" s="60">
        <v>1</v>
      </c>
      <c r="AC16" s="61">
        <v>1</v>
      </c>
      <c r="AD16" s="61">
        <v>1</v>
      </c>
      <c r="AE16" s="60">
        <v>1</v>
      </c>
      <c r="AF16" s="61">
        <v>1</v>
      </c>
      <c r="AG16" s="61">
        <v>1</v>
      </c>
      <c r="AH16" s="60">
        <v>1</v>
      </c>
      <c r="AI16" s="61">
        <v>1</v>
      </c>
      <c r="AJ16" s="61">
        <v>1</v>
      </c>
      <c r="AK16" s="60">
        <v>1</v>
      </c>
      <c r="AL16" s="61">
        <v>1</v>
      </c>
      <c r="AM16" s="61">
        <v>1</v>
      </c>
      <c r="AN16" s="62">
        <f t="shared" si="0"/>
        <v>31</v>
      </c>
    </row>
    <row r="17" spans="2:40" ht="20.100000000000001" customHeight="1" x14ac:dyDescent="0.15">
      <c r="B17" s="595" t="s">
        <v>280</v>
      </c>
      <c r="C17" s="596"/>
      <c r="D17" s="60"/>
      <c r="E17" s="61"/>
      <c r="F17" s="61">
        <v>1.5</v>
      </c>
      <c r="G17" s="60">
        <v>1.5</v>
      </c>
      <c r="H17" s="61">
        <v>1.5</v>
      </c>
      <c r="I17" s="61"/>
      <c r="J17" s="60">
        <v>1.5</v>
      </c>
      <c r="K17" s="61">
        <v>1.5</v>
      </c>
      <c r="L17" s="61">
        <v>1.5</v>
      </c>
      <c r="M17" s="60">
        <v>1.5</v>
      </c>
      <c r="N17" s="61">
        <v>1.5</v>
      </c>
      <c r="O17" s="61">
        <v>3</v>
      </c>
      <c r="P17" s="60">
        <v>1.5</v>
      </c>
      <c r="Q17" s="61">
        <v>3</v>
      </c>
      <c r="R17" s="61">
        <v>1.5</v>
      </c>
      <c r="S17" s="60">
        <v>3</v>
      </c>
      <c r="T17" s="61">
        <v>1.5</v>
      </c>
      <c r="U17" s="61">
        <v>1.5</v>
      </c>
      <c r="V17" s="60"/>
      <c r="W17" s="61"/>
      <c r="X17" s="61"/>
      <c r="Y17" s="60"/>
      <c r="Z17" s="61">
        <v>4</v>
      </c>
      <c r="AA17" s="61"/>
      <c r="AB17" s="60">
        <v>1.5</v>
      </c>
      <c r="AC17" s="61">
        <v>1.5</v>
      </c>
      <c r="AD17" s="61">
        <v>1.5</v>
      </c>
      <c r="AE17" s="60">
        <v>3</v>
      </c>
      <c r="AF17" s="61">
        <v>3</v>
      </c>
      <c r="AG17" s="61">
        <v>3</v>
      </c>
      <c r="AH17" s="60">
        <v>3</v>
      </c>
      <c r="AI17" s="61">
        <v>3</v>
      </c>
      <c r="AJ17" s="61">
        <v>3</v>
      </c>
      <c r="AK17" s="60">
        <v>1.5</v>
      </c>
      <c r="AL17" s="61">
        <v>1.5</v>
      </c>
      <c r="AM17" s="61">
        <v>1.5</v>
      </c>
      <c r="AN17" s="62">
        <f t="shared" si="0"/>
        <v>58</v>
      </c>
    </row>
    <row r="18" spans="2:40" ht="20.100000000000001" customHeight="1" x14ac:dyDescent="0.15">
      <c r="B18" s="595" t="s">
        <v>281</v>
      </c>
      <c r="C18" s="596"/>
      <c r="D18" s="60">
        <v>24</v>
      </c>
      <c r="E18" s="61"/>
      <c r="F18" s="61"/>
      <c r="G18" s="60"/>
      <c r="H18" s="61"/>
      <c r="I18" s="61"/>
      <c r="J18" s="60"/>
      <c r="K18" s="61">
        <v>24</v>
      </c>
      <c r="L18" s="61">
        <v>30</v>
      </c>
      <c r="M18" s="60">
        <v>48</v>
      </c>
      <c r="N18" s="61">
        <v>48</v>
      </c>
      <c r="O18" s="61">
        <v>48</v>
      </c>
      <c r="P18" s="60">
        <v>48</v>
      </c>
      <c r="Q18" s="61">
        <v>48</v>
      </c>
      <c r="R18" s="61">
        <v>48</v>
      </c>
      <c r="S18" s="60">
        <v>48</v>
      </c>
      <c r="T18" s="61">
        <v>42</v>
      </c>
      <c r="U18" s="61">
        <v>33</v>
      </c>
      <c r="V18" s="60">
        <v>24</v>
      </c>
      <c r="W18" s="61"/>
      <c r="X18" s="61"/>
      <c r="Y18" s="60"/>
      <c r="Z18" s="61"/>
      <c r="AA18" s="61"/>
      <c r="AB18" s="60"/>
      <c r="AC18" s="61"/>
      <c r="AD18" s="61"/>
      <c r="AE18" s="60"/>
      <c r="AF18" s="61">
        <v>30</v>
      </c>
      <c r="AG18" s="61">
        <v>36</v>
      </c>
      <c r="AH18" s="60">
        <v>48</v>
      </c>
      <c r="AI18" s="61">
        <v>39</v>
      </c>
      <c r="AJ18" s="61">
        <v>33</v>
      </c>
      <c r="AK18" s="60">
        <v>30</v>
      </c>
      <c r="AL18" s="61">
        <v>24</v>
      </c>
      <c r="AM18" s="61">
        <v>24</v>
      </c>
      <c r="AN18" s="62">
        <f t="shared" si="0"/>
        <v>777</v>
      </c>
    </row>
    <row r="19" spans="2:40" ht="20.100000000000001" customHeight="1" x14ac:dyDescent="0.15">
      <c r="B19" s="595" t="s">
        <v>282</v>
      </c>
      <c r="C19" s="596"/>
      <c r="D19" s="60"/>
      <c r="E19" s="61">
        <v>12</v>
      </c>
      <c r="F19" s="61">
        <v>12</v>
      </c>
      <c r="G19" s="60"/>
      <c r="H19" s="61"/>
      <c r="I19" s="61"/>
      <c r="J19" s="60"/>
      <c r="K19" s="61"/>
      <c r="L19" s="61"/>
      <c r="M19" s="60"/>
      <c r="N19" s="61"/>
      <c r="O19" s="61"/>
      <c r="P19" s="60"/>
      <c r="Q19" s="61"/>
      <c r="R19" s="61"/>
      <c r="S19" s="60"/>
      <c r="T19" s="61"/>
      <c r="U19" s="61"/>
      <c r="V19" s="60"/>
      <c r="W19" s="61">
        <v>12</v>
      </c>
      <c r="X19" s="61">
        <v>12</v>
      </c>
      <c r="Y19" s="60"/>
      <c r="Z19" s="61"/>
      <c r="AA19" s="61"/>
      <c r="AB19" s="60"/>
      <c r="AC19" s="61"/>
      <c r="AD19" s="61"/>
      <c r="AE19" s="60"/>
      <c r="AF19" s="61"/>
      <c r="AG19" s="61"/>
      <c r="AH19" s="60"/>
      <c r="AI19" s="61"/>
      <c r="AJ19" s="61"/>
      <c r="AK19" s="60"/>
      <c r="AL19" s="61"/>
      <c r="AM19" s="61"/>
      <c r="AN19" s="62">
        <f t="shared" si="0"/>
        <v>48</v>
      </c>
    </row>
    <row r="20" spans="2:40" ht="20.100000000000001" customHeight="1" x14ac:dyDescent="0.15">
      <c r="B20" s="595"/>
      <c r="C20" s="596"/>
      <c r="D20" s="60"/>
      <c r="E20" s="61"/>
      <c r="F20" s="61"/>
      <c r="G20" s="60"/>
      <c r="H20" s="61"/>
      <c r="I20" s="61"/>
      <c r="J20" s="60"/>
      <c r="K20" s="61"/>
      <c r="L20" s="61"/>
      <c r="M20" s="60"/>
      <c r="N20" s="61"/>
      <c r="O20" s="61"/>
      <c r="P20" s="60"/>
      <c r="Q20" s="61"/>
      <c r="R20" s="61"/>
      <c r="S20" s="60"/>
      <c r="T20" s="61"/>
      <c r="U20" s="61"/>
      <c r="V20" s="60"/>
      <c r="W20" s="61"/>
      <c r="X20" s="61"/>
      <c r="Y20" s="60"/>
      <c r="Z20" s="61"/>
      <c r="AA20" s="61"/>
      <c r="AB20" s="60"/>
      <c r="AC20" s="61"/>
      <c r="AD20" s="61"/>
      <c r="AE20" s="60"/>
      <c r="AF20" s="61"/>
      <c r="AG20" s="61"/>
      <c r="AH20" s="60"/>
      <c r="AI20" s="61"/>
      <c r="AJ20" s="61"/>
      <c r="AK20" s="60"/>
      <c r="AL20" s="61"/>
      <c r="AM20" s="61"/>
      <c r="AN20" s="62">
        <f t="shared" si="0"/>
        <v>0</v>
      </c>
    </row>
    <row r="21" spans="2:40" ht="20.100000000000001" customHeight="1" x14ac:dyDescent="0.15">
      <c r="B21" s="595"/>
      <c r="C21" s="596"/>
      <c r="D21" s="60"/>
      <c r="E21" s="61"/>
      <c r="F21" s="61"/>
      <c r="G21" s="60"/>
      <c r="H21" s="61"/>
      <c r="I21" s="61"/>
      <c r="J21" s="60"/>
      <c r="K21" s="61"/>
      <c r="L21" s="61"/>
      <c r="M21" s="60"/>
      <c r="N21" s="61"/>
      <c r="O21" s="61"/>
      <c r="P21" s="60"/>
      <c r="Q21" s="61"/>
      <c r="R21" s="61"/>
      <c r="S21" s="60"/>
      <c r="T21" s="61"/>
      <c r="U21" s="61"/>
      <c r="V21" s="60"/>
      <c r="W21" s="61"/>
      <c r="X21" s="61"/>
      <c r="Y21" s="60"/>
      <c r="Z21" s="61"/>
      <c r="AA21" s="61"/>
      <c r="AB21" s="60"/>
      <c r="AC21" s="61"/>
      <c r="AD21" s="61"/>
      <c r="AE21" s="60"/>
      <c r="AF21" s="61"/>
      <c r="AG21" s="61"/>
      <c r="AH21" s="60"/>
      <c r="AI21" s="61"/>
      <c r="AJ21" s="61"/>
      <c r="AK21" s="60"/>
      <c r="AL21" s="61"/>
      <c r="AM21" s="61"/>
      <c r="AN21" s="62">
        <f t="shared" si="0"/>
        <v>0</v>
      </c>
    </row>
    <row r="22" spans="2:40" ht="20.100000000000001" customHeight="1" x14ac:dyDescent="0.15">
      <c r="B22" s="595"/>
      <c r="C22" s="596"/>
      <c r="D22" s="60"/>
      <c r="E22" s="61"/>
      <c r="F22" s="61"/>
      <c r="G22" s="60"/>
      <c r="H22" s="61"/>
      <c r="I22" s="61"/>
      <c r="J22" s="60"/>
      <c r="K22" s="61"/>
      <c r="L22" s="61"/>
      <c r="M22" s="60"/>
      <c r="N22" s="61"/>
      <c r="O22" s="61"/>
      <c r="P22" s="60"/>
      <c r="Q22" s="61"/>
      <c r="R22" s="61"/>
      <c r="S22" s="60"/>
      <c r="T22" s="61"/>
      <c r="U22" s="61"/>
      <c r="V22" s="60"/>
      <c r="W22" s="61"/>
      <c r="X22" s="61"/>
      <c r="Y22" s="60"/>
      <c r="Z22" s="61"/>
      <c r="AA22" s="61"/>
      <c r="AB22" s="60"/>
      <c r="AC22" s="61"/>
      <c r="AD22" s="61"/>
      <c r="AE22" s="60"/>
      <c r="AF22" s="61"/>
      <c r="AG22" s="61"/>
      <c r="AH22" s="60"/>
      <c r="AI22" s="61"/>
      <c r="AJ22" s="61"/>
      <c r="AK22" s="60"/>
      <c r="AL22" s="61"/>
      <c r="AM22" s="61"/>
      <c r="AN22" s="62">
        <f t="shared" si="0"/>
        <v>0</v>
      </c>
    </row>
    <row r="23" spans="2:40" ht="20.100000000000001" customHeight="1" x14ac:dyDescent="0.15">
      <c r="B23" s="595"/>
      <c r="C23" s="596"/>
      <c r="D23" s="60"/>
      <c r="E23" s="61"/>
      <c r="F23" s="61"/>
      <c r="G23" s="60"/>
      <c r="H23" s="61"/>
      <c r="I23" s="61"/>
      <c r="J23" s="60"/>
      <c r="K23" s="61"/>
      <c r="L23" s="61"/>
      <c r="M23" s="60"/>
      <c r="N23" s="61"/>
      <c r="O23" s="61"/>
      <c r="P23" s="60"/>
      <c r="Q23" s="61"/>
      <c r="R23" s="61"/>
      <c r="S23" s="60"/>
      <c r="T23" s="61"/>
      <c r="U23" s="61"/>
      <c r="V23" s="60"/>
      <c r="W23" s="61"/>
      <c r="X23" s="61"/>
      <c r="Y23" s="60"/>
      <c r="Z23" s="61"/>
      <c r="AA23" s="61"/>
      <c r="AB23" s="60"/>
      <c r="AC23" s="61"/>
      <c r="AD23" s="61"/>
      <c r="AE23" s="60"/>
      <c r="AF23" s="61"/>
      <c r="AG23" s="61"/>
      <c r="AH23" s="60"/>
      <c r="AI23" s="61"/>
      <c r="AJ23" s="61"/>
      <c r="AK23" s="60"/>
      <c r="AL23" s="61"/>
      <c r="AM23" s="61"/>
      <c r="AN23" s="62">
        <f t="shared" si="0"/>
        <v>0</v>
      </c>
    </row>
    <row r="24" spans="2:40" ht="20.100000000000001" customHeight="1" x14ac:dyDescent="0.15">
      <c r="B24" s="595"/>
      <c r="C24" s="596"/>
      <c r="D24" s="60"/>
      <c r="E24" s="61"/>
      <c r="F24" s="61"/>
      <c r="G24" s="60"/>
      <c r="H24" s="61"/>
      <c r="I24" s="61"/>
      <c r="J24" s="60"/>
      <c r="K24" s="61"/>
      <c r="L24" s="61"/>
      <c r="M24" s="60"/>
      <c r="N24" s="61"/>
      <c r="O24" s="61"/>
      <c r="P24" s="60"/>
      <c r="Q24" s="61"/>
      <c r="R24" s="61"/>
      <c r="S24" s="60"/>
      <c r="T24" s="61"/>
      <c r="U24" s="61"/>
      <c r="V24" s="60"/>
      <c r="W24" s="61"/>
      <c r="X24" s="61"/>
      <c r="Y24" s="60"/>
      <c r="Z24" s="61"/>
      <c r="AA24" s="61"/>
      <c r="AB24" s="60"/>
      <c r="AC24" s="61"/>
      <c r="AD24" s="61"/>
      <c r="AE24" s="60"/>
      <c r="AF24" s="61"/>
      <c r="AG24" s="61"/>
      <c r="AH24" s="60"/>
      <c r="AI24" s="61"/>
      <c r="AJ24" s="61"/>
      <c r="AK24" s="60"/>
      <c r="AL24" s="61"/>
      <c r="AM24" s="61"/>
      <c r="AN24" s="62">
        <f t="shared" si="0"/>
        <v>0</v>
      </c>
    </row>
    <row r="25" spans="2:40" ht="20.100000000000001" customHeight="1" x14ac:dyDescent="0.15">
      <c r="B25" s="595"/>
      <c r="C25" s="596"/>
      <c r="D25" s="60"/>
      <c r="E25" s="61"/>
      <c r="F25" s="61"/>
      <c r="G25" s="60"/>
      <c r="H25" s="61"/>
      <c r="I25" s="61"/>
      <c r="J25" s="60"/>
      <c r="K25" s="61"/>
      <c r="L25" s="61"/>
      <c r="M25" s="60"/>
      <c r="N25" s="61"/>
      <c r="O25" s="61"/>
      <c r="P25" s="60"/>
      <c r="Q25" s="61"/>
      <c r="R25" s="61"/>
      <c r="S25" s="60"/>
      <c r="T25" s="61"/>
      <c r="U25" s="61"/>
      <c r="V25" s="60"/>
      <c r="W25" s="61"/>
      <c r="X25" s="61"/>
      <c r="Y25" s="60"/>
      <c r="Z25" s="61"/>
      <c r="AA25" s="61"/>
      <c r="AB25" s="60"/>
      <c r="AC25" s="61"/>
      <c r="AD25" s="61"/>
      <c r="AE25" s="60"/>
      <c r="AF25" s="61"/>
      <c r="AG25" s="61"/>
      <c r="AH25" s="60"/>
      <c r="AI25" s="61"/>
      <c r="AJ25" s="61"/>
      <c r="AK25" s="60"/>
      <c r="AL25" s="61"/>
      <c r="AM25" s="61"/>
      <c r="AN25" s="62">
        <f t="shared" si="0"/>
        <v>0</v>
      </c>
    </row>
    <row r="26" spans="2:40" ht="20.100000000000001" customHeight="1" x14ac:dyDescent="0.15">
      <c r="B26" s="595"/>
      <c r="C26" s="596"/>
      <c r="D26" s="60"/>
      <c r="E26" s="61"/>
      <c r="F26" s="61"/>
      <c r="G26" s="60"/>
      <c r="H26" s="61"/>
      <c r="I26" s="61"/>
      <c r="J26" s="60"/>
      <c r="K26" s="61"/>
      <c r="L26" s="61"/>
      <c r="M26" s="60"/>
      <c r="N26" s="61"/>
      <c r="O26" s="61"/>
      <c r="P26" s="60"/>
      <c r="Q26" s="61"/>
      <c r="R26" s="61"/>
      <c r="S26" s="60"/>
      <c r="T26" s="61"/>
      <c r="U26" s="61"/>
      <c r="V26" s="60"/>
      <c r="W26" s="61"/>
      <c r="X26" s="61"/>
      <c r="Y26" s="60"/>
      <c r="Z26" s="61"/>
      <c r="AA26" s="61"/>
      <c r="AB26" s="60"/>
      <c r="AC26" s="61"/>
      <c r="AD26" s="61"/>
      <c r="AE26" s="60"/>
      <c r="AF26" s="61"/>
      <c r="AG26" s="61"/>
      <c r="AH26" s="60"/>
      <c r="AI26" s="61"/>
      <c r="AJ26" s="61"/>
      <c r="AK26" s="60"/>
      <c r="AL26" s="61"/>
      <c r="AM26" s="61"/>
      <c r="AN26" s="62">
        <f t="shared" si="0"/>
        <v>0</v>
      </c>
    </row>
    <row r="27" spans="2:40" ht="20.100000000000001" customHeight="1" x14ac:dyDescent="0.15">
      <c r="B27" s="595"/>
      <c r="C27" s="596"/>
      <c r="D27" s="60"/>
      <c r="E27" s="61"/>
      <c r="F27" s="61"/>
      <c r="G27" s="60"/>
      <c r="H27" s="61"/>
      <c r="I27" s="61"/>
      <c r="J27" s="60"/>
      <c r="K27" s="61"/>
      <c r="L27" s="61"/>
      <c r="M27" s="60"/>
      <c r="N27" s="61"/>
      <c r="O27" s="61"/>
      <c r="P27" s="60"/>
      <c r="Q27" s="61"/>
      <c r="R27" s="61"/>
      <c r="S27" s="60"/>
      <c r="T27" s="61"/>
      <c r="U27" s="61"/>
      <c r="V27" s="60"/>
      <c r="W27" s="61"/>
      <c r="X27" s="61"/>
      <c r="Y27" s="60"/>
      <c r="Z27" s="61"/>
      <c r="AA27" s="61"/>
      <c r="AB27" s="60"/>
      <c r="AC27" s="61"/>
      <c r="AD27" s="61"/>
      <c r="AE27" s="60"/>
      <c r="AF27" s="61"/>
      <c r="AG27" s="61"/>
      <c r="AH27" s="60"/>
      <c r="AI27" s="61"/>
      <c r="AJ27" s="61"/>
      <c r="AK27" s="60"/>
      <c r="AL27" s="61"/>
      <c r="AM27" s="61"/>
      <c r="AN27" s="62">
        <f t="shared" si="0"/>
        <v>0</v>
      </c>
    </row>
    <row r="28" spans="2:40" ht="20.100000000000001" customHeight="1" x14ac:dyDescent="0.15">
      <c r="B28" s="595"/>
      <c r="C28" s="596"/>
      <c r="D28" s="60"/>
      <c r="E28" s="61"/>
      <c r="F28" s="61"/>
      <c r="G28" s="60"/>
      <c r="H28" s="61"/>
      <c r="I28" s="61"/>
      <c r="J28" s="60"/>
      <c r="K28" s="61"/>
      <c r="L28" s="61"/>
      <c r="M28" s="60"/>
      <c r="N28" s="61"/>
      <c r="O28" s="61"/>
      <c r="P28" s="60"/>
      <c r="Q28" s="61"/>
      <c r="R28" s="61"/>
      <c r="S28" s="60"/>
      <c r="T28" s="61"/>
      <c r="U28" s="61"/>
      <c r="V28" s="60"/>
      <c r="W28" s="61"/>
      <c r="X28" s="61"/>
      <c r="Y28" s="60"/>
      <c r="Z28" s="61"/>
      <c r="AA28" s="61"/>
      <c r="AB28" s="60"/>
      <c r="AC28" s="61"/>
      <c r="AD28" s="61"/>
      <c r="AE28" s="60"/>
      <c r="AF28" s="61"/>
      <c r="AG28" s="61"/>
      <c r="AH28" s="60"/>
      <c r="AI28" s="61"/>
      <c r="AJ28" s="61"/>
      <c r="AK28" s="60"/>
      <c r="AL28" s="61"/>
      <c r="AM28" s="61"/>
      <c r="AN28" s="62">
        <f t="shared" si="0"/>
        <v>0</v>
      </c>
    </row>
    <row r="29" spans="2:40" ht="20.100000000000001" customHeight="1" x14ac:dyDescent="0.15">
      <c r="B29" s="595"/>
      <c r="C29" s="596"/>
      <c r="D29" s="60"/>
      <c r="E29" s="61"/>
      <c r="F29" s="61"/>
      <c r="G29" s="60"/>
      <c r="H29" s="61"/>
      <c r="I29" s="61"/>
      <c r="J29" s="60"/>
      <c r="K29" s="61"/>
      <c r="L29" s="61"/>
      <c r="M29" s="60"/>
      <c r="N29" s="61"/>
      <c r="O29" s="61"/>
      <c r="P29" s="60"/>
      <c r="Q29" s="61"/>
      <c r="R29" s="61"/>
      <c r="S29" s="60"/>
      <c r="T29" s="61"/>
      <c r="U29" s="61"/>
      <c r="V29" s="60"/>
      <c r="W29" s="61"/>
      <c r="X29" s="61"/>
      <c r="Y29" s="60"/>
      <c r="Z29" s="61"/>
      <c r="AA29" s="61"/>
      <c r="AB29" s="60"/>
      <c r="AC29" s="61"/>
      <c r="AD29" s="61"/>
      <c r="AE29" s="60"/>
      <c r="AF29" s="61"/>
      <c r="AG29" s="61"/>
      <c r="AH29" s="60"/>
      <c r="AI29" s="61"/>
      <c r="AJ29" s="61"/>
      <c r="AK29" s="60"/>
      <c r="AL29" s="61"/>
      <c r="AM29" s="61"/>
      <c r="AN29" s="62">
        <f t="shared" si="0"/>
        <v>0</v>
      </c>
    </row>
    <row r="30" spans="2:40" ht="20.100000000000001" customHeight="1" x14ac:dyDescent="0.15">
      <c r="B30" s="595"/>
      <c r="C30" s="596"/>
      <c r="D30" s="60"/>
      <c r="E30" s="61"/>
      <c r="F30" s="61"/>
      <c r="G30" s="60"/>
      <c r="H30" s="61"/>
      <c r="I30" s="61"/>
      <c r="J30" s="60"/>
      <c r="K30" s="61"/>
      <c r="L30" s="61"/>
      <c r="M30" s="60"/>
      <c r="N30" s="61"/>
      <c r="O30" s="61"/>
      <c r="P30" s="60"/>
      <c r="Q30" s="61"/>
      <c r="R30" s="61"/>
      <c r="S30" s="60"/>
      <c r="T30" s="61"/>
      <c r="U30" s="61"/>
      <c r="V30" s="60"/>
      <c r="W30" s="61"/>
      <c r="X30" s="61"/>
      <c r="Y30" s="60"/>
      <c r="Z30" s="61"/>
      <c r="AA30" s="61"/>
      <c r="AB30" s="60"/>
      <c r="AC30" s="61"/>
      <c r="AD30" s="61"/>
      <c r="AE30" s="60"/>
      <c r="AF30" s="61"/>
      <c r="AG30" s="61"/>
      <c r="AH30" s="60"/>
      <c r="AI30" s="61"/>
      <c r="AJ30" s="61"/>
      <c r="AK30" s="60"/>
      <c r="AL30" s="61"/>
      <c r="AM30" s="61"/>
      <c r="AN30" s="62">
        <f t="shared" si="0"/>
        <v>0</v>
      </c>
    </row>
    <row r="31" spans="2:40" ht="20.100000000000001" customHeight="1" x14ac:dyDescent="0.15">
      <c r="B31" s="595"/>
      <c r="C31" s="596"/>
      <c r="D31" s="60"/>
      <c r="E31" s="61"/>
      <c r="F31" s="61"/>
      <c r="G31" s="60"/>
      <c r="H31" s="61"/>
      <c r="I31" s="61"/>
      <c r="J31" s="60"/>
      <c r="K31" s="61"/>
      <c r="L31" s="61"/>
      <c r="M31" s="60"/>
      <c r="N31" s="61"/>
      <c r="O31" s="61"/>
      <c r="P31" s="60"/>
      <c r="Q31" s="61"/>
      <c r="R31" s="61"/>
      <c r="S31" s="60"/>
      <c r="T31" s="61"/>
      <c r="U31" s="61"/>
      <c r="V31" s="60"/>
      <c r="W31" s="61"/>
      <c r="X31" s="61"/>
      <c r="Y31" s="60"/>
      <c r="Z31" s="61"/>
      <c r="AA31" s="61"/>
      <c r="AB31" s="60"/>
      <c r="AC31" s="61"/>
      <c r="AD31" s="61"/>
      <c r="AE31" s="60"/>
      <c r="AF31" s="61"/>
      <c r="AG31" s="61"/>
      <c r="AH31" s="60"/>
      <c r="AI31" s="61"/>
      <c r="AJ31" s="61"/>
      <c r="AK31" s="60"/>
      <c r="AL31" s="61"/>
      <c r="AM31" s="61"/>
      <c r="AN31" s="62">
        <f t="shared" si="0"/>
        <v>0</v>
      </c>
    </row>
    <row r="32" spans="2:40" ht="20.100000000000001" customHeight="1" x14ac:dyDescent="0.15">
      <c r="B32" s="595"/>
      <c r="C32" s="596"/>
      <c r="D32" s="60"/>
      <c r="E32" s="61"/>
      <c r="F32" s="61"/>
      <c r="G32" s="60"/>
      <c r="H32" s="61"/>
      <c r="I32" s="61"/>
      <c r="J32" s="60"/>
      <c r="K32" s="61"/>
      <c r="L32" s="61"/>
      <c r="M32" s="60"/>
      <c r="N32" s="61"/>
      <c r="O32" s="61"/>
      <c r="P32" s="60"/>
      <c r="Q32" s="61"/>
      <c r="R32" s="61"/>
      <c r="S32" s="60"/>
      <c r="T32" s="61"/>
      <c r="U32" s="61"/>
      <c r="V32" s="60"/>
      <c r="W32" s="61"/>
      <c r="X32" s="61"/>
      <c r="Y32" s="60"/>
      <c r="Z32" s="61"/>
      <c r="AA32" s="61"/>
      <c r="AB32" s="60"/>
      <c r="AC32" s="61"/>
      <c r="AD32" s="61"/>
      <c r="AE32" s="60"/>
      <c r="AF32" s="61"/>
      <c r="AG32" s="61"/>
      <c r="AH32" s="60"/>
      <c r="AI32" s="61"/>
      <c r="AJ32" s="61"/>
      <c r="AK32" s="60"/>
      <c r="AL32" s="61"/>
      <c r="AM32" s="61"/>
      <c r="AN32" s="62">
        <f t="shared" si="0"/>
        <v>0</v>
      </c>
    </row>
    <row r="33" spans="2:40" ht="20.100000000000001" customHeight="1" x14ac:dyDescent="0.15">
      <c r="B33" s="595"/>
      <c r="C33" s="596"/>
      <c r="D33" s="60"/>
      <c r="E33" s="61"/>
      <c r="F33" s="61"/>
      <c r="G33" s="60"/>
      <c r="H33" s="61"/>
      <c r="I33" s="61"/>
      <c r="J33" s="60"/>
      <c r="K33" s="61"/>
      <c r="L33" s="61"/>
      <c r="M33" s="60"/>
      <c r="N33" s="61"/>
      <c r="O33" s="61"/>
      <c r="P33" s="60"/>
      <c r="Q33" s="61"/>
      <c r="R33" s="61"/>
      <c r="S33" s="60"/>
      <c r="T33" s="61"/>
      <c r="U33" s="61"/>
      <c r="V33" s="60"/>
      <c r="W33" s="61"/>
      <c r="X33" s="61"/>
      <c r="Y33" s="60"/>
      <c r="Z33" s="61"/>
      <c r="AA33" s="61"/>
      <c r="AB33" s="60"/>
      <c r="AC33" s="61"/>
      <c r="AD33" s="61"/>
      <c r="AE33" s="60"/>
      <c r="AF33" s="61"/>
      <c r="AG33" s="61"/>
      <c r="AH33" s="60"/>
      <c r="AI33" s="61"/>
      <c r="AJ33" s="61"/>
      <c r="AK33" s="60"/>
      <c r="AL33" s="61"/>
      <c r="AM33" s="61"/>
      <c r="AN33" s="62">
        <f t="shared" si="0"/>
        <v>0</v>
      </c>
    </row>
    <row r="34" spans="2:40" ht="20.100000000000001" customHeight="1" x14ac:dyDescent="0.15">
      <c r="B34" s="595"/>
      <c r="C34" s="596"/>
      <c r="D34" s="60"/>
      <c r="E34" s="61"/>
      <c r="F34" s="61"/>
      <c r="G34" s="60"/>
      <c r="H34" s="61"/>
      <c r="I34" s="61"/>
      <c r="J34" s="60"/>
      <c r="K34" s="61"/>
      <c r="L34" s="61"/>
      <c r="M34" s="60"/>
      <c r="N34" s="61"/>
      <c r="O34" s="61"/>
      <c r="P34" s="60"/>
      <c r="Q34" s="61"/>
      <c r="R34" s="61"/>
      <c r="S34" s="60"/>
      <c r="T34" s="61"/>
      <c r="U34" s="61"/>
      <c r="V34" s="60"/>
      <c r="W34" s="61"/>
      <c r="X34" s="61"/>
      <c r="Y34" s="60"/>
      <c r="Z34" s="61"/>
      <c r="AA34" s="61"/>
      <c r="AB34" s="60"/>
      <c r="AC34" s="61"/>
      <c r="AD34" s="61"/>
      <c r="AE34" s="60"/>
      <c r="AF34" s="61"/>
      <c r="AG34" s="61"/>
      <c r="AH34" s="60"/>
      <c r="AI34" s="61"/>
      <c r="AJ34" s="61"/>
      <c r="AK34" s="60"/>
      <c r="AL34" s="61"/>
      <c r="AM34" s="61"/>
      <c r="AN34" s="62">
        <f t="shared" si="0"/>
        <v>0</v>
      </c>
    </row>
    <row r="35" spans="2:40" ht="20.100000000000001" customHeight="1" x14ac:dyDescent="0.15">
      <c r="B35" s="599" t="s">
        <v>101</v>
      </c>
      <c r="C35" s="600"/>
      <c r="D35" s="60">
        <f t="shared" ref="D35:AM35" si="1">SUM(D10:D34)</f>
        <v>28</v>
      </c>
      <c r="E35" s="63">
        <f t="shared" si="1"/>
        <v>36</v>
      </c>
      <c r="F35" s="64">
        <f t="shared" si="1"/>
        <v>29.5</v>
      </c>
      <c r="G35" s="60">
        <f t="shared" si="1"/>
        <v>29.5</v>
      </c>
      <c r="H35" s="63">
        <f t="shared" si="1"/>
        <v>26.5</v>
      </c>
      <c r="I35" s="64">
        <f t="shared" si="1"/>
        <v>4</v>
      </c>
      <c r="J35" s="60">
        <f t="shared" si="1"/>
        <v>14.5</v>
      </c>
      <c r="K35" s="63">
        <f t="shared" si="1"/>
        <v>41.5</v>
      </c>
      <c r="L35" s="64">
        <f t="shared" si="1"/>
        <v>53.5</v>
      </c>
      <c r="M35" s="60">
        <f t="shared" si="1"/>
        <v>71.5</v>
      </c>
      <c r="N35" s="63">
        <f t="shared" si="1"/>
        <v>74.5</v>
      </c>
      <c r="O35" s="64">
        <f t="shared" si="1"/>
        <v>82</v>
      </c>
      <c r="P35" s="60">
        <f t="shared" si="1"/>
        <v>74.5</v>
      </c>
      <c r="Q35" s="63">
        <f t="shared" si="1"/>
        <v>73</v>
      </c>
      <c r="R35" s="64">
        <f t="shared" si="1"/>
        <v>77.5</v>
      </c>
      <c r="S35" s="60">
        <f t="shared" si="1"/>
        <v>71</v>
      </c>
      <c r="T35" s="63">
        <f t="shared" si="1"/>
        <v>63.5</v>
      </c>
      <c r="U35" s="64">
        <f t="shared" si="1"/>
        <v>45.5</v>
      </c>
      <c r="V35" s="60">
        <f t="shared" si="1"/>
        <v>26</v>
      </c>
      <c r="W35" s="63">
        <f t="shared" si="1"/>
        <v>12</v>
      </c>
      <c r="X35" s="64">
        <f t="shared" si="1"/>
        <v>12</v>
      </c>
      <c r="Y35" s="60">
        <f t="shared" si="1"/>
        <v>0</v>
      </c>
      <c r="Z35" s="63">
        <f t="shared" si="1"/>
        <v>19</v>
      </c>
      <c r="AA35" s="64">
        <f t="shared" si="1"/>
        <v>13</v>
      </c>
      <c r="AB35" s="60">
        <f t="shared" si="1"/>
        <v>29.5</v>
      </c>
      <c r="AC35" s="63">
        <f t="shared" si="1"/>
        <v>27.5</v>
      </c>
      <c r="AD35" s="64">
        <f t="shared" si="1"/>
        <v>3.5</v>
      </c>
      <c r="AE35" s="60">
        <f t="shared" si="1"/>
        <v>37</v>
      </c>
      <c r="AF35" s="63">
        <f t="shared" si="1"/>
        <v>52</v>
      </c>
      <c r="AG35" s="64">
        <f t="shared" si="1"/>
        <v>64</v>
      </c>
      <c r="AH35" s="60">
        <f t="shared" si="1"/>
        <v>76</v>
      </c>
      <c r="AI35" s="63">
        <f t="shared" si="1"/>
        <v>67</v>
      </c>
      <c r="AJ35" s="64">
        <f t="shared" si="1"/>
        <v>67</v>
      </c>
      <c r="AK35" s="60">
        <f t="shared" si="1"/>
        <v>53.5</v>
      </c>
      <c r="AL35" s="63">
        <f t="shared" si="1"/>
        <v>47.5</v>
      </c>
      <c r="AM35" s="64">
        <f t="shared" si="1"/>
        <v>38.5</v>
      </c>
      <c r="AN35" s="62">
        <f t="shared" si="0"/>
        <v>1541</v>
      </c>
    </row>
    <row r="36" spans="2:40" ht="20.100000000000001" customHeight="1" thickBot="1" x14ac:dyDescent="0.2">
      <c r="B36" s="597" t="s">
        <v>102</v>
      </c>
      <c r="C36" s="598"/>
      <c r="D36" s="65"/>
      <c r="E36" s="66">
        <f>SUM(D35:F35)</f>
        <v>93.5</v>
      </c>
      <c r="F36" s="66"/>
      <c r="G36" s="65"/>
      <c r="H36" s="66">
        <f>SUM(G35:I35)</f>
        <v>60</v>
      </c>
      <c r="I36" s="66"/>
      <c r="J36" s="65"/>
      <c r="K36" s="66">
        <f>SUM(J35:L35)</f>
        <v>109.5</v>
      </c>
      <c r="L36" s="66"/>
      <c r="M36" s="65"/>
      <c r="N36" s="66">
        <f>SUM(M35:O35)</f>
        <v>228</v>
      </c>
      <c r="O36" s="66"/>
      <c r="P36" s="65"/>
      <c r="Q36" s="66">
        <f>SUM(P35:R35)</f>
        <v>225</v>
      </c>
      <c r="R36" s="66"/>
      <c r="S36" s="65"/>
      <c r="T36" s="66">
        <f>SUM(S35:U35)</f>
        <v>180</v>
      </c>
      <c r="U36" s="66"/>
      <c r="V36" s="65"/>
      <c r="W36" s="66">
        <f>SUM(V35:X35)</f>
        <v>50</v>
      </c>
      <c r="X36" s="66"/>
      <c r="Y36" s="65"/>
      <c r="Z36" s="66">
        <f>SUM(Y35:AA35)</f>
        <v>32</v>
      </c>
      <c r="AA36" s="66"/>
      <c r="AB36" s="65"/>
      <c r="AC36" s="66">
        <f>SUM(AB35:AD35)</f>
        <v>60.5</v>
      </c>
      <c r="AD36" s="66"/>
      <c r="AE36" s="65"/>
      <c r="AF36" s="66">
        <f>SUM(AE35:AG35)</f>
        <v>153</v>
      </c>
      <c r="AG36" s="66"/>
      <c r="AH36" s="65"/>
      <c r="AI36" s="66">
        <f>SUM(AH35:AJ35)</f>
        <v>210</v>
      </c>
      <c r="AJ36" s="66"/>
      <c r="AK36" s="65"/>
      <c r="AL36" s="66">
        <f>SUM(AK35:AM35)</f>
        <v>139.5</v>
      </c>
      <c r="AM36" s="66"/>
      <c r="AN36" s="67">
        <f>SUM(AN10:AN34)</f>
        <v>1541</v>
      </c>
    </row>
    <row r="37" spans="2:40" ht="9.9499999999999993" customHeight="1" x14ac:dyDescent="0.15"/>
    <row r="38" spans="2:40" ht="24.95" customHeight="1" x14ac:dyDescent="0.15">
      <c r="B38" s="2" t="s">
        <v>208</v>
      </c>
    </row>
    <row r="39" spans="2:40" ht="9.9499999999999993" customHeight="1" thickBot="1" x14ac:dyDescent="0.2"/>
    <row r="40" spans="2:40" ht="20.100000000000001" customHeight="1" thickBot="1" x14ac:dyDescent="0.2">
      <c r="B40" s="1" t="s">
        <v>205</v>
      </c>
      <c r="C40" s="275">
        <v>25</v>
      </c>
      <c r="D40" s="1" t="s">
        <v>206</v>
      </c>
    </row>
    <row r="41" spans="2:40" ht="9.9499999999999993" customHeight="1" thickBot="1" x14ac:dyDescent="0.2"/>
    <row r="42" spans="2:40" ht="20.100000000000001" customHeight="1" x14ac:dyDescent="0.15">
      <c r="B42" s="582" t="s">
        <v>99</v>
      </c>
      <c r="C42" s="583"/>
      <c r="D42" s="586">
        <v>1</v>
      </c>
      <c r="E42" s="587"/>
      <c r="F42" s="588"/>
      <c r="G42" s="586">
        <v>2</v>
      </c>
      <c r="H42" s="587"/>
      <c r="I42" s="588"/>
      <c r="J42" s="586">
        <v>3</v>
      </c>
      <c r="K42" s="587"/>
      <c r="L42" s="588"/>
      <c r="M42" s="586">
        <v>4</v>
      </c>
      <c r="N42" s="587"/>
      <c r="O42" s="588"/>
      <c r="P42" s="586">
        <v>5</v>
      </c>
      <c r="Q42" s="587"/>
      <c r="R42" s="588"/>
      <c r="S42" s="586">
        <v>6</v>
      </c>
      <c r="T42" s="587"/>
      <c r="U42" s="588"/>
      <c r="V42" s="586">
        <v>7</v>
      </c>
      <c r="W42" s="587"/>
      <c r="X42" s="588"/>
      <c r="Y42" s="586">
        <v>8</v>
      </c>
      <c r="Z42" s="587"/>
      <c r="AA42" s="588"/>
      <c r="AB42" s="586">
        <v>9</v>
      </c>
      <c r="AC42" s="587"/>
      <c r="AD42" s="588"/>
      <c r="AE42" s="586">
        <v>10</v>
      </c>
      <c r="AF42" s="587"/>
      <c r="AG42" s="588"/>
      <c r="AH42" s="586">
        <v>11</v>
      </c>
      <c r="AI42" s="587"/>
      <c r="AJ42" s="588"/>
      <c r="AK42" s="586">
        <v>12</v>
      </c>
      <c r="AL42" s="587"/>
      <c r="AM42" s="588"/>
      <c r="AN42" s="589" t="s">
        <v>30</v>
      </c>
    </row>
    <row r="43" spans="2:40" ht="20.100000000000001" customHeight="1" x14ac:dyDescent="0.15">
      <c r="B43" s="584"/>
      <c r="C43" s="585"/>
      <c r="D43" s="52" t="s">
        <v>31</v>
      </c>
      <c r="E43" s="53" t="s">
        <v>32</v>
      </c>
      <c r="F43" s="54" t="s">
        <v>33</v>
      </c>
      <c r="G43" s="52" t="s">
        <v>31</v>
      </c>
      <c r="H43" s="54" t="s">
        <v>32</v>
      </c>
      <c r="I43" s="54" t="s">
        <v>33</v>
      </c>
      <c r="J43" s="52" t="s">
        <v>31</v>
      </c>
      <c r="K43" s="54" t="s">
        <v>32</v>
      </c>
      <c r="L43" s="54" t="s">
        <v>33</v>
      </c>
      <c r="M43" s="52" t="s">
        <v>31</v>
      </c>
      <c r="N43" s="54" t="s">
        <v>32</v>
      </c>
      <c r="O43" s="54" t="s">
        <v>33</v>
      </c>
      <c r="P43" s="52" t="s">
        <v>31</v>
      </c>
      <c r="Q43" s="54" t="s">
        <v>32</v>
      </c>
      <c r="R43" s="54" t="s">
        <v>33</v>
      </c>
      <c r="S43" s="52" t="s">
        <v>31</v>
      </c>
      <c r="T43" s="55" t="s">
        <v>32</v>
      </c>
      <c r="U43" s="55" t="s">
        <v>33</v>
      </c>
      <c r="V43" s="52" t="s">
        <v>31</v>
      </c>
      <c r="W43" s="54" t="s">
        <v>32</v>
      </c>
      <c r="X43" s="54" t="s">
        <v>33</v>
      </c>
      <c r="Y43" s="52" t="s">
        <v>31</v>
      </c>
      <c r="Z43" s="54" t="s">
        <v>32</v>
      </c>
      <c r="AA43" s="54" t="s">
        <v>33</v>
      </c>
      <c r="AB43" s="52" t="s">
        <v>31</v>
      </c>
      <c r="AC43" s="54" t="s">
        <v>32</v>
      </c>
      <c r="AD43" s="54" t="s">
        <v>33</v>
      </c>
      <c r="AE43" s="52" t="s">
        <v>31</v>
      </c>
      <c r="AF43" s="54" t="s">
        <v>32</v>
      </c>
      <c r="AG43" s="54" t="s">
        <v>33</v>
      </c>
      <c r="AH43" s="52" t="s">
        <v>31</v>
      </c>
      <c r="AI43" s="54" t="s">
        <v>32</v>
      </c>
      <c r="AJ43" s="54" t="s">
        <v>33</v>
      </c>
      <c r="AK43" s="52" t="s">
        <v>31</v>
      </c>
      <c r="AL43" s="54" t="s">
        <v>32</v>
      </c>
      <c r="AM43" s="54" t="s">
        <v>33</v>
      </c>
      <c r="AN43" s="590"/>
    </row>
    <row r="44" spans="2:40" ht="20.100000000000001" customHeight="1" x14ac:dyDescent="0.15">
      <c r="B44" s="605" t="s">
        <v>213</v>
      </c>
      <c r="C44" s="585"/>
      <c r="D44" s="60">
        <f>D35*$C$40/10</f>
        <v>70</v>
      </c>
      <c r="E44" s="63">
        <f t="shared" ref="E44:AM44" si="2">E35*$C$40/10</f>
        <v>90</v>
      </c>
      <c r="F44" s="64">
        <f t="shared" si="2"/>
        <v>73.75</v>
      </c>
      <c r="G44" s="60">
        <f t="shared" si="2"/>
        <v>73.75</v>
      </c>
      <c r="H44" s="63">
        <f t="shared" si="2"/>
        <v>66.25</v>
      </c>
      <c r="I44" s="64">
        <f t="shared" si="2"/>
        <v>10</v>
      </c>
      <c r="J44" s="60">
        <f t="shared" si="2"/>
        <v>36.25</v>
      </c>
      <c r="K44" s="63">
        <f t="shared" si="2"/>
        <v>103.75</v>
      </c>
      <c r="L44" s="64">
        <f t="shared" si="2"/>
        <v>133.75</v>
      </c>
      <c r="M44" s="60">
        <f t="shared" si="2"/>
        <v>178.75</v>
      </c>
      <c r="N44" s="63">
        <f t="shared" si="2"/>
        <v>186.25</v>
      </c>
      <c r="O44" s="64">
        <f t="shared" si="2"/>
        <v>205</v>
      </c>
      <c r="P44" s="60">
        <f t="shared" si="2"/>
        <v>186.25</v>
      </c>
      <c r="Q44" s="63">
        <f t="shared" si="2"/>
        <v>182.5</v>
      </c>
      <c r="R44" s="64">
        <f t="shared" si="2"/>
        <v>193.75</v>
      </c>
      <c r="S44" s="60">
        <f t="shared" si="2"/>
        <v>177.5</v>
      </c>
      <c r="T44" s="63">
        <f t="shared" si="2"/>
        <v>158.75</v>
      </c>
      <c r="U44" s="64">
        <f t="shared" si="2"/>
        <v>113.75</v>
      </c>
      <c r="V44" s="60">
        <f t="shared" si="2"/>
        <v>65</v>
      </c>
      <c r="W44" s="63">
        <f t="shared" si="2"/>
        <v>30</v>
      </c>
      <c r="X44" s="64">
        <f t="shared" si="2"/>
        <v>30</v>
      </c>
      <c r="Y44" s="60">
        <f t="shared" si="2"/>
        <v>0</v>
      </c>
      <c r="Z44" s="63">
        <f t="shared" si="2"/>
        <v>47.5</v>
      </c>
      <c r="AA44" s="64">
        <f t="shared" si="2"/>
        <v>32.5</v>
      </c>
      <c r="AB44" s="60">
        <f t="shared" si="2"/>
        <v>73.75</v>
      </c>
      <c r="AC44" s="63">
        <f t="shared" si="2"/>
        <v>68.75</v>
      </c>
      <c r="AD44" s="64">
        <f t="shared" si="2"/>
        <v>8.75</v>
      </c>
      <c r="AE44" s="60">
        <f t="shared" si="2"/>
        <v>92.5</v>
      </c>
      <c r="AF44" s="63">
        <f t="shared" si="2"/>
        <v>130</v>
      </c>
      <c r="AG44" s="64">
        <f t="shared" si="2"/>
        <v>160</v>
      </c>
      <c r="AH44" s="60">
        <f t="shared" si="2"/>
        <v>190</v>
      </c>
      <c r="AI44" s="63">
        <f t="shared" si="2"/>
        <v>167.5</v>
      </c>
      <c r="AJ44" s="64">
        <f t="shared" si="2"/>
        <v>167.5</v>
      </c>
      <c r="AK44" s="60">
        <f t="shared" si="2"/>
        <v>133.75</v>
      </c>
      <c r="AL44" s="63">
        <f t="shared" si="2"/>
        <v>118.75</v>
      </c>
      <c r="AM44" s="64">
        <f t="shared" si="2"/>
        <v>96.25</v>
      </c>
      <c r="AN44" s="62">
        <f t="shared" ref="AN44:AN48" si="3">SUM(D44:AM44)</f>
        <v>3852.5</v>
      </c>
    </row>
    <row r="45" spans="2:40" ht="20.100000000000001" customHeight="1" thickBot="1" x14ac:dyDescent="0.2">
      <c r="B45" s="591" t="s">
        <v>102</v>
      </c>
      <c r="C45" s="592"/>
      <c r="D45" s="278"/>
      <c r="E45" s="274">
        <f>SUM(D44:F44)</f>
        <v>233.75</v>
      </c>
      <c r="F45" s="274"/>
      <c r="G45" s="278"/>
      <c r="H45" s="274">
        <f>SUM(G44:I44)</f>
        <v>150</v>
      </c>
      <c r="I45" s="274"/>
      <c r="J45" s="278"/>
      <c r="K45" s="274">
        <f>SUM(J44:L44)</f>
        <v>273.75</v>
      </c>
      <c r="L45" s="274"/>
      <c r="M45" s="278"/>
      <c r="N45" s="274">
        <f>SUM(M44:O44)</f>
        <v>570</v>
      </c>
      <c r="O45" s="274"/>
      <c r="P45" s="278"/>
      <c r="Q45" s="274">
        <f>SUM(P44:R44)</f>
        <v>562.5</v>
      </c>
      <c r="R45" s="274"/>
      <c r="S45" s="278"/>
      <c r="T45" s="274">
        <f>SUM(S44:U44)</f>
        <v>450</v>
      </c>
      <c r="U45" s="274"/>
      <c r="V45" s="278"/>
      <c r="W45" s="274">
        <f>SUM(V44:X44)</f>
        <v>125</v>
      </c>
      <c r="X45" s="274"/>
      <c r="Y45" s="278"/>
      <c r="Z45" s="274">
        <f>SUM(Y44:AA44)</f>
        <v>80</v>
      </c>
      <c r="AA45" s="274"/>
      <c r="AB45" s="278"/>
      <c r="AC45" s="274">
        <f>SUM(AB44:AD44)</f>
        <v>151.25</v>
      </c>
      <c r="AD45" s="274"/>
      <c r="AE45" s="278"/>
      <c r="AF45" s="274">
        <f>SUM(AE44:AG44)</f>
        <v>382.5</v>
      </c>
      <c r="AG45" s="274"/>
      <c r="AH45" s="278"/>
      <c r="AI45" s="274">
        <f>SUM(AH44:AJ44)</f>
        <v>525</v>
      </c>
      <c r="AJ45" s="274"/>
      <c r="AK45" s="278"/>
      <c r="AL45" s="274">
        <f>SUM(AK44:AM44)</f>
        <v>348.75</v>
      </c>
      <c r="AM45" s="274"/>
      <c r="AN45" s="279">
        <f t="shared" si="3"/>
        <v>3852.5</v>
      </c>
    </row>
    <row r="46" spans="2:40" ht="20.100000000000001" customHeight="1" thickTop="1" x14ac:dyDescent="0.15">
      <c r="B46" s="606" t="s">
        <v>211</v>
      </c>
      <c r="C46" s="280" t="s">
        <v>209</v>
      </c>
      <c r="D46" s="281">
        <v>30</v>
      </c>
      <c r="E46" s="282">
        <v>40</v>
      </c>
      <c r="F46" s="282">
        <v>33.799999999999997</v>
      </c>
      <c r="G46" s="281">
        <v>33.799999999999997</v>
      </c>
      <c r="H46" s="282">
        <v>36.299999999999997</v>
      </c>
      <c r="I46" s="282">
        <v>10</v>
      </c>
      <c r="J46" s="281">
        <v>36.299999999999997</v>
      </c>
      <c r="K46" s="282">
        <v>43.8</v>
      </c>
      <c r="L46" s="282">
        <v>60</v>
      </c>
      <c r="M46" s="281">
        <v>70</v>
      </c>
      <c r="N46" s="282">
        <v>70</v>
      </c>
      <c r="O46" s="282">
        <v>80</v>
      </c>
      <c r="P46" s="281">
        <v>70</v>
      </c>
      <c r="Q46" s="282">
        <v>70</v>
      </c>
      <c r="R46" s="282">
        <v>80</v>
      </c>
      <c r="S46" s="281">
        <v>70</v>
      </c>
      <c r="T46" s="282">
        <v>70</v>
      </c>
      <c r="U46" s="282">
        <v>50</v>
      </c>
      <c r="V46" s="281">
        <v>40</v>
      </c>
      <c r="W46" s="282">
        <v>30</v>
      </c>
      <c r="X46" s="282">
        <v>30</v>
      </c>
      <c r="Y46" s="281"/>
      <c r="Z46" s="282">
        <v>30</v>
      </c>
      <c r="AA46" s="282">
        <v>32.5</v>
      </c>
      <c r="AB46" s="281">
        <v>30</v>
      </c>
      <c r="AC46" s="282">
        <v>38.799999999999997</v>
      </c>
      <c r="AD46" s="282">
        <v>8.8000000000000007</v>
      </c>
      <c r="AE46" s="281">
        <v>60</v>
      </c>
      <c r="AF46" s="282">
        <v>60</v>
      </c>
      <c r="AG46" s="282">
        <v>70</v>
      </c>
      <c r="AH46" s="281">
        <v>80</v>
      </c>
      <c r="AI46" s="282">
        <v>70</v>
      </c>
      <c r="AJ46" s="282">
        <v>70</v>
      </c>
      <c r="AK46" s="281">
        <v>60</v>
      </c>
      <c r="AL46" s="282">
        <v>50</v>
      </c>
      <c r="AM46" s="282">
        <v>50</v>
      </c>
      <c r="AN46" s="283">
        <f t="shared" si="3"/>
        <v>1764.1</v>
      </c>
    </row>
    <row r="47" spans="2:40" ht="20.100000000000001" customHeight="1" x14ac:dyDescent="0.15">
      <c r="B47" s="607"/>
      <c r="C47" s="276" t="s">
        <v>210</v>
      </c>
      <c r="D47" s="284">
        <v>30</v>
      </c>
      <c r="E47" s="61">
        <v>30</v>
      </c>
      <c r="F47" s="61">
        <v>30</v>
      </c>
      <c r="G47" s="284">
        <v>30</v>
      </c>
      <c r="H47" s="61">
        <v>30</v>
      </c>
      <c r="I47" s="61"/>
      <c r="J47" s="284"/>
      <c r="K47" s="61">
        <v>40</v>
      </c>
      <c r="L47" s="61">
        <v>50</v>
      </c>
      <c r="M47" s="284">
        <v>70</v>
      </c>
      <c r="N47" s="61">
        <v>70</v>
      </c>
      <c r="O47" s="61">
        <v>80</v>
      </c>
      <c r="P47" s="284">
        <v>70</v>
      </c>
      <c r="Q47" s="61">
        <v>70</v>
      </c>
      <c r="R47" s="61">
        <v>80</v>
      </c>
      <c r="S47" s="284">
        <v>70</v>
      </c>
      <c r="T47" s="61">
        <v>60</v>
      </c>
      <c r="U47" s="61">
        <v>40</v>
      </c>
      <c r="V47" s="284">
        <v>25</v>
      </c>
      <c r="W47" s="61"/>
      <c r="X47" s="61"/>
      <c r="Y47" s="284"/>
      <c r="Z47" s="61">
        <v>17.5</v>
      </c>
      <c r="AA47" s="61"/>
      <c r="AB47" s="284">
        <v>30</v>
      </c>
      <c r="AC47" s="61">
        <v>30</v>
      </c>
      <c r="AD47" s="61"/>
      <c r="AE47" s="284">
        <v>32.5</v>
      </c>
      <c r="AF47" s="61">
        <v>50</v>
      </c>
      <c r="AG47" s="61">
        <v>60</v>
      </c>
      <c r="AH47" s="284">
        <v>80</v>
      </c>
      <c r="AI47" s="61">
        <v>60</v>
      </c>
      <c r="AJ47" s="61">
        <v>60</v>
      </c>
      <c r="AK47" s="284">
        <v>50</v>
      </c>
      <c r="AL47" s="61">
        <v>40</v>
      </c>
      <c r="AM47" s="61">
        <v>46.3</v>
      </c>
      <c r="AN47" s="62">
        <f t="shared" si="3"/>
        <v>1431.3</v>
      </c>
    </row>
    <row r="48" spans="2:40" ht="20.100000000000001" customHeight="1" x14ac:dyDescent="0.15">
      <c r="B48" s="607"/>
      <c r="C48" s="276" t="s">
        <v>216</v>
      </c>
      <c r="D48" s="284">
        <v>10</v>
      </c>
      <c r="E48" s="61">
        <v>20</v>
      </c>
      <c r="F48" s="61">
        <v>10</v>
      </c>
      <c r="G48" s="284">
        <v>10</v>
      </c>
      <c r="H48" s="61"/>
      <c r="I48" s="61"/>
      <c r="J48" s="284"/>
      <c r="K48" s="61">
        <v>20</v>
      </c>
      <c r="L48" s="61">
        <v>23.8</v>
      </c>
      <c r="M48" s="284">
        <v>38.799999999999997</v>
      </c>
      <c r="N48" s="61">
        <v>46.3</v>
      </c>
      <c r="O48" s="61">
        <v>45</v>
      </c>
      <c r="P48" s="284">
        <v>46.3</v>
      </c>
      <c r="Q48" s="61">
        <v>42.5</v>
      </c>
      <c r="R48" s="61">
        <v>33.799999999999997</v>
      </c>
      <c r="S48" s="284">
        <v>37.5</v>
      </c>
      <c r="T48" s="61">
        <v>28.8</v>
      </c>
      <c r="U48" s="61">
        <v>23.8</v>
      </c>
      <c r="V48" s="284"/>
      <c r="W48" s="61"/>
      <c r="X48" s="61"/>
      <c r="Y48" s="284"/>
      <c r="Z48" s="61"/>
      <c r="AA48" s="61"/>
      <c r="AB48" s="284">
        <v>13.8</v>
      </c>
      <c r="AC48" s="61"/>
      <c r="AD48" s="61"/>
      <c r="AE48" s="284"/>
      <c r="AF48" s="61">
        <v>20</v>
      </c>
      <c r="AG48" s="61">
        <v>30</v>
      </c>
      <c r="AH48" s="284">
        <v>30</v>
      </c>
      <c r="AI48" s="61">
        <v>37.5</v>
      </c>
      <c r="AJ48" s="61">
        <v>37.5</v>
      </c>
      <c r="AK48" s="284">
        <v>23.8</v>
      </c>
      <c r="AL48" s="61">
        <v>28.8</v>
      </c>
      <c r="AM48" s="61"/>
      <c r="AN48" s="62">
        <f t="shared" si="3"/>
        <v>658</v>
      </c>
    </row>
    <row r="49" spans="2:40" ht="20.100000000000001" customHeight="1" x14ac:dyDescent="0.15">
      <c r="B49" s="607"/>
      <c r="C49" s="277"/>
      <c r="D49" s="284"/>
      <c r="E49" s="61"/>
      <c r="F49" s="61"/>
      <c r="G49" s="284"/>
      <c r="H49" s="61"/>
      <c r="I49" s="61"/>
      <c r="J49" s="284"/>
      <c r="K49" s="61"/>
      <c r="L49" s="61"/>
      <c r="M49" s="284"/>
      <c r="N49" s="61"/>
      <c r="O49" s="61"/>
      <c r="P49" s="284"/>
      <c r="Q49" s="61"/>
      <c r="R49" s="61"/>
      <c r="S49" s="284"/>
      <c r="T49" s="61"/>
      <c r="U49" s="61"/>
      <c r="V49" s="284"/>
      <c r="W49" s="61"/>
      <c r="X49" s="61"/>
      <c r="Y49" s="284"/>
      <c r="Z49" s="61"/>
      <c r="AA49" s="61"/>
      <c r="AB49" s="284"/>
      <c r="AC49" s="61"/>
      <c r="AD49" s="61"/>
      <c r="AE49" s="284"/>
      <c r="AF49" s="61"/>
      <c r="AG49" s="61"/>
      <c r="AH49" s="284"/>
      <c r="AI49" s="61"/>
      <c r="AJ49" s="61"/>
      <c r="AK49" s="284"/>
      <c r="AL49" s="61"/>
      <c r="AM49" s="61"/>
      <c r="AN49" s="62">
        <f t="shared" ref="AN49:AN52" si="4">SUM(D49:AM49)</f>
        <v>0</v>
      </c>
    </row>
    <row r="50" spans="2:40" ht="20.100000000000001" customHeight="1" thickBot="1" x14ac:dyDescent="0.2">
      <c r="B50" s="608"/>
      <c r="C50" s="291" t="s">
        <v>214</v>
      </c>
      <c r="D50" s="285">
        <f>SUM(D46:D49)</f>
        <v>70</v>
      </c>
      <c r="E50" s="286">
        <f t="shared" ref="E50:AM50" si="5">SUM(E46:E49)</f>
        <v>90</v>
      </c>
      <c r="F50" s="286">
        <f t="shared" si="5"/>
        <v>73.8</v>
      </c>
      <c r="G50" s="285">
        <f t="shared" si="5"/>
        <v>73.8</v>
      </c>
      <c r="H50" s="286">
        <f t="shared" si="5"/>
        <v>66.3</v>
      </c>
      <c r="I50" s="286">
        <f t="shared" si="5"/>
        <v>10</v>
      </c>
      <c r="J50" s="285">
        <f t="shared" si="5"/>
        <v>36.299999999999997</v>
      </c>
      <c r="K50" s="286">
        <f t="shared" si="5"/>
        <v>103.8</v>
      </c>
      <c r="L50" s="286">
        <f t="shared" si="5"/>
        <v>133.80000000000001</v>
      </c>
      <c r="M50" s="285">
        <f t="shared" si="5"/>
        <v>178.8</v>
      </c>
      <c r="N50" s="286">
        <f t="shared" si="5"/>
        <v>186.3</v>
      </c>
      <c r="O50" s="286">
        <f t="shared" si="5"/>
        <v>205</v>
      </c>
      <c r="P50" s="285">
        <f t="shared" si="5"/>
        <v>186.3</v>
      </c>
      <c r="Q50" s="286">
        <f t="shared" si="5"/>
        <v>182.5</v>
      </c>
      <c r="R50" s="286">
        <f t="shared" si="5"/>
        <v>193.8</v>
      </c>
      <c r="S50" s="285">
        <f t="shared" si="5"/>
        <v>177.5</v>
      </c>
      <c r="T50" s="286">
        <f t="shared" si="5"/>
        <v>158.80000000000001</v>
      </c>
      <c r="U50" s="286">
        <f t="shared" si="5"/>
        <v>113.8</v>
      </c>
      <c r="V50" s="285">
        <f t="shared" si="5"/>
        <v>65</v>
      </c>
      <c r="W50" s="286">
        <f t="shared" si="5"/>
        <v>30</v>
      </c>
      <c r="X50" s="286">
        <f t="shared" si="5"/>
        <v>30</v>
      </c>
      <c r="Y50" s="285">
        <f t="shared" si="5"/>
        <v>0</v>
      </c>
      <c r="Z50" s="286">
        <f t="shared" si="5"/>
        <v>47.5</v>
      </c>
      <c r="AA50" s="286">
        <f t="shared" si="5"/>
        <v>32.5</v>
      </c>
      <c r="AB50" s="285">
        <f t="shared" si="5"/>
        <v>73.8</v>
      </c>
      <c r="AC50" s="286">
        <f t="shared" si="5"/>
        <v>68.8</v>
      </c>
      <c r="AD50" s="286">
        <f t="shared" si="5"/>
        <v>8.8000000000000007</v>
      </c>
      <c r="AE50" s="285">
        <f t="shared" si="5"/>
        <v>92.5</v>
      </c>
      <c r="AF50" s="286">
        <f t="shared" si="5"/>
        <v>130</v>
      </c>
      <c r="AG50" s="286">
        <f t="shared" si="5"/>
        <v>160</v>
      </c>
      <c r="AH50" s="285">
        <f t="shared" si="5"/>
        <v>190</v>
      </c>
      <c r="AI50" s="286">
        <f t="shared" si="5"/>
        <v>167.5</v>
      </c>
      <c r="AJ50" s="286">
        <f t="shared" si="5"/>
        <v>167.5</v>
      </c>
      <c r="AK50" s="285">
        <f t="shared" si="5"/>
        <v>133.80000000000001</v>
      </c>
      <c r="AL50" s="286">
        <f t="shared" si="5"/>
        <v>118.8</v>
      </c>
      <c r="AM50" s="286">
        <f t="shared" si="5"/>
        <v>96.3</v>
      </c>
      <c r="AN50" s="287">
        <f t="shared" si="4"/>
        <v>3853.400000000001</v>
      </c>
    </row>
    <row r="51" spans="2:40" ht="20.100000000000001" customHeight="1" thickTop="1" x14ac:dyDescent="0.15">
      <c r="B51" s="601" t="s">
        <v>215</v>
      </c>
      <c r="C51" s="602"/>
      <c r="D51" s="292">
        <f>D50-D44</f>
        <v>0</v>
      </c>
      <c r="E51" s="293">
        <f t="shared" ref="E51:AM51" si="6">E50-E44</f>
        <v>0</v>
      </c>
      <c r="F51" s="293">
        <f t="shared" si="6"/>
        <v>4.9999999999997158E-2</v>
      </c>
      <c r="G51" s="292">
        <f t="shared" si="6"/>
        <v>4.9999999999997158E-2</v>
      </c>
      <c r="H51" s="293">
        <f t="shared" si="6"/>
        <v>4.9999999999997158E-2</v>
      </c>
      <c r="I51" s="293">
        <f t="shared" si="6"/>
        <v>0</v>
      </c>
      <c r="J51" s="292">
        <f t="shared" si="6"/>
        <v>4.9999999999997158E-2</v>
      </c>
      <c r="K51" s="293">
        <f t="shared" si="6"/>
        <v>4.9999999999997158E-2</v>
      </c>
      <c r="L51" s="293">
        <f>L50-L44</f>
        <v>5.0000000000011369E-2</v>
      </c>
      <c r="M51" s="292">
        <f t="shared" si="6"/>
        <v>5.0000000000011369E-2</v>
      </c>
      <c r="N51" s="293">
        <f t="shared" si="6"/>
        <v>5.0000000000011369E-2</v>
      </c>
      <c r="O51" s="293">
        <f t="shared" si="6"/>
        <v>0</v>
      </c>
      <c r="P51" s="292">
        <f t="shared" si="6"/>
        <v>5.0000000000011369E-2</v>
      </c>
      <c r="Q51" s="293">
        <f t="shared" si="6"/>
        <v>0</v>
      </c>
      <c r="R51" s="293">
        <f t="shared" si="6"/>
        <v>5.0000000000011369E-2</v>
      </c>
      <c r="S51" s="292">
        <f t="shared" si="6"/>
        <v>0</v>
      </c>
      <c r="T51" s="293">
        <f t="shared" si="6"/>
        <v>5.0000000000011369E-2</v>
      </c>
      <c r="U51" s="293">
        <f t="shared" si="6"/>
        <v>4.9999999999997158E-2</v>
      </c>
      <c r="V51" s="292">
        <f t="shared" si="6"/>
        <v>0</v>
      </c>
      <c r="W51" s="293">
        <f t="shared" si="6"/>
        <v>0</v>
      </c>
      <c r="X51" s="293">
        <f t="shared" si="6"/>
        <v>0</v>
      </c>
      <c r="Y51" s="292">
        <f t="shared" si="6"/>
        <v>0</v>
      </c>
      <c r="Z51" s="293">
        <f t="shared" si="6"/>
        <v>0</v>
      </c>
      <c r="AA51" s="293">
        <f t="shared" si="6"/>
        <v>0</v>
      </c>
      <c r="AB51" s="292">
        <f t="shared" si="6"/>
        <v>4.9999999999997158E-2</v>
      </c>
      <c r="AC51" s="293">
        <f t="shared" si="6"/>
        <v>4.9999999999997158E-2</v>
      </c>
      <c r="AD51" s="293">
        <f t="shared" si="6"/>
        <v>5.0000000000000711E-2</v>
      </c>
      <c r="AE51" s="292">
        <f t="shared" si="6"/>
        <v>0</v>
      </c>
      <c r="AF51" s="293">
        <f t="shared" si="6"/>
        <v>0</v>
      </c>
      <c r="AG51" s="293">
        <f t="shared" si="6"/>
        <v>0</v>
      </c>
      <c r="AH51" s="292">
        <f t="shared" si="6"/>
        <v>0</v>
      </c>
      <c r="AI51" s="294">
        <f t="shared" si="6"/>
        <v>0</v>
      </c>
      <c r="AJ51" s="293">
        <f t="shared" si="6"/>
        <v>0</v>
      </c>
      <c r="AK51" s="292">
        <f t="shared" si="6"/>
        <v>5.0000000000011369E-2</v>
      </c>
      <c r="AL51" s="293">
        <f t="shared" si="6"/>
        <v>4.9999999999997158E-2</v>
      </c>
      <c r="AM51" s="293">
        <f t="shared" si="6"/>
        <v>4.9999999999997158E-2</v>
      </c>
      <c r="AN51" s="283">
        <f t="shared" si="4"/>
        <v>0.90000000000005187</v>
      </c>
    </row>
    <row r="52" spans="2:40" ht="20.100000000000001" customHeight="1" thickBot="1" x14ac:dyDescent="0.2">
      <c r="B52" s="603" t="s">
        <v>212</v>
      </c>
      <c r="C52" s="604"/>
      <c r="D52" s="288"/>
      <c r="E52" s="289"/>
      <c r="F52" s="289"/>
      <c r="G52" s="288"/>
      <c r="H52" s="289"/>
      <c r="I52" s="289"/>
      <c r="J52" s="288"/>
      <c r="K52" s="289"/>
      <c r="L52" s="289"/>
      <c r="M52" s="288"/>
      <c r="N52" s="289"/>
      <c r="O52" s="289"/>
      <c r="P52" s="288"/>
      <c r="Q52" s="289"/>
      <c r="R52" s="289"/>
      <c r="S52" s="288"/>
      <c r="T52" s="289"/>
      <c r="U52" s="289"/>
      <c r="V52" s="288"/>
      <c r="W52" s="289"/>
      <c r="X52" s="289"/>
      <c r="Y52" s="288"/>
      <c r="Z52" s="289"/>
      <c r="AA52" s="289"/>
      <c r="AB52" s="288"/>
      <c r="AC52" s="289"/>
      <c r="AD52" s="289"/>
      <c r="AE52" s="288"/>
      <c r="AF52" s="289"/>
      <c r="AG52" s="289"/>
      <c r="AH52" s="288"/>
      <c r="AI52" s="289"/>
      <c r="AJ52" s="289"/>
      <c r="AK52" s="288"/>
      <c r="AL52" s="289"/>
      <c r="AM52" s="289"/>
      <c r="AN52" s="290">
        <f t="shared" si="4"/>
        <v>0</v>
      </c>
    </row>
  </sheetData>
  <mergeCells count="61">
    <mergeCell ref="B51:C51"/>
    <mergeCell ref="B52:C52"/>
    <mergeCell ref="AK42:AM42"/>
    <mergeCell ref="AN42:AN43"/>
    <mergeCell ref="B44:C44"/>
    <mergeCell ref="B45:C45"/>
    <mergeCell ref="B46:B50"/>
    <mergeCell ref="V42:X42"/>
    <mergeCell ref="Y42:AA42"/>
    <mergeCell ref="AB42:AD42"/>
    <mergeCell ref="AE42:AG42"/>
    <mergeCell ref="AH42:AJ42"/>
    <mergeCell ref="G42:I42"/>
    <mergeCell ref="J42:L42"/>
    <mergeCell ref="M42:O42"/>
    <mergeCell ref="P42:R42"/>
    <mergeCell ref="S42:U42"/>
    <mergeCell ref="B36:C36"/>
    <mergeCell ref="B42:C43"/>
    <mergeCell ref="D42:F42"/>
    <mergeCell ref="B33:C33"/>
    <mergeCell ref="B34:C34"/>
    <mergeCell ref="B35:C35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9"/>
    <mergeCell ref="B10:C10"/>
    <mergeCell ref="B11:C11"/>
    <mergeCell ref="B12:C12"/>
    <mergeCell ref="B13:C13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3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225</v>
      </c>
      <c r="C2" s="5"/>
      <c r="D2" s="5"/>
      <c r="E2" s="32"/>
      <c r="F2" s="614"/>
      <c r="G2" s="615"/>
      <c r="H2" s="298" t="s">
        <v>203</v>
      </c>
      <c r="I2" s="271" t="s">
        <v>311</v>
      </c>
      <c r="J2" s="271"/>
      <c r="K2" s="298" t="s">
        <v>204</v>
      </c>
      <c r="L2" s="271" t="s">
        <v>364</v>
      </c>
      <c r="M2" s="33"/>
      <c r="P2" s="296"/>
    </row>
    <row r="3" spans="2:16" ht="20.100000000000001" customHeight="1" x14ac:dyDescent="0.15">
      <c r="B3" s="616" t="s">
        <v>72</v>
      </c>
      <c r="C3" s="609" t="s">
        <v>34</v>
      </c>
      <c r="D3" s="609" t="s">
        <v>103</v>
      </c>
      <c r="E3" s="618" t="s">
        <v>35</v>
      </c>
      <c r="F3" s="619"/>
      <c r="G3" s="297" t="s">
        <v>36</v>
      </c>
      <c r="H3" s="297" t="s">
        <v>105</v>
      </c>
      <c r="I3" s="297" t="s">
        <v>104</v>
      </c>
      <c r="J3" s="609" t="s">
        <v>78</v>
      </c>
      <c r="K3" s="34" t="s">
        <v>226</v>
      </c>
      <c r="L3" s="297" t="s">
        <v>37</v>
      </c>
      <c r="M3" s="297" t="s">
        <v>106</v>
      </c>
      <c r="N3" s="297" t="s">
        <v>38</v>
      </c>
      <c r="O3" s="297" t="s">
        <v>39</v>
      </c>
      <c r="P3" s="343" t="s">
        <v>40</v>
      </c>
    </row>
    <row r="4" spans="2:16" ht="20.100000000000001" customHeight="1" x14ac:dyDescent="0.15">
      <c r="B4" s="617"/>
      <c r="C4" s="610"/>
      <c r="D4" s="610"/>
      <c r="E4" s="6" t="s">
        <v>79</v>
      </c>
      <c r="F4" s="6" t="s">
        <v>7</v>
      </c>
      <c r="G4" s="7" t="s">
        <v>227</v>
      </c>
      <c r="H4" s="7" t="s">
        <v>228</v>
      </c>
      <c r="I4" s="7" t="s">
        <v>108</v>
      </c>
      <c r="J4" s="610"/>
      <c r="K4" s="8" t="s">
        <v>229</v>
      </c>
      <c r="L4" s="7" t="s">
        <v>413</v>
      </c>
      <c r="M4" s="7" t="s">
        <v>230</v>
      </c>
      <c r="N4" s="7" t="s">
        <v>414</v>
      </c>
      <c r="O4" s="7" t="s">
        <v>231</v>
      </c>
      <c r="P4" s="344" t="s">
        <v>415</v>
      </c>
    </row>
    <row r="5" spans="2:16" ht="20.100000000000001" customHeight="1" x14ac:dyDescent="0.15">
      <c r="B5" s="611" t="s">
        <v>156</v>
      </c>
      <c r="C5" s="299" t="s">
        <v>221</v>
      </c>
      <c r="D5" s="299" t="s">
        <v>382</v>
      </c>
      <c r="E5" s="299">
        <v>50</v>
      </c>
      <c r="F5" s="35" t="s">
        <v>222</v>
      </c>
      <c r="G5" s="299">
        <v>2160000</v>
      </c>
      <c r="H5" s="300">
        <v>0</v>
      </c>
      <c r="I5" s="299">
        <f>G5*(1-H5)</f>
        <v>2160000</v>
      </c>
      <c r="J5" s="299" t="s">
        <v>363</v>
      </c>
      <c r="K5" s="301">
        <f>10/40</f>
        <v>0.25</v>
      </c>
      <c r="L5" s="29">
        <f>I5*K5</f>
        <v>540000</v>
      </c>
      <c r="M5" s="38">
        <v>0</v>
      </c>
      <c r="N5" s="29">
        <f t="shared" ref="N5:N8" si="0">L5*M5/100</f>
        <v>0</v>
      </c>
      <c r="O5" s="29">
        <v>24</v>
      </c>
      <c r="P5" s="150">
        <f>IF(O5="","",(L5-N5)/O5)</f>
        <v>22500</v>
      </c>
    </row>
    <row r="6" spans="2:16" ht="20.100000000000001" customHeight="1" x14ac:dyDescent="0.15">
      <c r="B6" s="612"/>
      <c r="C6" s="299" t="s">
        <v>309</v>
      </c>
      <c r="D6" s="299" t="s">
        <v>223</v>
      </c>
      <c r="E6" s="299">
        <v>50</v>
      </c>
      <c r="F6" s="35" t="s">
        <v>222</v>
      </c>
      <c r="G6" s="299">
        <v>2160000</v>
      </c>
      <c r="H6" s="300">
        <v>0</v>
      </c>
      <c r="I6" s="299">
        <v>1000000</v>
      </c>
      <c r="J6" s="299" t="s">
        <v>362</v>
      </c>
      <c r="K6" s="301">
        <f t="shared" ref="K6:K8" si="1">10/40</f>
        <v>0.25</v>
      </c>
      <c r="L6" s="29">
        <f t="shared" ref="L6:L7" si="2">I6*K6</f>
        <v>250000</v>
      </c>
      <c r="M6" s="38">
        <v>0</v>
      </c>
      <c r="N6" s="29">
        <f t="shared" si="0"/>
        <v>0</v>
      </c>
      <c r="O6" s="29">
        <v>24</v>
      </c>
      <c r="P6" s="150">
        <f t="shared" ref="P6:P8" si="3">IF(O6="","",(L6-N6)/O6)</f>
        <v>10416.666666666666</v>
      </c>
    </row>
    <row r="7" spans="2:16" ht="20.100000000000001" customHeight="1" x14ac:dyDescent="0.15">
      <c r="B7" s="612"/>
      <c r="C7" s="299" t="s">
        <v>44</v>
      </c>
      <c r="D7" s="9"/>
      <c r="E7" s="299">
        <v>2500</v>
      </c>
      <c r="F7" s="35" t="s">
        <v>222</v>
      </c>
      <c r="G7" s="299">
        <v>15000000</v>
      </c>
      <c r="H7" s="300">
        <v>0.5</v>
      </c>
      <c r="I7" s="299">
        <f t="shared" ref="I7" si="4">G7*(1-H7)</f>
        <v>7500000</v>
      </c>
      <c r="J7" s="299" t="s">
        <v>362</v>
      </c>
      <c r="K7" s="301">
        <f t="shared" si="1"/>
        <v>0.25</v>
      </c>
      <c r="L7" s="29">
        <f t="shared" si="2"/>
        <v>1875000</v>
      </c>
      <c r="M7" s="38">
        <v>0</v>
      </c>
      <c r="N7" s="29">
        <f t="shared" si="0"/>
        <v>0</v>
      </c>
      <c r="O7" s="29">
        <v>10</v>
      </c>
      <c r="P7" s="150">
        <f t="shared" si="3"/>
        <v>187500</v>
      </c>
    </row>
    <row r="8" spans="2:16" ht="20.100000000000001" customHeight="1" x14ac:dyDescent="0.15">
      <c r="B8" s="612"/>
      <c r="C8" s="299" t="s">
        <v>310</v>
      </c>
      <c r="D8" s="299" t="s">
        <v>44</v>
      </c>
      <c r="E8" s="302">
        <v>200</v>
      </c>
      <c r="F8" s="35" t="s">
        <v>222</v>
      </c>
      <c r="G8" s="299">
        <v>1200000</v>
      </c>
      <c r="H8" s="300">
        <v>0</v>
      </c>
      <c r="I8" s="299">
        <f t="shared" ref="I8" si="5">G8*(1-H8)</f>
        <v>1200000</v>
      </c>
      <c r="J8" s="299" t="s">
        <v>362</v>
      </c>
      <c r="K8" s="301">
        <f t="shared" si="1"/>
        <v>0.25</v>
      </c>
      <c r="L8" s="29">
        <f t="shared" ref="L8" si="6">I8*K8</f>
        <v>300000</v>
      </c>
      <c r="M8" s="38">
        <v>0</v>
      </c>
      <c r="N8" s="29">
        <f t="shared" si="0"/>
        <v>0</v>
      </c>
      <c r="O8" s="29">
        <v>10</v>
      </c>
      <c r="P8" s="150">
        <f t="shared" si="3"/>
        <v>30000</v>
      </c>
    </row>
    <row r="9" spans="2:16" ht="20.100000000000001" customHeight="1" x14ac:dyDescent="0.15">
      <c r="B9" s="612"/>
      <c r="C9" s="299"/>
      <c r="D9" s="299"/>
      <c r="E9" s="302"/>
      <c r="F9" s="35"/>
      <c r="G9" s="299"/>
      <c r="H9" s="300"/>
      <c r="I9" s="299"/>
      <c r="J9" s="299"/>
      <c r="K9" s="301"/>
      <c r="L9" s="29"/>
      <c r="M9" s="38"/>
      <c r="N9" s="29"/>
      <c r="O9" s="29"/>
      <c r="P9" s="150"/>
    </row>
    <row r="10" spans="2:16" ht="20.100000000000001" customHeight="1" x14ac:dyDescent="0.15">
      <c r="B10" s="612"/>
      <c r="C10" s="299"/>
      <c r="D10" s="299"/>
      <c r="E10" s="302"/>
      <c r="F10" s="35"/>
      <c r="G10" s="299"/>
      <c r="H10" s="300"/>
      <c r="I10" s="299"/>
      <c r="J10" s="299"/>
      <c r="K10" s="301"/>
      <c r="L10" s="29"/>
      <c r="M10" s="38"/>
      <c r="N10" s="29"/>
      <c r="O10" s="29"/>
      <c r="P10" s="150"/>
    </row>
    <row r="11" spans="2:16" ht="20.100000000000001" customHeight="1" x14ac:dyDescent="0.15">
      <c r="B11" s="612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50"/>
    </row>
    <row r="12" spans="2:16" ht="20.100000000000001" customHeight="1" x14ac:dyDescent="0.15">
      <c r="B12" s="613"/>
      <c r="C12" s="39" t="s">
        <v>41</v>
      </c>
      <c r="D12" s="40"/>
      <c r="E12" s="40"/>
      <c r="F12" s="41"/>
      <c r="G12" s="40">
        <f>SUM(G5:G11)</f>
        <v>20520000</v>
      </c>
      <c r="H12" s="40"/>
      <c r="I12" s="40">
        <f>SUM(I5:I11)</f>
        <v>11860000</v>
      </c>
      <c r="J12" s="40"/>
      <c r="K12" s="42"/>
      <c r="L12" s="40">
        <f>SUM(L5:L11)</f>
        <v>2965000</v>
      </c>
      <c r="M12" s="40"/>
      <c r="N12" s="40"/>
      <c r="O12" s="40"/>
      <c r="P12" s="345">
        <f>SUM(P5:P11)</f>
        <v>250416.66666666666</v>
      </c>
    </row>
    <row r="13" spans="2:16" ht="20.100000000000001" customHeight="1" x14ac:dyDescent="0.15">
      <c r="B13" s="611" t="s">
        <v>157</v>
      </c>
      <c r="C13" s="299" t="s">
        <v>307</v>
      </c>
      <c r="D13" s="299" t="s">
        <v>404</v>
      </c>
      <c r="E13" s="299">
        <v>1</v>
      </c>
      <c r="F13" s="35" t="s">
        <v>45</v>
      </c>
      <c r="G13" s="299">
        <f>1533000+34760</f>
        <v>1567760</v>
      </c>
      <c r="H13" s="300">
        <v>0</v>
      </c>
      <c r="I13" s="299">
        <f>G13*(1-H13)</f>
        <v>1567760</v>
      </c>
      <c r="J13" s="299" t="s">
        <v>362</v>
      </c>
      <c r="K13" s="301">
        <f>10/40</f>
        <v>0.25</v>
      </c>
      <c r="L13" s="299">
        <f>I13*K13</f>
        <v>391940</v>
      </c>
      <c r="M13" s="43">
        <v>0</v>
      </c>
      <c r="N13" s="29">
        <f>L13*M13</f>
        <v>0</v>
      </c>
      <c r="O13" s="44">
        <v>7</v>
      </c>
      <c r="P13" s="150">
        <f t="shared" ref="P13:P14" si="7">IF(O13="","",(L13-N13)/O13)</f>
        <v>55991.428571428572</v>
      </c>
    </row>
    <row r="14" spans="2:16" ht="20.100000000000001" customHeight="1" x14ac:dyDescent="0.15">
      <c r="B14" s="612"/>
      <c r="C14" s="299" t="s">
        <v>394</v>
      </c>
      <c r="D14" s="299"/>
      <c r="E14" s="299">
        <v>1</v>
      </c>
      <c r="F14" s="35" t="s">
        <v>45</v>
      </c>
      <c r="G14" s="299">
        <v>337050</v>
      </c>
      <c r="H14" s="300">
        <v>0.5</v>
      </c>
      <c r="I14" s="299">
        <f>G14*(1-H14)</f>
        <v>168525</v>
      </c>
      <c r="J14" s="299" t="s">
        <v>362</v>
      </c>
      <c r="K14" s="301">
        <f t="shared" ref="K14" si="8">10/40</f>
        <v>0.25</v>
      </c>
      <c r="L14" s="299">
        <f t="shared" ref="L14" si="9">I14*K14</f>
        <v>42131.25</v>
      </c>
      <c r="M14" s="43">
        <v>0</v>
      </c>
      <c r="N14" s="29">
        <f t="shared" ref="N14" si="10">L14*M14</f>
        <v>0</v>
      </c>
      <c r="O14" s="44">
        <v>7</v>
      </c>
      <c r="P14" s="150">
        <f t="shared" si="7"/>
        <v>6018.75</v>
      </c>
    </row>
    <row r="15" spans="2:16" ht="20.100000000000001" customHeight="1" x14ac:dyDescent="0.15">
      <c r="B15" s="612"/>
      <c r="C15" s="299" t="s">
        <v>383</v>
      </c>
      <c r="D15" s="299" t="s">
        <v>405</v>
      </c>
      <c r="E15" s="299">
        <v>1</v>
      </c>
      <c r="F15" s="35" t="s">
        <v>45</v>
      </c>
      <c r="G15" s="299">
        <v>250000</v>
      </c>
      <c r="H15" s="300">
        <v>0</v>
      </c>
      <c r="I15" s="299">
        <v>250000</v>
      </c>
      <c r="J15" s="299" t="s">
        <v>362</v>
      </c>
      <c r="K15" s="301">
        <v>0.25</v>
      </c>
      <c r="L15" s="299">
        <v>62500</v>
      </c>
      <c r="M15" s="43">
        <v>0</v>
      </c>
      <c r="N15" s="29">
        <v>0</v>
      </c>
      <c r="O15" s="29">
        <v>7</v>
      </c>
      <c r="P15" s="150">
        <v>8928.5714285714294</v>
      </c>
    </row>
    <row r="16" spans="2:16" ht="20.100000000000001" customHeight="1" x14ac:dyDescent="0.15">
      <c r="B16" s="612"/>
      <c r="C16" s="9" t="s">
        <v>224</v>
      </c>
      <c r="D16" s="9"/>
      <c r="E16" s="299">
        <v>1</v>
      </c>
      <c r="F16" s="312" t="s">
        <v>45</v>
      </c>
      <c r="G16" s="299">
        <v>920000</v>
      </c>
      <c r="H16" s="300">
        <v>0</v>
      </c>
      <c r="I16" s="299">
        <v>920000</v>
      </c>
      <c r="J16" s="299" t="s">
        <v>362</v>
      </c>
      <c r="K16" s="301">
        <v>0.25</v>
      </c>
      <c r="L16" s="299">
        <v>230000</v>
      </c>
      <c r="M16" s="43">
        <v>0</v>
      </c>
      <c r="N16" s="29">
        <v>0</v>
      </c>
      <c r="O16" s="29">
        <v>4</v>
      </c>
      <c r="P16" s="150">
        <v>57500</v>
      </c>
    </row>
    <row r="17" spans="2:16" ht="20.100000000000001" customHeight="1" x14ac:dyDescent="0.15">
      <c r="B17" s="612"/>
      <c r="C17" s="299" t="s">
        <v>308</v>
      </c>
      <c r="D17" s="299"/>
      <c r="E17" s="299">
        <v>1</v>
      </c>
      <c r="F17" s="35" t="s">
        <v>45</v>
      </c>
      <c r="G17" s="299">
        <v>209000</v>
      </c>
      <c r="H17" s="300">
        <v>0.5</v>
      </c>
      <c r="I17" s="299">
        <v>104500</v>
      </c>
      <c r="J17" s="299" t="s">
        <v>362</v>
      </c>
      <c r="K17" s="301">
        <v>0.25</v>
      </c>
      <c r="L17" s="299">
        <v>26125</v>
      </c>
      <c r="M17" s="43">
        <v>0</v>
      </c>
      <c r="N17" s="29">
        <v>0</v>
      </c>
      <c r="O17" s="29">
        <v>7</v>
      </c>
      <c r="P17" s="150">
        <v>3732.1428571428573</v>
      </c>
    </row>
    <row r="18" spans="2:16" ht="20.100000000000001" customHeight="1" x14ac:dyDescent="0.15">
      <c r="B18" s="612"/>
      <c r="C18" s="299" t="s">
        <v>406</v>
      </c>
      <c r="D18" s="299" t="s">
        <v>407</v>
      </c>
      <c r="E18" s="299">
        <v>2</v>
      </c>
      <c r="F18" s="35" t="s">
        <v>45</v>
      </c>
      <c r="G18" s="299">
        <v>1200000</v>
      </c>
      <c r="H18" s="300">
        <v>0.5</v>
      </c>
      <c r="I18" s="299">
        <v>600000</v>
      </c>
      <c r="J18" s="299" t="s">
        <v>362</v>
      </c>
      <c r="K18" s="301">
        <v>0.25</v>
      </c>
      <c r="L18" s="299">
        <v>150000</v>
      </c>
      <c r="M18" s="43">
        <v>0</v>
      </c>
      <c r="N18" s="29">
        <v>0</v>
      </c>
      <c r="O18" s="29">
        <v>7</v>
      </c>
      <c r="P18" s="150">
        <v>21428.571428571428</v>
      </c>
    </row>
    <row r="19" spans="2:16" ht="20.100000000000001" customHeight="1" x14ac:dyDescent="0.15">
      <c r="B19" s="612"/>
      <c r="C19" s="299"/>
      <c r="D19" s="299"/>
      <c r="E19" s="299"/>
      <c r="F19" s="35"/>
      <c r="G19" s="299"/>
      <c r="H19" s="300"/>
      <c r="I19" s="299"/>
      <c r="J19" s="299"/>
      <c r="K19" s="301"/>
      <c r="L19" s="299"/>
      <c r="M19" s="43"/>
      <c r="N19" s="29"/>
      <c r="O19" s="29"/>
      <c r="P19" s="150"/>
    </row>
    <row r="20" spans="2:16" ht="20.100000000000001" customHeight="1" x14ac:dyDescent="0.15">
      <c r="B20" s="612"/>
      <c r="C20" s="299"/>
      <c r="D20" s="299"/>
      <c r="E20" s="299"/>
      <c r="F20" s="35"/>
      <c r="G20" s="299"/>
      <c r="H20" s="300"/>
      <c r="I20" s="299"/>
      <c r="J20" s="299"/>
      <c r="K20" s="301"/>
      <c r="L20" s="299"/>
      <c r="M20" s="38"/>
      <c r="N20" s="29"/>
      <c r="O20" s="29"/>
      <c r="P20" s="150"/>
    </row>
    <row r="21" spans="2:16" ht="20.100000000000001" customHeight="1" x14ac:dyDescent="0.15">
      <c r="B21" s="612"/>
      <c r="C21" s="299"/>
      <c r="D21" s="299"/>
      <c r="E21" s="299"/>
      <c r="F21" s="35"/>
      <c r="G21" s="299"/>
      <c r="H21" s="300"/>
      <c r="I21" s="299"/>
      <c r="J21" s="299"/>
      <c r="K21" s="301"/>
      <c r="L21" s="299"/>
      <c r="M21" s="38"/>
      <c r="N21" s="29"/>
      <c r="O21" s="29"/>
      <c r="P21" s="150"/>
    </row>
    <row r="22" spans="2:16" ht="20.100000000000001" customHeight="1" x14ac:dyDescent="0.15">
      <c r="B22" s="612"/>
      <c r="C22" s="299"/>
      <c r="D22" s="299"/>
      <c r="E22" s="299"/>
      <c r="F22" s="35"/>
      <c r="G22" s="299"/>
      <c r="H22" s="300"/>
      <c r="I22" s="299"/>
      <c r="J22" s="299"/>
      <c r="K22" s="301"/>
      <c r="L22" s="299"/>
      <c r="M22" s="38"/>
      <c r="N22" s="29"/>
      <c r="O22" s="29"/>
      <c r="P22" s="150"/>
    </row>
    <row r="23" spans="2:16" ht="20.100000000000001" customHeight="1" x14ac:dyDescent="0.15">
      <c r="B23" s="612"/>
      <c r="C23" s="299"/>
      <c r="D23" s="299"/>
      <c r="E23" s="299"/>
      <c r="F23" s="35"/>
      <c r="G23" s="299"/>
      <c r="H23" s="300"/>
      <c r="I23" s="299"/>
      <c r="J23" s="299"/>
      <c r="K23" s="301"/>
      <c r="L23" s="299"/>
      <c r="M23" s="38"/>
      <c r="N23" s="29"/>
      <c r="O23" s="29"/>
      <c r="P23" s="150"/>
    </row>
    <row r="24" spans="2:16" ht="20.100000000000001" customHeight="1" x14ac:dyDescent="0.15">
      <c r="B24" s="612"/>
      <c r="C24" s="299"/>
      <c r="D24" s="299"/>
      <c r="E24" s="299"/>
      <c r="F24" s="35"/>
      <c r="G24" s="299"/>
      <c r="H24" s="300"/>
      <c r="I24" s="299"/>
      <c r="J24" s="299"/>
      <c r="K24" s="301"/>
      <c r="L24" s="299"/>
      <c r="M24" s="38"/>
      <c r="N24" s="29"/>
      <c r="O24" s="29"/>
      <c r="P24" s="150"/>
    </row>
    <row r="25" spans="2:16" ht="20.100000000000001" customHeight="1" x14ac:dyDescent="0.15">
      <c r="B25" s="612"/>
      <c r="C25" s="299"/>
      <c r="D25" s="299"/>
      <c r="E25" s="299"/>
      <c r="F25" s="35"/>
      <c r="G25" s="299"/>
      <c r="H25" s="300"/>
      <c r="I25" s="299"/>
      <c r="J25" s="299"/>
      <c r="K25" s="301"/>
      <c r="L25" s="299"/>
      <c r="M25" s="38"/>
      <c r="N25" s="29"/>
      <c r="O25" s="29"/>
      <c r="P25" s="150"/>
    </row>
    <row r="26" spans="2:16" ht="20.100000000000001" customHeight="1" x14ac:dyDescent="0.15">
      <c r="B26" s="612"/>
      <c r="C26" s="299"/>
      <c r="D26" s="299"/>
      <c r="E26" s="299"/>
      <c r="F26" s="35"/>
      <c r="G26" s="299"/>
      <c r="H26" s="300"/>
      <c r="I26" s="299"/>
      <c r="J26" s="299"/>
      <c r="K26" s="301"/>
      <c r="L26" s="299"/>
      <c r="M26" s="38"/>
      <c r="N26" s="29"/>
      <c r="O26" s="29"/>
      <c r="P26" s="150"/>
    </row>
    <row r="27" spans="2:16" ht="20.100000000000001" customHeight="1" x14ac:dyDescent="0.15">
      <c r="B27" s="612"/>
      <c r="C27" s="299"/>
      <c r="D27" s="299"/>
      <c r="E27" s="299"/>
      <c r="F27" s="35"/>
      <c r="G27" s="299"/>
      <c r="H27" s="300"/>
      <c r="I27" s="299"/>
      <c r="J27" s="299"/>
      <c r="K27" s="301"/>
      <c r="L27" s="299"/>
      <c r="M27" s="38"/>
      <c r="N27" s="29"/>
      <c r="O27" s="29"/>
      <c r="P27" s="150"/>
    </row>
    <row r="28" spans="2:16" ht="20.100000000000001" customHeight="1" x14ac:dyDescent="0.15">
      <c r="B28" s="612"/>
      <c r="C28" s="299"/>
      <c r="D28" s="299"/>
      <c r="E28" s="299"/>
      <c r="F28" s="35"/>
      <c r="G28" s="299"/>
      <c r="H28" s="300"/>
      <c r="I28" s="299"/>
      <c r="J28" s="299"/>
      <c r="K28" s="301"/>
      <c r="L28" s="299"/>
      <c r="M28" s="38"/>
      <c r="N28" s="29"/>
      <c r="O28" s="29"/>
      <c r="P28" s="150"/>
    </row>
    <row r="29" spans="2:16" ht="20.100000000000001" customHeight="1" x14ac:dyDescent="0.15">
      <c r="B29" s="612"/>
      <c r="C29" s="299"/>
      <c r="D29" s="299"/>
      <c r="E29" s="299"/>
      <c r="F29" s="35"/>
      <c r="G29" s="299"/>
      <c r="H29" s="300"/>
      <c r="I29" s="299"/>
      <c r="J29" s="299"/>
      <c r="K29" s="301"/>
      <c r="L29" s="299"/>
      <c r="M29" s="38"/>
      <c r="N29" s="29"/>
      <c r="O29" s="29"/>
      <c r="P29" s="150"/>
    </row>
    <row r="30" spans="2:16" ht="20.100000000000001" customHeight="1" x14ac:dyDescent="0.15">
      <c r="B30" s="612"/>
      <c r="C30" s="299"/>
      <c r="D30" s="299"/>
      <c r="E30" s="299"/>
      <c r="F30" s="35"/>
      <c r="G30" s="299"/>
      <c r="H30" s="300"/>
      <c r="I30" s="299"/>
      <c r="J30" s="299"/>
      <c r="K30" s="301"/>
      <c r="L30" s="299"/>
      <c r="M30" s="38"/>
      <c r="N30" s="29"/>
      <c r="O30" s="29"/>
      <c r="P30" s="150"/>
    </row>
    <row r="31" spans="2:16" ht="20.100000000000001" customHeight="1" x14ac:dyDescent="0.15">
      <c r="B31" s="612"/>
      <c r="C31" s="299"/>
      <c r="D31" s="299"/>
      <c r="E31" s="299"/>
      <c r="F31" s="35"/>
      <c r="G31" s="299"/>
      <c r="H31" s="300"/>
      <c r="I31" s="299"/>
      <c r="J31" s="299"/>
      <c r="K31" s="301"/>
      <c r="L31" s="299"/>
      <c r="M31" s="38"/>
      <c r="N31" s="29"/>
      <c r="O31" s="29"/>
      <c r="P31" s="150"/>
    </row>
    <row r="32" spans="2:16" ht="20.100000000000001" customHeight="1" x14ac:dyDescent="0.15">
      <c r="B32" s="613"/>
      <c r="C32" s="303" t="s">
        <v>42</v>
      </c>
      <c r="D32" s="303"/>
      <c r="E32" s="303"/>
      <c r="F32" s="304"/>
      <c r="G32" s="303">
        <f>SUM(G13:G30)</f>
        <v>4483810</v>
      </c>
      <c r="H32" s="303"/>
      <c r="I32" s="303">
        <f>SUM(I13:I30)</f>
        <v>3610785</v>
      </c>
      <c r="J32" s="303"/>
      <c r="K32" s="305"/>
      <c r="L32" s="303">
        <f>SUM(L13:L30)</f>
        <v>902696.25</v>
      </c>
      <c r="M32" s="40"/>
      <c r="N32" s="40"/>
      <c r="O32" s="40"/>
      <c r="P32" s="345">
        <f>SUM(P13:P30)</f>
        <v>153599.46428571429</v>
      </c>
    </row>
    <row r="33" spans="2:16" ht="20.100000000000001" customHeight="1" x14ac:dyDescent="0.15">
      <c r="B33" s="611" t="s">
        <v>107</v>
      </c>
      <c r="C33" s="299"/>
      <c r="D33" s="299"/>
      <c r="E33" s="299"/>
      <c r="F33" s="299"/>
      <c r="G33" s="299"/>
      <c r="H33" s="306"/>
      <c r="I33" s="299"/>
      <c r="J33" s="299"/>
      <c r="K33" s="301"/>
      <c r="L33" s="299"/>
      <c r="M33" s="45"/>
      <c r="N33" s="29"/>
      <c r="O33" s="29"/>
      <c r="P33" s="150" t="str">
        <f>IF(O33="","",(L33-N33)/O33)</f>
        <v/>
      </c>
    </row>
    <row r="34" spans="2:16" ht="20.100000000000001" customHeight="1" x14ac:dyDescent="0.15">
      <c r="B34" s="612"/>
      <c r="C34" s="299"/>
      <c r="D34" s="299"/>
      <c r="E34" s="299"/>
      <c r="F34" s="299"/>
      <c r="G34" s="299"/>
      <c r="H34" s="306"/>
      <c r="I34" s="299"/>
      <c r="J34" s="299"/>
      <c r="K34" s="301"/>
      <c r="L34" s="299"/>
      <c r="M34" s="45"/>
      <c r="N34" s="29"/>
      <c r="O34" s="29"/>
      <c r="P34" s="150" t="str">
        <f>IF(O34="","",(L34-N34)/O34)</f>
        <v/>
      </c>
    </row>
    <row r="35" spans="2:16" ht="20.100000000000001" customHeight="1" x14ac:dyDescent="0.15">
      <c r="B35" s="612"/>
      <c r="C35" s="29"/>
      <c r="D35" s="29"/>
      <c r="E35" s="29"/>
      <c r="F35" s="29"/>
      <c r="G35" s="29"/>
      <c r="H35" s="45"/>
      <c r="I35" s="29"/>
      <c r="J35" s="29"/>
      <c r="K35" s="37"/>
      <c r="L35" s="29"/>
      <c r="M35" s="45"/>
      <c r="N35" s="29"/>
      <c r="O35" s="29"/>
      <c r="P35" s="150" t="str">
        <f>IF(O35="","",(L35-N35)/O35)</f>
        <v/>
      </c>
    </row>
    <row r="36" spans="2:16" ht="20.100000000000001" customHeight="1" x14ac:dyDescent="0.15">
      <c r="B36" s="612"/>
      <c r="C36" s="29"/>
      <c r="D36" s="29"/>
      <c r="E36" s="29"/>
      <c r="F36" s="29"/>
      <c r="G36" s="29"/>
      <c r="H36" s="45"/>
      <c r="I36" s="29"/>
      <c r="J36" s="29"/>
      <c r="K36" s="37"/>
      <c r="L36" s="29"/>
      <c r="M36" s="45"/>
      <c r="N36" s="29"/>
      <c r="O36" s="29"/>
      <c r="P36" s="150" t="str">
        <f>IF(O36="","",(L36-N36)/O36)</f>
        <v/>
      </c>
    </row>
    <row r="37" spans="2:16" ht="20.100000000000001" customHeight="1" x14ac:dyDescent="0.15">
      <c r="B37" s="613"/>
      <c r="C37" s="46" t="s">
        <v>42</v>
      </c>
      <c r="D37" s="40"/>
      <c r="E37" s="40"/>
      <c r="F37" s="41"/>
      <c r="G37" s="40">
        <f>SUM(G33:G36)</f>
        <v>0</v>
      </c>
      <c r="H37" s="40"/>
      <c r="I37" s="40">
        <f>SUM(I33:I36)</f>
        <v>0</v>
      </c>
      <c r="J37" s="40"/>
      <c r="K37" s="42"/>
      <c r="L37" s="40">
        <f>SUM(L33:L36)</f>
        <v>0</v>
      </c>
      <c r="M37" s="40"/>
      <c r="N37" s="40"/>
      <c r="O37" s="40"/>
      <c r="P37" s="345">
        <f>SUM(P33:P36)</f>
        <v>0</v>
      </c>
    </row>
    <row r="38" spans="2:16" ht="20.100000000000001" customHeight="1" thickBot="1" x14ac:dyDescent="0.2">
      <c r="B38" s="47"/>
      <c r="C38" s="48" t="s">
        <v>232</v>
      </c>
      <c r="D38" s="49"/>
      <c r="E38" s="49"/>
      <c r="F38" s="50"/>
      <c r="G38" s="49">
        <f>G12+G32+G37</f>
        <v>25003810</v>
      </c>
      <c r="H38" s="49"/>
      <c r="I38" s="49">
        <f>I12+I32+I37</f>
        <v>15470785</v>
      </c>
      <c r="J38" s="49"/>
      <c r="K38" s="51"/>
      <c r="L38" s="49">
        <f>L12+L32+L37</f>
        <v>3867696.25</v>
      </c>
      <c r="M38" s="49"/>
      <c r="N38" s="49"/>
      <c r="O38" s="49"/>
      <c r="P38" s="346">
        <f>P12+P32+P37</f>
        <v>404016.13095238095</v>
      </c>
    </row>
    <row r="39" spans="2:16" ht="11.25" customHeight="1" x14ac:dyDescent="0.15"/>
  </sheetData>
  <mergeCells count="9">
    <mergeCell ref="J3:J4"/>
    <mergeCell ref="B33:B37"/>
    <mergeCell ref="B13:B32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109" customWidth="1"/>
    <col min="2" max="2" width="5.875" style="109" customWidth="1"/>
    <col min="3" max="3" width="10.625" style="109" customWidth="1"/>
    <col min="4" max="4" width="12.375" style="109" customWidth="1"/>
    <col min="5" max="5" width="14.625" style="109" customWidth="1"/>
    <col min="6" max="7" width="15.875" style="109" customWidth="1"/>
    <col min="8" max="8" width="10.875" style="109"/>
    <col min="9" max="9" width="11.375" style="109" bestFit="1" customWidth="1"/>
    <col min="10" max="10" width="13.375" style="109" customWidth="1"/>
    <col min="11" max="11" width="7.125" style="109" customWidth="1"/>
    <col min="12" max="12" width="15.375" style="109" customWidth="1"/>
    <col min="13" max="13" width="9.375" style="109" bestFit="1" customWidth="1"/>
    <col min="14" max="14" width="10.875" style="109"/>
    <col min="15" max="15" width="7.25" style="109" customWidth="1"/>
    <col min="16" max="16" width="9.625" style="109" customWidth="1"/>
    <col min="17" max="17" width="10.875" style="109" customWidth="1"/>
    <col min="18" max="18" width="7.5" style="109" customWidth="1"/>
    <col min="19" max="19" width="3.75" style="109" customWidth="1"/>
    <col min="20" max="16384" width="10.875" style="109"/>
  </cols>
  <sheetData>
    <row r="1" spans="2:19" s="110" customFormat="1" ht="9.9499999999999993" customHeight="1" x14ac:dyDescent="0.15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2:19" s="110" customFormat="1" ht="24.95" customHeight="1" thickBot="1" x14ac:dyDescent="0.2">
      <c r="B2" s="3" t="s">
        <v>315</v>
      </c>
      <c r="H2" s="111" t="s">
        <v>203</v>
      </c>
      <c r="I2" s="3" t="s">
        <v>273</v>
      </c>
      <c r="K2" s="111" t="s">
        <v>204</v>
      </c>
      <c r="L2" s="3" t="s">
        <v>314</v>
      </c>
      <c r="N2" s="109"/>
      <c r="O2" s="109"/>
      <c r="Q2" s="4"/>
      <c r="R2" s="4"/>
    </row>
    <row r="3" spans="2:19" s="110" customFormat="1" ht="18" customHeight="1" x14ac:dyDescent="0.15">
      <c r="B3" s="649" t="s">
        <v>17</v>
      </c>
      <c r="C3" s="650"/>
      <c r="D3" s="650"/>
      <c r="E3" s="651"/>
      <c r="F3" s="142" t="s">
        <v>18</v>
      </c>
      <c r="G3" s="113"/>
      <c r="H3" s="114" t="s">
        <v>19</v>
      </c>
      <c r="I3" s="112"/>
      <c r="J3" s="112"/>
      <c r="K3" s="652" t="s">
        <v>171</v>
      </c>
      <c r="L3" s="653"/>
      <c r="M3" s="653"/>
      <c r="N3" s="653"/>
      <c r="O3" s="653"/>
      <c r="P3" s="653"/>
      <c r="Q3" s="653"/>
      <c r="R3" s="653"/>
      <c r="S3" s="654"/>
    </row>
    <row r="4" spans="2:19" s="110" customFormat="1" ht="18" customHeight="1" x14ac:dyDescent="0.15">
      <c r="B4" s="647" t="s">
        <v>20</v>
      </c>
      <c r="C4" s="648"/>
      <c r="D4" s="203" t="s">
        <v>166</v>
      </c>
      <c r="E4" s="215"/>
      <c r="F4" s="209">
        <f>R11</f>
        <v>5002500</v>
      </c>
      <c r="G4" s="658" t="s">
        <v>365</v>
      </c>
      <c r="H4" s="659"/>
      <c r="I4" s="659"/>
      <c r="J4" s="660"/>
      <c r="K4" s="308" t="s">
        <v>233</v>
      </c>
      <c r="L4" s="309" t="s">
        <v>234</v>
      </c>
      <c r="M4" s="208" t="s">
        <v>21</v>
      </c>
      <c r="N4" s="208" t="s">
        <v>20</v>
      </c>
      <c r="O4" s="309" t="s">
        <v>233</v>
      </c>
      <c r="P4" s="309" t="s">
        <v>235</v>
      </c>
      <c r="Q4" s="208" t="s">
        <v>21</v>
      </c>
      <c r="R4" s="661" t="s">
        <v>20</v>
      </c>
      <c r="S4" s="662"/>
    </row>
    <row r="5" spans="2:19" s="110" customFormat="1" ht="18" customHeight="1" x14ac:dyDescent="0.15">
      <c r="B5" s="647"/>
      <c r="C5" s="648"/>
      <c r="D5" s="203" t="s">
        <v>73</v>
      </c>
      <c r="E5" s="215"/>
      <c r="F5" s="209">
        <v>0</v>
      </c>
      <c r="G5" s="183"/>
      <c r="H5" s="216"/>
      <c r="I5" s="216"/>
      <c r="J5" s="216"/>
      <c r="K5" s="307">
        <v>3</v>
      </c>
      <c r="L5" s="209">
        <v>1500</v>
      </c>
      <c r="M5" s="209">
        <v>306</v>
      </c>
      <c r="N5" s="209">
        <f>L5*M5</f>
        <v>459000</v>
      </c>
      <c r="O5" s="209">
        <v>12</v>
      </c>
      <c r="P5" s="209">
        <v>2000</v>
      </c>
      <c r="Q5" s="209">
        <v>379</v>
      </c>
      <c r="R5" s="655">
        <f>P5*Q5</f>
        <v>758000</v>
      </c>
      <c r="S5" s="625"/>
    </row>
    <row r="6" spans="2:19" s="110" customFormat="1" ht="18" customHeight="1" x14ac:dyDescent="0.15">
      <c r="B6" s="635" t="s">
        <v>169</v>
      </c>
      <c r="C6" s="638" t="s">
        <v>258</v>
      </c>
      <c r="D6" s="209" t="s">
        <v>47</v>
      </c>
      <c r="E6" s="217"/>
      <c r="F6" s="209">
        <f>+P15</f>
        <v>54448</v>
      </c>
      <c r="G6" s="183" t="s">
        <v>158</v>
      </c>
      <c r="H6" s="216"/>
      <c r="I6" s="216"/>
      <c r="J6" s="216"/>
      <c r="K6" s="214">
        <v>4</v>
      </c>
      <c r="L6" s="211">
        <v>3000</v>
      </c>
      <c r="M6" s="209">
        <v>261</v>
      </c>
      <c r="N6" s="209">
        <f>L6*M6</f>
        <v>783000</v>
      </c>
      <c r="O6" s="209">
        <v>1</v>
      </c>
      <c r="P6" s="209">
        <v>1000</v>
      </c>
      <c r="Q6" s="209">
        <v>333</v>
      </c>
      <c r="R6" s="655">
        <f t="shared" ref="R6:R9" si="0">P6*Q6</f>
        <v>333000</v>
      </c>
      <c r="S6" s="625"/>
    </row>
    <row r="7" spans="2:19" s="110" customFormat="1" ht="18" customHeight="1" x14ac:dyDescent="0.15">
      <c r="B7" s="636"/>
      <c r="C7" s="639"/>
      <c r="D7" s="209" t="s">
        <v>48</v>
      </c>
      <c r="E7" s="217"/>
      <c r="F7" s="209">
        <f>P22</f>
        <v>122450</v>
      </c>
      <c r="G7" s="620" t="s">
        <v>433</v>
      </c>
      <c r="H7" s="621"/>
      <c r="I7" s="621"/>
      <c r="J7" s="622"/>
      <c r="K7" s="212">
        <v>5</v>
      </c>
      <c r="L7" s="213">
        <v>2500</v>
      </c>
      <c r="M7" s="209">
        <v>203</v>
      </c>
      <c r="N7" s="209">
        <f t="shared" ref="N7:N11" si="1">L7*M7</f>
        <v>507500</v>
      </c>
      <c r="O7" s="209"/>
      <c r="P7" s="209"/>
      <c r="Q7" s="209"/>
      <c r="R7" s="656">
        <f t="shared" si="0"/>
        <v>0</v>
      </c>
      <c r="S7" s="657"/>
    </row>
    <row r="8" spans="2:19" s="110" customFormat="1" ht="18" customHeight="1" x14ac:dyDescent="0.15">
      <c r="B8" s="636"/>
      <c r="C8" s="639"/>
      <c r="D8" s="209" t="s">
        <v>49</v>
      </c>
      <c r="E8" s="217"/>
      <c r="F8" s="209">
        <f>P28</f>
        <v>167934.13999999998</v>
      </c>
      <c r="G8" s="620" t="s">
        <v>432</v>
      </c>
      <c r="H8" s="621"/>
      <c r="I8" s="621"/>
      <c r="J8" s="622"/>
      <c r="K8" s="210">
        <v>6</v>
      </c>
      <c r="L8" s="209">
        <v>2500</v>
      </c>
      <c r="M8" s="209">
        <v>215</v>
      </c>
      <c r="N8" s="209">
        <f t="shared" si="1"/>
        <v>537500</v>
      </c>
      <c r="O8" s="209"/>
      <c r="P8" s="209"/>
      <c r="Q8" s="209"/>
      <c r="R8" s="656">
        <f t="shared" si="0"/>
        <v>0</v>
      </c>
      <c r="S8" s="657"/>
    </row>
    <row r="9" spans="2:19" s="110" customFormat="1" ht="18" customHeight="1" x14ac:dyDescent="0.15">
      <c r="B9" s="636"/>
      <c r="C9" s="639"/>
      <c r="D9" s="209" t="s">
        <v>74</v>
      </c>
      <c r="E9" s="217"/>
      <c r="F9" s="209">
        <f>P37</f>
        <v>529813.72</v>
      </c>
      <c r="G9" s="620" t="s">
        <v>434</v>
      </c>
      <c r="H9" s="621"/>
      <c r="I9" s="621"/>
      <c r="J9" s="622"/>
      <c r="K9" s="210">
        <v>7</v>
      </c>
      <c r="L9" s="209">
        <v>1500</v>
      </c>
      <c r="M9" s="209">
        <v>201</v>
      </c>
      <c r="N9" s="209">
        <f t="shared" si="1"/>
        <v>301500</v>
      </c>
      <c r="O9" s="209"/>
      <c r="P9" s="209"/>
      <c r="Q9" s="209"/>
      <c r="R9" s="656">
        <f t="shared" si="0"/>
        <v>0</v>
      </c>
      <c r="S9" s="657"/>
    </row>
    <row r="10" spans="2:19" s="110" customFormat="1" ht="18" customHeight="1" x14ac:dyDescent="0.15">
      <c r="B10" s="636"/>
      <c r="C10" s="639"/>
      <c r="D10" s="209" t="s">
        <v>50</v>
      </c>
      <c r="E10" s="217"/>
      <c r="F10" s="209">
        <f>'８　きゅうり算出基礎'!V28</f>
        <v>332888.75</v>
      </c>
      <c r="G10" s="623"/>
      <c r="H10" s="624"/>
      <c r="I10" s="624"/>
      <c r="J10" s="625"/>
      <c r="K10" s="210">
        <v>10</v>
      </c>
      <c r="L10" s="209">
        <v>1500</v>
      </c>
      <c r="M10" s="209">
        <v>287</v>
      </c>
      <c r="N10" s="209">
        <f t="shared" si="1"/>
        <v>430500</v>
      </c>
      <c r="O10" s="209"/>
      <c r="P10" s="209"/>
      <c r="Q10" s="209"/>
      <c r="R10" s="655"/>
      <c r="S10" s="625"/>
    </row>
    <row r="11" spans="2:19" s="110" customFormat="1" ht="18" customHeight="1" thickBot="1" x14ac:dyDescent="0.2">
      <c r="B11" s="636"/>
      <c r="C11" s="639"/>
      <c r="D11" s="209" t="s">
        <v>4</v>
      </c>
      <c r="E11" s="217"/>
      <c r="F11" s="209">
        <f>'８　きゅうり算出基礎'!V36</f>
        <v>2640</v>
      </c>
      <c r="G11" s="623"/>
      <c r="H11" s="624"/>
      <c r="I11" s="624"/>
      <c r="J11" s="625"/>
      <c r="K11" s="130">
        <v>11</v>
      </c>
      <c r="L11" s="116">
        <v>2500</v>
      </c>
      <c r="M11" s="116">
        <v>357</v>
      </c>
      <c r="N11" s="115">
        <f t="shared" si="1"/>
        <v>892500</v>
      </c>
      <c r="O11" s="117" t="s">
        <v>22</v>
      </c>
      <c r="P11" s="118">
        <f>SUM(L5:L11,P5:Q10)</f>
        <v>18712</v>
      </c>
      <c r="Q11" s="119">
        <f>R11/P11</f>
        <v>267.3418127404874</v>
      </c>
      <c r="R11" s="669">
        <f>SUM(N5:N11,R5:S10)</f>
        <v>5002500</v>
      </c>
      <c r="S11" s="670"/>
    </row>
    <row r="12" spans="2:19" s="110" customFormat="1" ht="18" customHeight="1" thickTop="1" x14ac:dyDescent="0.15">
      <c r="B12" s="636"/>
      <c r="C12" s="639"/>
      <c r="D12" s="209" t="s">
        <v>5</v>
      </c>
      <c r="E12" s="217"/>
      <c r="F12" s="209">
        <v>0</v>
      </c>
      <c r="G12" s="185"/>
      <c r="H12" s="192"/>
      <c r="I12" s="192"/>
      <c r="J12" s="192"/>
      <c r="K12" s="679" t="s">
        <v>170</v>
      </c>
      <c r="L12" s="205" t="s">
        <v>129</v>
      </c>
      <c r="M12" s="206" t="s">
        <v>7</v>
      </c>
      <c r="N12" s="315" t="s">
        <v>238</v>
      </c>
      <c r="O12" s="207" t="s">
        <v>21</v>
      </c>
      <c r="P12" s="207" t="s">
        <v>24</v>
      </c>
      <c r="Q12" s="671" t="s">
        <v>25</v>
      </c>
      <c r="R12" s="672"/>
      <c r="S12" s="673"/>
    </row>
    <row r="13" spans="2:19" s="110" customFormat="1" ht="18" customHeight="1" x14ac:dyDescent="0.15">
      <c r="B13" s="636"/>
      <c r="C13" s="639"/>
      <c r="D13" s="644" t="s">
        <v>51</v>
      </c>
      <c r="E13" s="218" t="s">
        <v>156</v>
      </c>
      <c r="F13" s="209">
        <f>'６　固定資本装備と減価償却費'!L12*'７　きゅうり部門収支'!H13</f>
        <v>29650</v>
      </c>
      <c r="G13" s="412" t="s">
        <v>159</v>
      </c>
      <c r="H13" s="413">
        <v>0.01</v>
      </c>
      <c r="I13" s="677" t="s">
        <v>161</v>
      </c>
      <c r="J13" s="678"/>
      <c r="K13" s="680"/>
      <c r="L13" s="365" t="s">
        <v>326</v>
      </c>
      <c r="M13" s="366" t="s">
        <v>327</v>
      </c>
      <c r="N13" s="373">
        <v>4</v>
      </c>
      <c r="O13" s="374">
        <v>9227</v>
      </c>
      <c r="P13" s="145">
        <f t="shared" ref="P13:P14" si="2">N13*O13</f>
        <v>36908</v>
      </c>
      <c r="Q13" s="674"/>
      <c r="R13" s="675"/>
      <c r="S13" s="676"/>
    </row>
    <row r="14" spans="2:19" s="110" customFormat="1" ht="18" customHeight="1" x14ac:dyDescent="0.15">
      <c r="B14" s="636"/>
      <c r="C14" s="639"/>
      <c r="D14" s="645"/>
      <c r="E14" s="218" t="s">
        <v>157</v>
      </c>
      <c r="F14" s="209">
        <f>'６　固定資本装備と減価償却費'!L32*'７　きゅうり部門収支'!H14</f>
        <v>45134.8125</v>
      </c>
      <c r="G14" s="412" t="s">
        <v>159</v>
      </c>
      <c r="H14" s="413">
        <v>0.05</v>
      </c>
      <c r="I14" s="677" t="s">
        <v>161</v>
      </c>
      <c r="J14" s="678"/>
      <c r="K14" s="680"/>
      <c r="L14" s="365" t="s">
        <v>328</v>
      </c>
      <c r="M14" s="366" t="s">
        <v>327</v>
      </c>
      <c r="N14" s="373">
        <v>4</v>
      </c>
      <c r="O14" s="374">
        <v>4385</v>
      </c>
      <c r="P14" s="145">
        <f t="shared" si="2"/>
        <v>17540</v>
      </c>
      <c r="Q14" s="674"/>
      <c r="R14" s="675"/>
      <c r="S14" s="676"/>
    </row>
    <row r="15" spans="2:19" s="110" customFormat="1" ht="18" customHeight="1" thickBot="1" x14ac:dyDescent="0.2">
      <c r="B15" s="636"/>
      <c r="C15" s="639"/>
      <c r="D15" s="644" t="s">
        <v>75</v>
      </c>
      <c r="E15" s="218" t="s">
        <v>156</v>
      </c>
      <c r="F15" s="209">
        <f>'６　固定資本装備と減価償却費'!P12</f>
        <v>250416.66666666666</v>
      </c>
      <c r="G15" s="620" t="s">
        <v>161</v>
      </c>
      <c r="H15" s="621"/>
      <c r="I15" s="621"/>
      <c r="J15" s="622"/>
      <c r="K15" s="680"/>
      <c r="L15" s="123" t="s">
        <v>26</v>
      </c>
      <c r="M15" s="122"/>
      <c r="N15" s="123"/>
      <c r="O15" s="123"/>
      <c r="P15" s="123">
        <f>SUM(P13:P14)</f>
        <v>54448</v>
      </c>
      <c r="Q15" s="666"/>
      <c r="R15" s="667"/>
      <c r="S15" s="668"/>
    </row>
    <row r="16" spans="2:19" s="110" customFormat="1" ht="18" customHeight="1" thickTop="1" x14ac:dyDescent="0.15">
      <c r="B16" s="636"/>
      <c r="C16" s="639"/>
      <c r="D16" s="646"/>
      <c r="E16" s="218" t="s">
        <v>157</v>
      </c>
      <c r="F16" s="209">
        <f>'６　固定資本装備と減価償却費'!P32</f>
        <v>153599.46428571429</v>
      </c>
      <c r="G16" s="620" t="s">
        <v>161</v>
      </c>
      <c r="H16" s="621"/>
      <c r="I16" s="621"/>
      <c r="J16" s="622"/>
      <c r="K16" s="680"/>
      <c r="L16" s="199" t="s">
        <v>130</v>
      </c>
      <c r="M16" s="200"/>
      <c r="N16" s="316" t="s">
        <v>238</v>
      </c>
      <c r="O16" s="201" t="s">
        <v>21</v>
      </c>
      <c r="P16" s="202" t="s">
        <v>24</v>
      </c>
      <c r="Q16" s="663" t="s">
        <v>25</v>
      </c>
      <c r="R16" s="664"/>
      <c r="S16" s="665"/>
    </row>
    <row r="17" spans="1:20" s="110" customFormat="1" ht="18" customHeight="1" x14ac:dyDescent="0.15">
      <c r="B17" s="636"/>
      <c r="C17" s="639"/>
      <c r="D17" s="645"/>
      <c r="E17" s="209" t="s">
        <v>52</v>
      </c>
      <c r="F17" s="209">
        <f>'６　固定資本装備と減価償却費'!P37</f>
        <v>0</v>
      </c>
      <c r="G17" s="620" t="s">
        <v>161</v>
      </c>
      <c r="H17" s="621"/>
      <c r="I17" s="621"/>
      <c r="J17" s="622"/>
      <c r="K17" s="680"/>
      <c r="L17" s="203" t="s">
        <v>136</v>
      </c>
      <c r="M17" s="204"/>
      <c r="N17" s="185" t="s">
        <v>322</v>
      </c>
      <c r="O17" s="196"/>
      <c r="P17" s="194">
        <f>'８　きゅうり算出基礎'!G7</f>
        <v>7000</v>
      </c>
      <c r="Q17" s="626"/>
      <c r="R17" s="627"/>
      <c r="S17" s="628"/>
    </row>
    <row r="18" spans="1:20" s="110" customFormat="1" ht="18" customHeight="1" x14ac:dyDescent="0.15">
      <c r="A18" s="109"/>
      <c r="B18" s="636"/>
      <c r="C18" s="639"/>
      <c r="D18" s="209" t="s">
        <v>53</v>
      </c>
      <c r="E18" s="217"/>
      <c r="F18" s="209">
        <f>40*3000/25</f>
        <v>4800</v>
      </c>
      <c r="G18" s="185" t="s">
        <v>409</v>
      </c>
      <c r="H18" s="192"/>
      <c r="I18" s="403" t="s">
        <v>410</v>
      </c>
      <c r="J18" s="192"/>
      <c r="K18" s="680"/>
      <c r="L18" s="203" t="s">
        <v>134</v>
      </c>
      <c r="M18" s="204"/>
      <c r="N18" s="185" t="s">
        <v>323</v>
      </c>
      <c r="O18" s="196"/>
      <c r="P18" s="194">
        <f>'８　きゅうり算出基礎'!G11</f>
        <v>4930</v>
      </c>
      <c r="Q18" s="626"/>
      <c r="R18" s="627"/>
      <c r="S18" s="628"/>
    </row>
    <row r="19" spans="1:20" s="110" customFormat="1" ht="18" customHeight="1" x14ac:dyDescent="0.15">
      <c r="A19" s="109"/>
      <c r="B19" s="636"/>
      <c r="C19" s="639"/>
      <c r="D19" s="209" t="s">
        <v>133</v>
      </c>
      <c r="E19" s="217"/>
      <c r="F19" s="209">
        <f>SUM(F6:F18)/99</f>
        <v>17108.843974266474</v>
      </c>
      <c r="G19" s="219" t="s">
        <v>172</v>
      </c>
      <c r="H19" s="226">
        <v>0.01</v>
      </c>
      <c r="I19" s="124"/>
      <c r="J19" s="367"/>
      <c r="K19" s="680"/>
      <c r="L19" s="185" t="s">
        <v>135</v>
      </c>
      <c r="M19" s="192"/>
      <c r="N19" s="185" t="s">
        <v>324</v>
      </c>
      <c r="O19" s="196"/>
      <c r="P19" s="194">
        <f>'８　きゅうり算出基礎'!G16</f>
        <v>74520</v>
      </c>
      <c r="Q19" s="626"/>
      <c r="R19" s="627"/>
      <c r="S19" s="628"/>
    </row>
    <row r="20" spans="1:20" s="110" customFormat="1" ht="18" customHeight="1" x14ac:dyDescent="0.15">
      <c r="A20" s="109"/>
      <c r="B20" s="636"/>
      <c r="C20" s="640"/>
      <c r="D20" s="633" t="s">
        <v>165</v>
      </c>
      <c r="E20" s="634"/>
      <c r="F20" s="143">
        <f>SUM(F6:F19)</f>
        <v>1710884.3974266474</v>
      </c>
      <c r="G20" s="190"/>
      <c r="H20" s="124"/>
      <c r="I20" s="124"/>
      <c r="J20" s="368"/>
      <c r="K20" s="680"/>
      <c r="L20" s="185" t="s">
        <v>137</v>
      </c>
      <c r="M20" s="192"/>
      <c r="N20" s="185" t="s">
        <v>325</v>
      </c>
      <c r="O20" s="196"/>
      <c r="P20" s="194">
        <f>'８　きゅうり算出基礎'!G20</f>
        <v>36000</v>
      </c>
      <c r="Q20" s="626"/>
      <c r="R20" s="627"/>
      <c r="S20" s="628"/>
    </row>
    <row r="21" spans="1:20" s="110" customFormat="1" ht="18" customHeight="1" x14ac:dyDescent="0.15">
      <c r="A21" s="109"/>
      <c r="B21" s="636"/>
      <c r="C21" s="641" t="s">
        <v>160</v>
      </c>
      <c r="D21" s="629" t="s">
        <v>54</v>
      </c>
      <c r="E21" s="19" t="s">
        <v>1</v>
      </c>
      <c r="F21" s="115">
        <f>P11*13</f>
        <v>243256</v>
      </c>
      <c r="G21" s="203" t="s">
        <v>366</v>
      </c>
      <c r="H21" s="192"/>
      <c r="I21" s="120"/>
      <c r="J21" s="192"/>
      <c r="K21" s="680"/>
      <c r="L21" s="404" t="s">
        <v>138</v>
      </c>
      <c r="M21" s="405"/>
      <c r="N21" s="404"/>
      <c r="O21" s="404"/>
      <c r="P21" s="404">
        <f>'８　きゅうり算出基礎'!G24</f>
        <v>0</v>
      </c>
      <c r="Q21" s="626"/>
      <c r="R21" s="627"/>
      <c r="S21" s="628"/>
    </row>
    <row r="22" spans="1:20" s="110" customFormat="1" ht="18" customHeight="1" thickBot="1" x14ac:dyDescent="0.2">
      <c r="A22" s="109"/>
      <c r="B22" s="636"/>
      <c r="C22" s="642"/>
      <c r="D22" s="573"/>
      <c r="E22" s="19" t="s">
        <v>2</v>
      </c>
      <c r="F22" s="144">
        <f>P11*10</f>
        <v>187120</v>
      </c>
      <c r="G22" s="203" t="s">
        <v>367</v>
      </c>
      <c r="H22" s="220"/>
      <c r="I22" s="220"/>
      <c r="J22" s="369"/>
      <c r="K22" s="680"/>
      <c r="L22" s="123" t="s">
        <v>26</v>
      </c>
      <c r="M22" s="122"/>
      <c r="N22" s="123"/>
      <c r="O22" s="123"/>
      <c r="P22" s="123">
        <f>SUM(P17:P21)</f>
        <v>122450</v>
      </c>
      <c r="Q22" s="666"/>
      <c r="R22" s="667"/>
      <c r="S22" s="668"/>
    </row>
    <row r="23" spans="1:20" s="110" customFormat="1" ht="18" customHeight="1" thickTop="1" x14ac:dyDescent="0.15">
      <c r="A23" s="109"/>
      <c r="B23" s="636"/>
      <c r="C23" s="642"/>
      <c r="D23" s="630"/>
      <c r="E23" s="19" t="s">
        <v>6</v>
      </c>
      <c r="F23" s="115">
        <f>R11*0.115</f>
        <v>575287.5</v>
      </c>
      <c r="G23" s="203" t="s">
        <v>384</v>
      </c>
      <c r="H23" s="125"/>
      <c r="I23" s="220"/>
      <c r="J23" s="321"/>
      <c r="K23" s="680"/>
      <c r="L23" s="185" t="s">
        <v>131</v>
      </c>
      <c r="M23" s="192"/>
      <c r="N23" s="193" t="s">
        <v>23</v>
      </c>
      <c r="O23" s="193" t="s">
        <v>21</v>
      </c>
      <c r="P23" s="193" t="s">
        <v>24</v>
      </c>
      <c r="Q23" s="663" t="s">
        <v>25</v>
      </c>
      <c r="R23" s="664"/>
      <c r="S23" s="665"/>
    </row>
    <row r="24" spans="1:20" s="110" customFormat="1" ht="18" customHeight="1" x14ac:dyDescent="0.15">
      <c r="A24" s="109"/>
      <c r="B24" s="636"/>
      <c r="C24" s="642"/>
      <c r="D24" s="19" t="s">
        <v>241</v>
      </c>
      <c r="E24" s="26"/>
      <c r="F24" s="144">
        <v>0</v>
      </c>
      <c r="G24" s="203"/>
      <c r="H24" s="221"/>
      <c r="I24" s="222"/>
      <c r="J24" s="370"/>
      <c r="K24" s="680"/>
      <c r="L24" s="194" t="s">
        <v>27</v>
      </c>
      <c r="M24" s="192"/>
      <c r="N24" s="185" t="s">
        <v>320</v>
      </c>
      <c r="O24" s="194"/>
      <c r="P24" s="194">
        <f>'８　きゅうり算出基礎'!G38</f>
        <v>46949.530000000006</v>
      </c>
      <c r="Q24" s="626"/>
      <c r="R24" s="627"/>
      <c r="S24" s="628"/>
      <c r="T24" s="109"/>
    </row>
    <row r="25" spans="1:20" s="110" customFormat="1" ht="18" customHeight="1" x14ac:dyDescent="0.15">
      <c r="A25" s="109"/>
      <c r="B25" s="636"/>
      <c r="C25" s="642"/>
      <c r="D25" s="19" t="s">
        <v>76</v>
      </c>
      <c r="E25" s="26"/>
      <c r="F25" s="144">
        <v>0</v>
      </c>
      <c r="G25" s="203"/>
      <c r="H25" s="223"/>
      <c r="I25" s="224"/>
      <c r="J25" s="223"/>
      <c r="K25" s="680"/>
      <c r="L25" s="194" t="s">
        <v>28</v>
      </c>
      <c r="M25" s="192"/>
      <c r="N25" s="185" t="s">
        <v>321</v>
      </c>
      <c r="O25" s="194"/>
      <c r="P25" s="194">
        <f>'８　きゅうり算出基礎'!G49</f>
        <v>114456</v>
      </c>
      <c r="Q25" s="626"/>
      <c r="R25" s="627"/>
      <c r="S25" s="628"/>
      <c r="T25" s="109"/>
    </row>
    <row r="26" spans="1:20" s="110" customFormat="1" ht="18" customHeight="1" x14ac:dyDescent="0.15">
      <c r="A26" s="109"/>
      <c r="B26" s="636"/>
      <c r="C26" s="642"/>
      <c r="D26" s="19" t="s">
        <v>98</v>
      </c>
      <c r="E26" s="20"/>
      <c r="F26" s="144">
        <f>'８　きゅうり算出基礎'!V59</f>
        <v>28990</v>
      </c>
      <c r="G26" s="620"/>
      <c r="H26" s="621"/>
      <c r="I26" s="621"/>
      <c r="J26" s="622"/>
      <c r="K26" s="680"/>
      <c r="L26" s="194" t="s">
        <v>29</v>
      </c>
      <c r="M26" s="192"/>
      <c r="N26" s="185" t="s">
        <v>322</v>
      </c>
      <c r="O26" s="194"/>
      <c r="P26" s="194">
        <f>'８　きゅうり算出基礎'!G53</f>
        <v>5861</v>
      </c>
      <c r="Q26" s="626"/>
      <c r="R26" s="627"/>
      <c r="S26" s="628"/>
      <c r="T26" s="109"/>
    </row>
    <row r="27" spans="1:20" s="110" customFormat="1" ht="18" customHeight="1" x14ac:dyDescent="0.15">
      <c r="A27" s="109"/>
      <c r="B27" s="636"/>
      <c r="C27" s="642"/>
      <c r="D27" s="27" t="s">
        <v>77</v>
      </c>
      <c r="E27" s="28"/>
      <c r="F27" s="225">
        <v>0</v>
      </c>
      <c r="G27" s="185"/>
      <c r="H27" s="223"/>
      <c r="I27" s="224"/>
      <c r="J27" s="370"/>
      <c r="K27" s="680"/>
      <c r="L27" s="194" t="s">
        <v>109</v>
      </c>
      <c r="M27" s="192"/>
      <c r="N27" s="185" t="s">
        <v>322</v>
      </c>
      <c r="O27" s="194"/>
      <c r="P27" s="194">
        <f>'８　きゅうり算出基礎'!G57</f>
        <v>667.61</v>
      </c>
      <c r="Q27" s="626"/>
      <c r="R27" s="627"/>
      <c r="S27" s="628"/>
      <c r="T27" s="109"/>
    </row>
    <row r="28" spans="1:20" s="110" customFormat="1" ht="18" customHeight="1" thickBot="1" x14ac:dyDescent="0.2">
      <c r="A28" s="109"/>
      <c r="B28" s="636"/>
      <c r="C28" s="642"/>
      <c r="D28" s="19" t="s">
        <v>55</v>
      </c>
      <c r="E28" s="20"/>
      <c r="F28" s="144">
        <f>'８　きゅうり算出基礎'!N59</f>
        <v>11857.599999999999</v>
      </c>
      <c r="G28" s="620"/>
      <c r="H28" s="621"/>
      <c r="I28" s="621"/>
      <c r="J28" s="622"/>
      <c r="K28" s="680"/>
      <c r="L28" s="123" t="s">
        <v>26</v>
      </c>
      <c r="M28" s="122"/>
      <c r="N28" s="123"/>
      <c r="O28" s="123"/>
      <c r="P28" s="123">
        <f>SUM(P24:P27)</f>
        <v>167934.13999999998</v>
      </c>
      <c r="Q28" s="666"/>
      <c r="R28" s="667"/>
      <c r="S28" s="668"/>
      <c r="T28" s="109"/>
    </row>
    <row r="29" spans="1:20" s="110" customFormat="1" ht="18" customHeight="1" thickTop="1" x14ac:dyDescent="0.15">
      <c r="A29" s="109"/>
      <c r="B29" s="636"/>
      <c r="C29" s="642"/>
      <c r="D29" s="19" t="s">
        <v>242</v>
      </c>
      <c r="E29" s="26"/>
      <c r="F29" s="144">
        <f>SUM(F21:F28)/99</f>
        <v>10570.819191919192</v>
      </c>
      <c r="G29" s="336" t="s">
        <v>259</v>
      </c>
      <c r="H29" s="226">
        <v>0.01</v>
      </c>
      <c r="I29" s="191"/>
      <c r="J29" s="371"/>
      <c r="K29" s="680"/>
      <c r="L29" s="185" t="s">
        <v>132</v>
      </c>
      <c r="M29" s="192"/>
      <c r="N29" s="193" t="s">
        <v>23</v>
      </c>
      <c r="O29" s="193" t="s">
        <v>21</v>
      </c>
      <c r="P29" s="193" t="s">
        <v>24</v>
      </c>
      <c r="Q29" s="663" t="s">
        <v>25</v>
      </c>
      <c r="R29" s="664"/>
      <c r="S29" s="665"/>
      <c r="T29" s="127"/>
    </row>
    <row r="30" spans="1:20" s="110" customFormat="1" ht="18" customHeight="1" thickBot="1" x14ac:dyDescent="0.2">
      <c r="A30" s="109"/>
      <c r="B30" s="637"/>
      <c r="C30" s="643"/>
      <c r="D30" s="631" t="s">
        <v>164</v>
      </c>
      <c r="E30" s="632"/>
      <c r="F30" s="186">
        <f>SUM(F21:F29)</f>
        <v>1057081.9191919193</v>
      </c>
      <c r="G30" s="187"/>
      <c r="H30" s="188"/>
      <c r="I30" s="189"/>
      <c r="J30" s="372"/>
      <c r="K30" s="680"/>
      <c r="L30" s="194" t="s">
        <v>122</v>
      </c>
      <c r="M30" s="195"/>
      <c r="N30" s="185" t="s">
        <v>337</v>
      </c>
      <c r="O30" s="196"/>
      <c r="P30" s="194">
        <f>'８　きゅうり算出基礎'!N10</f>
        <v>3049.2</v>
      </c>
      <c r="Q30" s="685"/>
      <c r="R30" s="686"/>
      <c r="S30" s="687"/>
      <c r="T30" s="128"/>
    </row>
    <row r="31" spans="1:20" s="110" customFormat="1" ht="18" customHeight="1" x14ac:dyDescent="0.15">
      <c r="A31" s="109"/>
      <c r="B31" s="132"/>
      <c r="C31" s="128"/>
      <c r="D31" s="128"/>
      <c r="E31" s="128"/>
      <c r="F31" s="128"/>
      <c r="G31" s="128"/>
      <c r="H31" s="128"/>
      <c r="I31" s="128"/>
      <c r="J31" s="128"/>
      <c r="K31" s="680"/>
      <c r="L31" s="194" t="s">
        <v>123</v>
      </c>
      <c r="M31" s="195"/>
      <c r="N31" s="185" t="s">
        <v>349</v>
      </c>
      <c r="O31" s="196"/>
      <c r="P31" s="194">
        <f>'８　きゅうり算出基礎'!N17</f>
        <v>20275.2</v>
      </c>
      <c r="Q31" s="685"/>
      <c r="R31" s="686"/>
      <c r="S31" s="687"/>
    </row>
    <row r="32" spans="1:20" s="110" customFormat="1" ht="18" customHeight="1" x14ac:dyDescent="0.15">
      <c r="A32" s="109"/>
      <c r="B32" s="121"/>
      <c r="C32" s="138"/>
      <c r="D32" s="121"/>
      <c r="E32" s="121"/>
      <c r="F32" s="136"/>
      <c r="G32" s="136"/>
      <c r="H32" s="137"/>
      <c r="I32" s="128"/>
      <c r="J32" s="128"/>
      <c r="K32" s="680"/>
      <c r="L32" s="194" t="s">
        <v>125</v>
      </c>
      <c r="M32" s="192"/>
      <c r="N32" s="196"/>
      <c r="O32" s="196"/>
      <c r="P32" s="194">
        <f>SUM(P30:P31)*R32</f>
        <v>6997.3200000000006</v>
      </c>
      <c r="Q32" s="197" t="s">
        <v>124</v>
      </c>
      <c r="R32" s="198">
        <v>0.3</v>
      </c>
      <c r="S32" s="126"/>
      <c r="T32" s="129"/>
    </row>
    <row r="33" spans="1:23" ht="18" customHeight="1" x14ac:dyDescent="0.15">
      <c r="K33" s="680"/>
      <c r="L33" s="194" t="s">
        <v>126</v>
      </c>
      <c r="M33" s="195"/>
      <c r="N33" s="185"/>
      <c r="O33" s="196"/>
      <c r="P33" s="194">
        <f>'８　きゅうり算出基礎'!N21</f>
        <v>0</v>
      </c>
      <c r="Q33" s="626"/>
      <c r="R33" s="627"/>
      <c r="S33" s="628"/>
      <c r="T33" s="110"/>
    </row>
    <row r="34" spans="1:23" ht="18" customHeight="1" x14ac:dyDescent="0.15">
      <c r="K34" s="680"/>
      <c r="L34" s="194" t="s">
        <v>127</v>
      </c>
      <c r="M34" s="195"/>
      <c r="N34" s="185"/>
      <c r="O34" s="196"/>
      <c r="P34" s="194">
        <f>'８　きゅうり算出基礎'!N25</f>
        <v>0</v>
      </c>
      <c r="Q34" s="626"/>
      <c r="R34" s="627"/>
      <c r="S34" s="628"/>
      <c r="T34" s="111"/>
    </row>
    <row r="35" spans="1:23" ht="18" customHeight="1" x14ac:dyDescent="0.15">
      <c r="K35" s="680"/>
      <c r="L35" s="194" t="s">
        <v>239</v>
      </c>
      <c r="M35" s="195"/>
      <c r="N35" s="185" t="s">
        <v>350</v>
      </c>
      <c r="O35" s="196"/>
      <c r="P35" s="194">
        <f>'８　きゅうり算出基礎'!N29</f>
        <v>495040</v>
      </c>
      <c r="Q35" s="320"/>
      <c r="R35" s="321"/>
      <c r="S35" s="322"/>
      <c r="T35" s="111"/>
    </row>
    <row r="36" spans="1:23" ht="18" customHeight="1" x14ac:dyDescent="0.15">
      <c r="K36" s="680"/>
      <c r="L36" s="194" t="s">
        <v>128</v>
      </c>
      <c r="M36" s="192"/>
      <c r="N36" s="185" t="s">
        <v>351</v>
      </c>
      <c r="O36" s="196"/>
      <c r="P36" s="194">
        <f>'８　きゅうり算出基礎'!N33</f>
        <v>4452</v>
      </c>
      <c r="Q36" s="626"/>
      <c r="R36" s="627"/>
      <c r="S36" s="628"/>
      <c r="T36" s="110"/>
    </row>
    <row r="37" spans="1:23" ht="18" customHeight="1" thickBot="1" x14ac:dyDescent="0.2">
      <c r="K37" s="681"/>
      <c r="L37" s="134" t="s">
        <v>26</v>
      </c>
      <c r="M37" s="133"/>
      <c r="N37" s="134"/>
      <c r="O37" s="134"/>
      <c r="P37" s="134">
        <f>SUM(P30:P36)</f>
        <v>529813.72</v>
      </c>
      <c r="Q37" s="682"/>
      <c r="R37" s="683"/>
      <c r="S37" s="684"/>
      <c r="T37" s="111"/>
    </row>
    <row r="38" spans="1:23" s="127" customFormat="1" ht="18" customHeight="1" x14ac:dyDescent="0.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T38" s="111"/>
    </row>
    <row r="39" spans="1:23" s="127" customFormat="1" ht="18" customHeight="1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T39" s="111"/>
    </row>
    <row r="40" spans="1:23" s="127" customFormat="1" ht="18" customHeight="1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T40" s="111"/>
      <c r="U40" s="110"/>
      <c r="V40" s="110"/>
      <c r="W40" s="110"/>
    </row>
    <row r="41" spans="1:23" s="127" customFormat="1" ht="18" customHeight="1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T41" s="111"/>
      <c r="U41" s="130"/>
      <c r="V41" s="131"/>
      <c r="W41" s="129"/>
    </row>
    <row r="42" spans="1:23" s="127" customFormat="1" ht="18" customHeight="1" x14ac:dyDescent="0.1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T42" s="110"/>
      <c r="U42" s="110"/>
      <c r="V42" s="110"/>
      <c r="W42" s="110"/>
    </row>
    <row r="43" spans="1:23" s="127" customFormat="1" ht="18" customHeight="1" x14ac:dyDescent="0.15">
      <c r="B43" s="109"/>
      <c r="C43" s="109"/>
      <c r="D43" s="109"/>
      <c r="E43" s="109"/>
      <c r="F43" s="109"/>
      <c r="G43" s="109"/>
      <c r="H43" s="109"/>
      <c r="I43" s="109"/>
      <c r="J43" s="109"/>
      <c r="T43" s="129"/>
      <c r="U43" s="128"/>
      <c r="V43" s="110"/>
      <c r="W43" s="129"/>
    </row>
    <row r="44" spans="1:23" s="127" customFormat="1" ht="18" customHeight="1" x14ac:dyDescent="0.15">
      <c r="B44" s="109"/>
      <c r="C44" s="109"/>
      <c r="D44" s="109"/>
      <c r="E44" s="109"/>
      <c r="F44" s="109"/>
      <c r="G44" s="109"/>
      <c r="H44" s="109"/>
      <c r="I44" s="109"/>
      <c r="J44" s="109"/>
      <c r="T44" s="110"/>
      <c r="U44" s="128"/>
      <c r="V44" s="110"/>
      <c r="W44" s="129"/>
    </row>
    <row r="45" spans="1:23" s="127" customFormat="1" ht="18" customHeight="1" x14ac:dyDescent="0.15">
      <c r="B45" s="109"/>
      <c r="C45" s="109"/>
      <c r="D45" s="109"/>
      <c r="E45" s="109"/>
      <c r="F45" s="109"/>
      <c r="G45" s="109"/>
      <c r="H45" s="109"/>
      <c r="I45" s="109"/>
      <c r="J45" s="109"/>
      <c r="T45" s="111"/>
      <c r="U45" s="110"/>
      <c r="V45" s="130"/>
      <c r="W45" s="110"/>
    </row>
    <row r="46" spans="1:23" s="127" customFormat="1" ht="18" customHeight="1" x14ac:dyDescent="0.15">
      <c r="B46" s="109"/>
      <c r="C46" s="109"/>
      <c r="D46" s="109"/>
      <c r="E46" s="109"/>
      <c r="F46" s="109"/>
      <c r="G46" s="109"/>
      <c r="H46" s="109"/>
      <c r="I46" s="109"/>
      <c r="J46" s="109"/>
      <c r="T46" s="139"/>
      <c r="U46" s="110"/>
      <c r="V46" s="110"/>
      <c r="W46" s="129"/>
    </row>
    <row r="47" spans="1:23" s="127" customFormat="1" x14ac:dyDescent="0.1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T47" s="110"/>
      <c r="U47" s="110"/>
      <c r="V47" s="110"/>
      <c r="W47" s="129"/>
    </row>
    <row r="48" spans="1:23" s="127" customFormat="1" x14ac:dyDescent="0.15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T48" s="128"/>
      <c r="U48" s="110"/>
      <c r="V48" s="110"/>
      <c r="W48" s="129"/>
    </row>
    <row r="49" spans="2:23" s="127" customFormat="1" x14ac:dyDescent="0.1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T49" s="128"/>
      <c r="U49" s="110"/>
      <c r="V49" s="110"/>
      <c r="W49" s="129"/>
    </row>
    <row r="50" spans="2:23" s="127" customFormat="1" x14ac:dyDescent="0.15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T50" s="128"/>
      <c r="U50" s="111"/>
      <c r="V50" s="111"/>
      <c r="W50" s="110"/>
    </row>
    <row r="51" spans="2:23" s="127" customFormat="1" ht="13.5" customHeight="1" x14ac:dyDescent="0.1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T51" s="128"/>
      <c r="U51" s="110"/>
      <c r="V51" s="110"/>
      <c r="W51" s="130"/>
    </row>
    <row r="52" spans="2:23" s="127" customFormat="1" x14ac:dyDescent="0.15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U52" s="110"/>
      <c r="V52" s="130"/>
      <c r="W52" s="129"/>
    </row>
    <row r="53" spans="2:23" s="127" customFormat="1" x14ac:dyDescent="0.15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U53" s="110"/>
      <c r="V53" s="110"/>
      <c r="W53" s="110"/>
    </row>
    <row r="54" spans="2:23" s="127" customFormat="1" ht="13.5" customHeight="1" x14ac:dyDescent="0.15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U54" s="110"/>
      <c r="V54" s="111"/>
      <c r="W54" s="129"/>
    </row>
    <row r="55" spans="2:23" s="127" customFormat="1" x14ac:dyDescent="0.1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U55" s="110"/>
      <c r="V55" s="110"/>
      <c r="W55" s="129"/>
    </row>
    <row r="56" spans="2:23" s="127" customFormat="1" x14ac:dyDescent="0.1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U56" s="111"/>
      <c r="V56" s="110"/>
      <c r="W56" s="110"/>
    </row>
    <row r="57" spans="2:23" s="127" customFormat="1" x14ac:dyDescent="0.15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U57" s="128"/>
      <c r="V57" s="128"/>
      <c r="W57" s="128"/>
    </row>
    <row r="58" spans="2:23" s="127" customFormat="1" x14ac:dyDescent="0.15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pans="2:23" s="127" customFormat="1" x14ac:dyDescent="0.15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2:23" s="127" customFormat="1" x14ac:dyDescent="0.15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2:23" s="127" customFormat="1" x14ac:dyDescent="0.15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2:23" s="127" customFormat="1" x14ac:dyDescent="0.15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2:23" s="127" customFormat="1" ht="13.5" customHeight="1" x14ac:dyDescent="0.15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2:23" s="127" customFormat="1" ht="13.5" customHeight="1" x14ac:dyDescent="0.15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2:19" s="127" customFormat="1" x14ac:dyDescent="0.15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2:19" s="127" customFormat="1" x14ac:dyDescent="0.15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2:19" s="127" customFormat="1" x14ac:dyDescent="0.15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2:19" s="127" customFormat="1" ht="13.5" customHeight="1" x14ac:dyDescent="0.15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2:19" s="127" customFormat="1" x14ac:dyDescent="0.15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2:19" s="127" customFormat="1" x14ac:dyDescent="0.15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2:19" s="127" customFormat="1" x14ac:dyDescent="0.15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2:19" s="127" customFormat="1" x14ac:dyDescent="0.15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2:19" s="127" customFormat="1" x14ac:dyDescent="0.15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2:19" s="127" customFormat="1" ht="13.5" customHeight="1" x14ac:dyDescent="0.15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2:19" s="127" customFormat="1" x14ac:dyDescent="0.15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2:19" s="127" customFormat="1" x14ac:dyDescent="0.15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2:19" s="127" customFormat="1" x14ac:dyDescent="0.15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2:19" s="127" customFormat="1" x14ac:dyDescent="0.15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2:19" s="127" customFormat="1" x14ac:dyDescent="0.15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2:19" s="127" customFormat="1" x14ac:dyDescent="0.15"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1:20" s="127" customFormat="1" x14ac:dyDescent="0.15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1:20" s="127" customFormat="1" x14ac:dyDescent="0.15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  <row r="83" spans="1:20" s="127" customFormat="1" x14ac:dyDescent="0.15"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</row>
    <row r="84" spans="1:20" s="127" customFormat="1" x14ac:dyDescent="0.15"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1:20" s="127" customFormat="1" x14ac:dyDescent="0.15"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1:20" s="127" customFormat="1" ht="13.5" customHeight="1" x14ac:dyDescent="0.15"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1:20" s="127" customFormat="1" x14ac:dyDescent="0.15"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88" spans="1:20" s="127" customFormat="1" x14ac:dyDescent="0.15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1:20" s="127" customFormat="1" ht="13.5" customHeight="1" x14ac:dyDescent="0.15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</row>
    <row r="90" spans="1:20" s="127" customFormat="1" x14ac:dyDescent="0.15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</row>
    <row r="91" spans="1:20" s="127" customFormat="1" x14ac:dyDescent="0.15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</row>
    <row r="92" spans="1:20" s="127" customFormat="1" x14ac:dyDescent="0.15"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</row>
    <row r="93" spans="1:20" s="127" customFormat="1" x14ac:dyDescent="0.15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</row>
    <row r="94" spans="1:20" s="127" customFormat="1" x14ac:dyDescent="0.15"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</row>
    <row r="95" spans="1:20" x14ac:dyDescent="0.15">
      <c r="A95" s="127"/>
    </row>
    <row r="96" spans="1:20" x14ac:dyDescent="0.15">
      <c r="A96" s="127"/>
    </row>
    <row r="97" spans="1:1" x14ac:dyDescent="0.15">
      <c r="A97" s="127"/>
    </row>
    <row r="98" spans="1:1" x14ac:dyDescent="0.15">
      <c r="A98" s="127"/>
    </row>
    <row r="99" spans="1:1" x14ac:dyDescent="0.15">
      <c r="A99" s="127"/>
    </row>
  </sheetData>
  <mergeCells count="57">
    <mergeCell ref="Q17:S17"/>
    <mergeCell ref="Q18:S18"/>
    <mergeCell ref="Q19:S19"/>
    <mergeCell ref="R10:S10"/>
    <mergeCell ref="I13:J13"/>
    <mergeCell ref="I14:J14"/>
    <mergeCell ref="G11:J11"/>
    <mergeCell ref="K12:K37"/>
    <mergeCell ref="Q37:S37"/>
    <mergeCell ref="Q29:S29"/>
    <mergeCell ref="Q30:S30"/>
    <mergeCell ref="Q31:S31"/>
    <mergeCell ref="Q33:S33"/>
    <mergeCell ref="Q34:S34"/>
    <mergeCell ref="Q22:S22"/>
    <mergeCell ref="Q23:S23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5:S15"/>
    <mergeCell ref="R11:S11"/>
    <mergeCell ref="Q12:S12"/>
    <mergeCell ref="Q13:S13"/>
    <mergeCell ref="Q14:S14"/>
    <mergeCell ref="Q27:S27"/>
    <mergeCell ref="Q28:S28"/>
    <mergeCell ref="B4:C5"/>
    <mergeCell ref="B3:E3"/>
    <mergeCell ref="K3:S3"/>
    <mergeCell ref="R6:S6"/>
    <mergeCell ref="R7:S7"/>
    <mergeCell ref="G4:J4"/>
    <mergeCell ref="G7:J7"/>
    <mergeCell ref="D20:E20"/>
    <mergeCell ref="B6:B30"/>
    <mergeCell ref="C6:C20"/>
    <mergeCell ref="C21:C30"/>
    <mergeCell ref="D13:D14"/>
    <mergeCell ref="D15:D17"/>
    <mergeCell ref="Q24:S24"/>
    <mergeCell ref="Q25:S25"/>
    <mergeCell ref="D21:D23"/>
    <mergeCell ref="D30:E30"/>
    <mergeCell ref="G26:J26"/>
    <mergeCell ref="G28:J28"/>
    <mergeCell ref="G8:J8"/>
    <mergeCell ref="G9:J9"/>
    <mergeCell ref="G15:J15"/>
    <mergeCell ref="G16:J16"/>
    <mergeCell ref="G17:J17"/>
    <mergeCell ref="G10:J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74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40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317</v>
      </c>
      <c r="C2" s="32"/>
      <c r="D2" s="5"/>
      <c r="E2" s="5"/>
      <c r="F2" s="32"/>
      <c r="G2" s="110"/>
      <c r="H2" s="120"/>
      <c r="I2" s="110"/>
      <c r="J2" s="110"/>
      <c r="K2" s="110"/>
      <c r="L2" s="110"/>
      <c r="M2" s="110"/>
      <c r="N2" s="110"/>
      <c r="O2" s="5"/>
    </row>
    <row r="3" spans="2:22" ht="15" customHeight="1" thickBot="1" x14ac:dyDescent="0.2">
      <c r="B3" s="30" t="s">
        <v>167</v>
      </c>
      <c r="I3" s="5" t="s">
        <v>168</v>
      </c>
      <c r="P3" s="174" t="s">
        <v>188</v>
      </c>
    </row>
    <row r="4" spans="2:22" ht="15" customHeight="1" x14ac:dyDescent="0.15">
      <c r="B4" s="248" t="s">
        <v>72</v>
      </c>
      <c r="C4" s="160" t="s">
        <v>142</v>
      </c>
      <c r="D4" s="160" t="s">
        <v>111</v>
      </c>
      <c r="E4" s="160" t="s">
        <v>112</v>
      </c>
      <c r="F4" s="160" t="s">
        <v>21</v>
      </c>
      <c r="G4" s="148" t="s">
        <v>113</v>
      </c>
      <c r="H4" s="161"/>
      <c r="I4" s="723" t="s">
        <v>72</v>
      </c>
      <c r="J4" s="719" t="s">
        <v>145</v>
      </c>
      <c r="K4" s="166" t="s">
        <v>347</v>
      </c>
      <c r="L4" s="166" t="s">
        <v>114</v>
      </c>
      <c r="M4" s="719" t="s">
        <v>21</v>
      </c>
      <c r="N4" s="721" t="s">
        <v>113</v>
      </c>
      <c r="O4" s="184"/>
      <c r="P4" s="249" t="s">
        <v>148</v>
      </c>
      <c r="Q4" s="250" t="s">
        <v>149</v>
      </c>
      <c r="R4" s="250" t="s">
        <v>150</v>
      </c>
      <c r="S4" s="250" t="s">
        <v>151</v>
      </c>
      <c r="T4" s="725" t="s">
        <v>152</v>
      </c>
      <c r="U4" s="651"/>
      <c r="V4" s="251" t="s">
        <v>153</v>
      </c>
    </row>
    <row r="5" spans="2:22" ht="15" customHeight="1" x14ac:dyDescent="0.15">
      <c r="B5" s="611" t="s">
        <v>136</v>
      </c>
      <c r="C5" s="29" t="s">
        <v>438</v>
      </c>
      <c r="D5" s="29">
        <v>2</v>
      </c>
      <c r="E5" s="36" t="s">
        <v>140</v>
      </c>
      <c r="F5" s="29">
        <v>3500</v>
      </c>
      <c r="G5" s="149">
        <f t="shared" ref="G5:G6" si="0">D5*F5</f>
        <v>7000</v>
      </c>
      <c r="H5" s="162"/>
      <c r="I5" s="724"/>
      <c r="J5" s="720"/>
      <c r="K5" s="168" t="s">
        <v>116</v>
      </c>
      <c r="L5" s="168" t="s">
        <v>348</v>
      </c>
      <c r="M5" s="720"/>
      <c r="N5" s="722"/>
      <c r="O5" s="184"/>
      <c r="P5" s="252" t="s">
        <v>318</v>
      </c>
      <c r="Q5" s="146">
        <v>2250</v>
      </c>
      <c r="R5" s="182" t="s">
        <v>80</v>
      </c>
      <c r="S5" s="146">
        <v>100</v>
      </c>
      <c r="T5" s="706">
        <v>2</v>
      </c>
      <c r="U5" s="707"/>
      <c r="V5" s="177">
        <f>Q5*S5/T5</f>
        <v>112500</v>
      </c>
    </row>
    <row r="6" spans="2:22" ht="15" customHeight="1" x14ac:dyDescent="0.15">
      <c r="B6" s="612"/>
      <c r="C6" s="29"/>
      <c r="D6" s="29"/>
      <c r="E6" s="36"/>
      <c r="F6" s="29"/>
      <c r="G6" s="150">
        <f t="shared" si="0"/>
        <v>0</v>
      </c>
      <c r="H6" s="162"/>
      <c r="I6" s="726" t="s">
        <v>144</v>
      </c>
      <c r="J6" s="29" t="s">
        <v>334</v>
      </c>
      <c r="K6" s="169">
        <v>1</v>
      </c>
      <c r="L6" s="169">
        <v>6</v>
      </c>
      <c r="M6" s="169">
        <v>84.7</v>
      </c>
      <c r="N6" s="150">
        <f>K6*L6*M6</f>
        <v>508.20000000000005</v>
      </c>
      <c r="O6" s="184"/>
      <c r="P6" s="252" t="s">
        <v>283</v>
      </c>
      <c r="Q6" s="146">
        <v>1200</v>
      </c>
      <c r="R6" s="358" t="s">
        <v>80</v>
      </c>
      <c r="S6" s="146">
        <v>100</v>
      </c>
      <c r="T6" s="706">
        <v>3</v>
      </c>
      <c r="U6" s="707"/>
      <c r="V6" s="177">
        <f t="shared" ref="V6:V25" si="1">Q6*S6/T6</f>
        <v>40000</v>
      </c>
    </row>
    <row r="7" spans="2:22" ht="15" customHeight="1" thickBot="1" x14ac:dyDescent="0.2">
      <c r="B7" s="703"/>
      <c r="C7" s="151" t="s">
        <v>117</v>
      </c>
      <c r="D7" s="151"/>
      <c r="E7" s="151"/>
      <c r="F7" s="151"/>
      <c r="G7" s="152">
        <f>SUM(G5:G6)</f>
        <v>7000</v>
      </c>
      <c r="H7" s="162"/>
      <c r="I7" s="612"/>
      <c r="J7" s="29" t="s">
        <v>335</v>
      </c>
      <c r="K7" s="169">
        <v>3</v>
      </c>
      <c r="L7" s="169">
        <v>8</v>
      </c>
      <c r="M7" s="169">
        <v>84.7</v>
      </c>
      <c r="N7" s="150">
        <f t="shared" ref="N7:N9" si="2">K7*L7*M7</f>
        <v>2032.8000000000002</v>
      </c>
      <c r="O7" s="184"/>
      <c r="P7" s="252" t="s">
        <v>284</v>
      </c>
      <c r="Q7" s="146">
        <v>220</v>
      </c>
      <c r="R7" s="182" t="s">
        <v>193</v>
      </c>
      <c r="S7" s="146">
        <v>900</v>
      </c>
      <c r="T7" s="706">
        <v>7</v>
      </c>
      <c r="U7" s="707"/>
      <c r="V7" s="177">
        <f t="shared" si="1"/>
        <v>28285.714285714286</v>
      </c>
    </row>
    <row r="8" spans="2:22" ht="15" customHeight="1" thickTop="1" x14ac:dyDescent="0.15">
      <c r="B8" s="704" t="s">
        <v>134</v>
      </c>
      <c r="C8" s="29" t="s">
        <v>438</v>
      </c>
      <c r="D8" s="29">
        <v>5</v>
      </c>
      <c r="E8" s="36" t="s">
        <v>115</v>
      </c>
      <c r="F8" s="29">
        <v>610</v>
      </c>
      <c r="G8" s="150">
        <f>D8*F8</f>
        <v>3050</v>
      </c>
      <c r="H8" s="162"/>
      <c r="I8" s="612"/>
      <c r="J8" s="29" t="s">
        <v>336</v>
      </c>
      <c r="K8" s="169">
        <v>1</v>
      </c>
      <c r="L8" s="169">
        <v>6</v>
      </c>
      <c r="M8" s="169">
        <v>84.7</v>
      </c>
      <c r="N8" s="150">
        <f t="shared" si="2"/>
        <v>508.20000000000005</v>
      </c>
      <c r="O8" s="184"/>
      <c r="P8" s="252" t="s">
        <v>284</v>
      </c>
      <c r="Q8" s="146">
        <v>30</v>
      </c>
      <c r="R8" s="182" t="s">
        <v>193</v>
      </c>
      <c r="S8" s="146">
        <v>988</v>
      </c>
      <c r="T8" s="706">
        <v>7</v>
      </c>
      <c r="U8" s="707"/>
      <c r="V8" s="177">
        <f t="shared" si="1"/>
        <v>4234.2857142857147</v>
      </c>
    </row>
    <row r="9" spans="2:22" ht="15" customHeight="1" x14ac:dyDescent="0.15">
      <c r="B9" s="612"/>
      <c r="C9" s="29" t="s">
        <v>458</v>
      </c>
      <c r="D9" s="29">
        <v>1</v>
      </c>
      <c r="E9" s="36" t="s">
        <v>115</v>
      </c>
      <c r="F9" s="29">
        <v>1880</v>
      </c>
      <c r="G9" s="150">
        <f>D9*F9</f>
        <v>1880</v>
      </c>
      <c r="H9" s="162"/>
      <c r="I9" s="612"/>
      <c r="J9" s="29"/>
      <c r="K9" s="169"/>
      <c r="L9" s="169"/>
      <c r="M9" s="169"/>
      <c r="N9" s="150">
        <f t="shared" si="2"/>
        <v>0</v>
      </c>
      <c r="O9" s="184"/>
      <c r="P9" s="252" t="s">
        <v>285</v>
      </c>
      <c r="Q9" s="146">
        <v>4.5</v>
      </c>
      <c r="R9" s="182" t="s">
        <v>193</v>
      </c>
      <c r="S9" s="146">
        <v>7150</v>
      </c>
      <c r="T9" s="706">
        <v>3</v>
      </c>
      <c r="U9" s="707"/>
      <c r="V9" s="177">
        <f t="shared" si="1"/>
        <v>10725</v>
      </c>
    </row>
    <row r="10" spans="2:22" ht="15" customHeight="1" thickBot="1" x14ac:dyDescent="0.2">
      <c r="B10" s="612"/>
      <c r="C10" s="29"/>
      <c r="D10" s="29"/>
      <c r="E10" s="36"/>
      <c r="F10" s="29"/>
      <c r="G10" s="150">
        <f>D10*F10</f>
        <v>0</v>
      </c>
      <c r="H10" s="162"/>
      <c r="I10" s="703"/>
      <c r="J10" s="253" t="s">
        <v>194</v>
      </c>
      <c r="K10" s="170">
        <f t="shared" ref="K10" si="3">SUM(K6:K9)</f>
        <v>5</v>
      </c>
      <c r="L10" s="170">
        <f>SUM(L6:L9)</f>
        <v>20</v>
      </c>
      <c r="M10" s="391"/>
      <c r="N10" s="165">
        <f>SUM(N6:N9)</f>
        <v>3049.2</v>
      </c>
      <c r="O10" s="184"/>
      <c r="P10" s="252" t="s">
        <v>306</v>
      </c>
      <c r="Q10" s="146">
        <v>4.5</v>
      </c>
      <c r="R10" s="182" t="s">
        <v>193</v>
      </c>
      <c r="S10" s="146">
        <v>3060</v>
      </c>
      <c r="T10" s="706">
        <v>2</v>
      </c>
      <c r="U10" s="707"/>
      <c r="V10" s="177">
        <f t="shared" si="1"/>
        <v>6885</v>
      </c>
    </row>
    <row r="11" spans="2:22" ht="15" customHeight="1" thickTop="1" thickBot="1" x14ac:dyDescent="0.2">
      <c r="B11" s="703"/>
      <c r="C11" s="153" t="s">
        <v>118</v>
      </c>
      <c r="D11" s="154"/>
      <c r="E11" s="154"/>
      <c r="F11" s="154"/>
      <c r="G11" s="155">
        <f>SUM(G8:G10)</f>
        <v>4930</v>
      </c>
      <c r="H11" s="162"/>
      <c r="I11" s="704" t="s">
        <v>195</v>
      </c>
      <c r="J11" s="375" t="s">
        <v>338</v>
      </c>
      <c r="K11" s="376">
        <v>2</v>
      </c>
      <c r="L11" s="376">
        <v>1</v>
      </c>
      <c r="M11" s="393">
        <v>158.4</v>
      </c>
      <c r="N11" s="389">
        <f t="shared" ref="N11:N13" si="4">K11*L11*M11</f>
        <v>316.8</v>
      </c>
      <c r="O11" s="184"/>
      <c r="P11" s="252" t="s">
        <v>286</v>
      </c>
      <c r="Q11" s="146">
        <v>4.5</v>
      </c>
      <c r="R11" s="182" t="s">
        <v>193</v>
      </c>
      <c r="S11" s="146">
        <v>31200</v>
      </c>
      <c r="T11" s="706">
        <v>5</v>
      </c>
      <c r="U11" s="707"/>
      <c r="V11" s="177">
        <f t="shared" si="1"/>
        <v>28080</v>
      </c>
    </row>
    <row r="12" spans="2:22" ht="15" customHeight="1" thickTop="1" x14ac:dyDescent="0.15">
      <c r="B12" s="704" t="s">
        <v>135</v>
      </c>
      <c r="C12" s="29" t="s">
        <v>438</v>
      </c>
      <c r="D12" s="29">
        <v>27</v>
      </c>
      <c r="E12" s="36" t="s">
        <v>115</v>
      </c>
      <c r="F12" s="29">
        <v>2760</v>
      </c>
      <c r="G12" s="150">
        <f>D12*F12</f>
        <v>74520</v>
      </c>
      <c r="H12" s="162"/>
      <c r="I12" s="612"/>
      <c r="J12" s="377" t="s">
        <v>345</v>
      </c>
      <c r="K12" s="378">
        <v>1.5</v>
      </c>
      <c r="L12" s="386">
        <v>2</v>
      </c>
      <c r="M12" s="394">
        <v>158.4</v>
      </c>
      <c r="N12" s="389">
        <f t="shared" si="4"/>
        <v>475.20000000000005</v>
      </c>
      <c r="O12" s="184"/>
      <c r="P12" s="252" t="s">
        <v>389</v>
      </c>
      <c r="Q12" s="146">
        <v>7</v>
      </c>
      <c r="R12" s="182" t="s">
        <v>193</v>
      </c>
      <c r="S12" s="146">
        <v>5100</v>
      </c>
      <c r="T12" s="706">
        <v>4</v>
      </c>
      <c r="U12" s="707"/>
      <c r="V12" s="177">
        <f t="shared" si="1"/>
        <v>8925</v>
      </c>
    </row>
    <row r="13" spans="2:22" ht="15" customHeight="1" x14ac:dyDescent="0.15">
      <c r="B13" s="612"/>
      <c r="C13" s="29"/>
      <c r="D13" s="29"/>
      <c r="E13" s="36"/>
      <c r="F13" s="29"/>
      <c r="G13" s="150">
        <f>D13*F13</f>
        <v>0</v>
      </c>
      <c r="H13" s="162"/>
      <c r="I13" s="612"/>
      <c r="J13" s="299" t="s">
        <v>339</v>
      </c>
      <c r="K13" s="378">
        <v>1</v>
      </c>
      <c r="L13" s="386">
        <v>3</v>
      </c>
      <c r="M13" s="394">
        <v>158.4</v>
      </c>
      <c r="N13" s="389">
        <f t="shared" si="4"/>
        <v>475.20000000000005</v>
      </c>
      <c r="O13" s="184"/>
      <c r="P13" s="252" t="s">
        <v>287</v>
      </c>
      <c r="Q13" s="146">
        <v>20</v>
      </c>
      <c r="R13" s="182" t="s">
        <v>192</v>
      </c>
      <c r="S13" s="146">
        <v>1000</v>
      </c>
      <c r="T13" s="706">
        <v>5</v>
      </c>
      <c r="U13" s="707"/>
      <c r="V13" s="177">
        <f t="shared" si="1"/>
        <v>4000</v>
      </c>
    </row>
    <row r="14" spans="2:22" ht="15" customHeight="1" x14ac:dyDescent="0.15">
      <c r="B14" s="612"/>
      <c r="C14" s="29"/>
      <c r="D14" s="29"/>
      <c r="E14" s="36"/>
      <c r="F14" s="29"/>
      <c r="G14" s="150">
        <f>D14*F14</f>
        <v>0</v>
      </c>
      <c r="H14" s="162"/>
      <c r="I14" s="612"/>
      <c r="J14" s="299" t="s">
        <v>346</v>
      </c>
      <c r="K14" s="379">
        <v>19</v>
      </c>
      <c r="L14" s="387">
        <v>2</v>
      </c>
      <c r="M14" s="394">
        <v>158.4</v>
      </c>
      <c r="N14" s="389">
        <f t="shared" ref="N14:N16" si="5">K14*L14*M14</f>
        <v>6019.2</v>
      </c>
      <c r="O14" s="184"/>
      <c r="P14" s="252" t="s">
        <v>288</v>
      </c>
      <c r="Q14" s="146">
        <v>2.5</v>
      </c>
      <c r="R14" s="182" t="s">
        <v>154</v>
      </c>
      <c r="S14" s="146">
        <v>3100</v>
      </c>
      <c r="T14" s="706">
        <v>5</v>
      </c>
      <c r="U14" s="707"/>
      <c r="V14" s="177">
        <f t="shared" si="1"/>
        <v>1550</v>
      </c>
    </row>
    <row r="15" spans="2:22" ht="15" customHeight="1" x14ac:dyDescent="0.15">
      <c r="B15" s="612"/>
      <c r="C15" s="29"/>
      <c r="D15" s="29"/>
      <c r="E15" s="29"/>
      <c r="F15" s="29"/>
      <c r="G15" s="150">
        <f t="shared" ref="G15" si="6">D15*F15</f>
        <v>0</v>
      </c>
      <c r="H15" s="162"/>
      <c r="I15" s="612"/>
      <c r="J15" s="299" t="s">
        <v>340</v>
      </c>
      <c r="K15" s="379">
        <v>9.5</v>
      </c>
      <c r="L15" s="387">
        <v>2</v>
      </c>
      <c r="M15" s="394">
        <v>158.4</v>
      </c>
      <c r="N15" s="389">
        <f t="shared" si="5"/>
        <v>3009.6</v>
      </c>
      <c r="O15" s="184"/>
      <c r="P15" s="252" t="s">
        <v>289</v>
      </c>
      <c r="Q15" s="146">
        <v>7</v>
      </c>
      <c r="R15" s="182" t="s">
        <v>154</v>
      </c>
      <c r="S15" s="146">
        <v>1810</v>
      </c>
      <c r="T15" s="706">
        <v>4</v>
      </c>
      <c r="U15" s="707"/>
      <c r="V15" s="177">
        <f t="shared" si="1"/>
        <v>3167.5</v>
      </c>
    </row>
    <row r="16" spans="2:22" ht="15" customHeight="1" thickBot="1" x14ac:dyDescent="0.2">
      <c r="B16" s="703"/>
      <c r="C16" s="153" t="s">
        <v>118</v>
      </c>
      <c r="D16" s="154"/>
      <c r="E16" s="154"/>
      <c r="F16" s="154"/>
      <c r="G16" s="155">
        <f>SUM(G12:G15)</f>
        <v>74520</v>
      </c>
      <c r="H16" s="162"/>
      <c r="I16" s="612"/>
      <c r="J16" s="29" t="s">
        <v>341</v>
      </c>
      <c r="K16" s="169">
        <v>31.5</v>
      </c>
      <c r="L16" s="388">
        <v>2</v>
      </c>
      <c r="M16" s="394">
        <v>158.4</v>
      </c>
      <c r="N16" s="389">
        <f t="shared" si="5"/>
        <v>9979.2000000000007</v>
      </c>
      <c r="O16" s="184"/>
      <c r="P16" s="252" t="s">
        <v>290</v>
      </c>
      <c r="Q16" s="146">
        <v>255</v>
      </c>
      <c r="R16" s="319" t="s">
        <v>312</v>
      </c>
      <c r="S16" s="146">
        <v>135</v>
      </c>
      <c r="T16" s="706">
        <v>4</v>
      </c>
      <c r="U16" s="707"/>
      <c r="V16" s="177">
        <f t="shared" si="1"/>
        <v>8606.25</v>
      </c>
    </row>
    <row r="17" spans="2:22" ht="15" customHeight="1" thickTop="1" thickBot="1" x14ac:dyDescent="0.2">
      <c r="B17" s="704" t="s">
        <v>137</v>
      </c>
      <c r="C17" s="29" t="s">
        <v>440</v>
      </c>
      <c r="D17" s="29">
        <v>15</v>
      </c>
      <c r="E17" s="36" t="s">
        <v>119</v>
      </c>
      <c r="F17" s="29">
        <v>2400</v>
      </c>
      <c r="G17" s="150">
        <f t="shared" ref="G17" si="7">D17*F17</f>
        <v>36000</v>
      </c>
      <c r="H17" s="162"/>
      <c r="I17" s="703"/>
      <c r="J17" s="253" t="s">
        <v>194</v>
      </c>
      <c r="K17" s="170">
        <f t="shared" ref="K17" si="8">SUM(K13:K16)</f>
        <v>61</v>
      </c>
      <c r="L17" s="170">
        <f t="shared" ref="L17" si="9">SUM(L13:L16)</f>
        <v>9</v>
      </c>
      <c r="M17" s="390"/>
      <c r="N17" s="165">
        <f>SUM(N11:N16)</f>
        <v>20275.2</v>
      </c>
      <c r="O17" s="184"/>
      <c r="P17" s="252" t="s">
        <v>329</v>
      </c>
      <c r="Q17" s="146">
        <v>48</v>
      </c>
      <c r="R17" s="380" t="s">
        <v>372</v>
      </c>
      <c r="S17" s="146">
        <v>945</v>
      </c>
      <c r="T17" s="706">
        <v>5</v>
      </c>
      <c r="U17" s="707"/>
      <c r="V17" s="177">
        <f t="shared" si="1"/>
        <v>9072</v>
      </c>
    </row>
    <row r="18" spans="2:22" ht="15" customHeight="1" thickTop="1" x14ac:dyDescent="0.15">
      <c r="B18" s="612"/>
      <c r="C18" s="29"/>
      <c r="D18" s="29"/>
      <c r="E18" s="36"/>
      <c r="F18" s="29"/>
      <c r="G18" s="150">
        <f>D18*F18</f>
        <v>0</v>
      </c>
      <c r="H18" s="162"/>
      <c r="I18" s="704" t="s">
        <v>146</v>
      </c>
      <c r="J18" s="29"/>
      <c r="K18" s="169"/>
      <c r="L18" s="169"/>
      <c r="M18" s="169"/>
      <c r="N18" s="150">
        <f>K18*L18*M18</f>
        <v>0</v>
      </c>
      <c r="O18" s="184"/>
      <c r="P18" s="252" t="s">
        <v>368</v>
      </c>
      <c r="Q18" s="146">
        <v>13</v>
      </c>
      <c r="R18" s="380" t="s">
        <v>372</v>
      </c>
      <c r="S18" s="146">
        <v>420</v>
      </c>
      <c r="T18" s="706">
        <v>2</v>
      </c>
      <c r="U18" s="707"/>
      <c r="V18" s="177">
        <f t="shared" si="1"/>
        <v>2730</v>
      </c>
    </row>
    <row r="19" spans="2:22" ht="15" customHeight="1" x14ac:dyDescent="0.15">
      <c r="B19" s="612"/>
      <c r="C19" s="29"/>
      <c r="D19" s="29"/>
      <c r="E19" s="29"/>
      <c r="F19" s="29"/>
      <c r="G19" s="150">
        <f t="shared" ref="G19" si="10">D19*F19</f>
        <v>0</v>
      </c>
      <c r="H19" s="162"/>
      <c r="I19" s="612"/>
      <c r="J19" s="29"/>
      <c r="K19" s="169"/>
      <c r="L19" s="169"/>
      <c r="M19" s="169"/>
      <c r="N19" s="150">
        <f t="shared" ref="N19:N20" si="11">K19*L19*M19</f>
        <v>0</v>
      </c>
      <c r="O19" s="184"/>
      <c r="P19" s="252" t="s">
        <v>330</v>
      </c>
      <c r="Q19" s="146">
        <v>7</v>
      </c>
      <c r="R19" s="380" t="s">
        <v>372</v>
      </c>
      <c r="S19" s="146">
        <v>1150</v>
      </c>
      <c r="T19" s="706">
        <v>5</v>
      </c>
      <c r="U19" s="707"/>
      <c r="V19" s="177">
        <f t="shared" si="1"/>
        <v>1610</v>
      </c>
    </row>
    <row r="20" spans="2:22" ht="15" customHeight="1" thickBot="1" x14ac:dyDescent="0.2">
      <c r="B20" s="703"/>
      <c r="C20" s="153" t="s">
        <v>118</v>
      </c>
      <c r="D20" s="154"/>
      <c r="E20" s="154"/>
      <c r="F20" s="154"/>
      <c r="G20" s="155">
        <f>SUM(G17:G19)</f>
        <v>36000</v>
      </c>
      <c r="H20" s="162"/>
      <c r="I20" s="612"/>
      <c r="J20" s="29"/>
      <c r="K20" s="169"/>
      <c r="L20" s="169"/>
      <c r="M20" s="169"/>
      <c r="N20" s="150">
        <f t="shared" si="11"/>
        <v>0</v>
      </c>
      <c r="O20" s="184"/>
      <c r="P20" s="252" t="s">
        <v>331</v>
      </c>
      <c r="Q20" s="146">
        <v>23</v>
      </c>
      <c r="R20" s="380" t="s">
        <v>372</v>
      </c>
      <c r="S20" s="146">
        <v>871</v>
      </c>
      <c r="T20" s="706">
        <v>1</v>
      </c>
      <c r="U20" s="707"/>
      <c r="V20" s="177">
        <f t="shared" si="1"/>
        <v>20033</v>
      </c>
    </row>
    <row r="21" spans="2:22" ht="15" customHeight="1" thickTop="1" thickBot="1" x14ac:dyDescent="0.2">
      <c r="B21" s="704" t="s">
        <v>138</v>
      </c>
      <c r="C21" s="29"/>
      <c r="D21" s="29"/>
      <c r="E21" s="36"/>
      <c r="F21" s="29"/>
      <c r="G21" s="150">
        <f>D21*F21</f>
        <v>0</v>
      </c>
      <c r="H21" s="162"/>
      <c r="I21" s="703"/>
      <c r="J21" s="253" t="s">
        <v>196</v>
      </c>
      <c r="K21" s="170">
        <f>SUM(K18:K20)</f>
        <v>0</v>
      </c>
      <c r="L21" s="171">
        <f>SUM(L18:L20)</f>
        <v>0</v>
      </c>
      <c r="M21" s="172"/>
      <c r="N21" s="165">
        <f>SUM(N18:N20)</f>
        <v>0</v>
      </c>
      <c r="O21" s="184"/>
      <c r="P21" s="252" t="s">
        <v>332</v>
      </c>
      <c r="Q21" s="146">
        <v>1</v>
      </c>
      <c r="R21" s="380" t="s">
        <v>372</v>
      </c>
      <c r="S21" s="146">
        <v>2000</v>
      </c>
      <c r="T21" s="706">
        <v>1</v>
      </c>
      <c r="U21" s="707"/>
      <c r="V21" s="177">
        <f t="shared" si="1"/>
        <v>2000</v>
      </c>
    </row>
    <row r="22" spans="2:22" ht="15" customHeight="1" thickTop="1" x14ac:dyDescent="0.15">
      <c r="B22" s="612"/>
      <c r="C22" s="29"/>
      <c r="D22" s="29"/>
      <c r="E22" s="36"/>
      <c r="F22" s="29"/>
      <c r="G22" s="150">
        <f>D22*F22</f>
        <v>0</v>
      </c>
      <c r="H22" s="162"/>
      <c r="I22" s="704" t="s">
        <v>147</v>
      </c>
      <c r="J22" s="29"/>
      <c r="K22" s="169"/>
      <c r="L22" s="169"/>
      <c r="M22" s="169"/>
      <c r="N22" s="150">
        <f>K22*L22*M22</f>
        <v>0</v>
      </c>
      <c r="O22" s="184"/>
      <c r="P22" s="252" t="s">
        <v>333</v>
      </c>
      <c r="Q22" s="146">
        <v>1</v>
      </c>
      <c r="R22" s="380" t="s">
        <v>373</v>
      </c>
      <c r="S22" s="146">
        <v>8400</v>
      </c>
      <c r="T22" s="706">
        <v>3</v>
      </c>
      <c r="U22" s="707"/>
      <c r="V22" s="177">
        <f t="shared" si="1"/>
        <v>2800</v>
      </c>
    </row>
    <row r="23" spans="2:22" ht="15" customHeight="1" x14ac:dyDescent="0.15">
      <c r="B23" s="612"/>
      <c r="C23" s="29"/>
      <c r="D23" s="29"/>
      <c r="E23" s="36"/>
      <c r="F23" s="29"/>
      <c r="G23" s="150">
        <f>D23*F23</f>
        <v>0</v>
      </c>
      <c r="H23" s="162"/>
      <c r="I23" s="612"/>
      <c r="J23" s="29"/>
      <c r="K23" s="169"/>
      <c r="L23" s="169"/>
      <c r="M23" s="169"/>
      <c r="N23" s="150">
        <f t="shared" ref="N23:N24" si="12">K23*L23*M23</f>
        <v>0</v>
      </c>
      <c r="O23" s="184"/>
      <c r="P23" s="252" t="s">
        <v>369</v>
      </c>
      <c r="Q23" s="146">
        <v>1</v>
      </c>
      <c r="R23" s="380" t="s">
        <v>374</v>
      </c>
      <c r="S23" s="146">
        <v>8500</v>
      </c>
      <c r="T23" s="706">
        <v>5</v>
      </c>
      <c r="U23" s="707"/>
      <c r="V23" s="177">
        <f t="shared" si="1"/>
        <v>1700</v>
      </c>
    </row>
    <row r="24" spans="2:22" ht="15" customHeight="1" thickBot="1" x14ac:dyDescent="0.2">
      <c r="B24" s="705"/>
      <c r="C24" s="156" t="s">
        <v>121</v>
      </c>
      <c r="D24" s="157"/>
      <c r="E24" s="157"/>
      <c r="F24" s="164"/>
      <c r="G24" s="158">
        <f>SUM(G21:G23)</f>
        <v>0</v>
      </c>
      <c r="I24" s="612"/>
      <c r="J24" s="29"/>
      <c r="K24" s="169"/>
      <c r="L24" s="169"/>
      <c r="M24" s="169"/>
      <c r="N24" s="150">
        <f t="shared" si="12"/>
        <v>0</v>
      </c>
      <c r="O24" s="184"/>
      <c r="P24" s="252" t="s">
        <v>370</v>
      </c>
      <c r="Q24" s="146">
        <v>1</v>
      </c>
      <c r="R24" s="380" t="s">
        <v>193</v>
      </c>
      <c r="S24" s="146">
        <v>41970</v>
      </c>
      <c r="T24" s="706">
        <v>2</v>
      </c>
      <c r="U24" s="707"/>
      <c r="V24" s="177">
        <f t="shared" si="1"/>
        <v>20985</v>
      </c>
    </row>
    <row r="25" spans="2:22" ht="15" customHeight="1" thickBot="1" x14ac:dyDescent="0.2">
      <c r="H25" s="163"/>
      <c r="I25" s="703"/>
      <c r="J25" s="253" t="s">
        <v>196</v>
      </c>
      <c r="K25" s="170">
        <f>SUM(K22:K24)</f>
        <v>0</v>
      </c>
      <c r="L25" s="171">
        <f>SUM(L22:L24)</f>
        <v>0</v>
      </c>
      <c r="M25" s="172"/>
      <c r="N25" s="165">
        <f>SUM(N22:N24)</f>
        <v>0</v>
      </c>
      <c r="O25" s="184"/>
      <c r="P25" s="252" t="s">
        <v>371</v>
      </c>
      <c r="Q25" s="146">
        <v>1</v>
      </c>
      <c r="R25" s="319"/>
      <c r="S25" s="146">
        <v>15000</v>
      </c>
      <c r="T25" s="706">
        <v>1</v>
      </c>
      <c r="U25" s="707"/>
      <c r="V25" s="177">
        <f t="shared" si="1"/>
        <v>15000</v>
      </c>
    </row>
    <row r="26" spans="2:22" ht="15" customHeight="1" thickTop="1" thickBot="1" x14ac:dyDescent="0.2">
      <c r="B26" s="5" t="s">
        <v>198</v>
      </c>
      <c r="C26" s="5"/>
      <c r="D26" s="32"/>
      <c r="E26" s="5"/>
      <c r="F26" s="32"/>
      <c r="G26" s="33"/>
      <c r="H26" s="161"/>
      <c r="I26" s="704" t="s">
        <v>240</v>
      </c>
      <c r="J26" s="29" t="s">
        <v>342</v>
      </c>
      <c r="K26" s="169"/>
      <c r="L26" s="169">
        <v>5200</v>
      </c>
      <c r="M26" s="169">
        <v>95.2</v>
      </c>
      <c r="N26" s="150">
        <f>L26*M26</f>
        <v>495040</v>
      </c>
      <c r="O26" s="184"/>
      <c r="P26" s="252"/>
      <c r="Q26" s="146"/>
      <c r="R26" s="182"/>
      <c r="S26" s="146"/>
      <c r="T26" s="706"/>
      <c r="U26" s="707"/>
      <c r="V26" s="177"/>
    </row>
    <row r="27" spans="2:22" ht="15" customHeight="1" x14ac:dyDescent="0.15">
      <c r="B27" s="248" t="s">
        <v>72</v>
      </c>
      <c r="C27" s="160" t="s">
        <v>110</v>
      </c>
      <c r="D27" s="160" t="s">
        <v>111</v>
      </c>
      <c r="E27" s="160" t="s">
        <v>112</v>
      </c>
      <c r="F27" s="160" t="s">
        <v>21</v>
      </c>
      <c r="G27" s="148" t="s">
        <v>113</v>
      </c>
      <c r="H27" s="162"/>
      <c r="I27" s="612"/>
      <c r="J27" s="29"/>
      <c r="K27" s="169"/>
      <c r="L27" s="169"/>
      <c r="M27" s="169"/>
      <c r="N27" s="150">
        <f t="shared" ref="N27:N28" si="13">K27*L27*M27</f>
        <v>0</v>
      </c>
      <c r="O27" s="184"/>
      <c r="P27" s="252"/>
      <c r="Q27" s="146"/>
      <c r="R27" s="182"/>
      <c r="S27" s="146"/>
      <c r="T27" s="706"/>
      <c r="U27" s="707"/>
      <c r="V27" s="177"/>
    </row>
    <row r="28" spans="2:22" ht="15" customHeight="1" thickBot="1" x14ac:dyDescent="0.2">
      <c r="B28" s="611" t="s">
        <v>27</v>
      </c>
      <c r="C28" s="29" t="s">
        <v>442</v>
      </c>
      <c r="D28" s="29">
        <v>3.5</v>
      </c>
      <c r="E28" s="36" t="s">
        <v>115</v>
      </c>
      <c r="F28" s="29">
        <v>667</v>
      </c>
      <c r="G28" s="149">
        <f>D28*F28</f>
        <v>2334.5</v>
      </c>
      <c r="H28" s="162"/>
      <c r="I28" s="612"/>
      <c r="J28" s="29"/>
      <c r="K28" s="169"/>
      <c r="L28" s="169"/>
      <c r="M28" s="169"/>
      <c r="N28" s="150">
        <f t="shared" si="13"/>
        <v>0</v>
      </c>
      <c r="O28" s="184"/>
      <c r="P28" s="178" t="s">
        <v>26</v>
      </c>
      <c r="Q28" s="179"/>
      <c r="R28" s="179"/>
      <c r="S28" s="179"/>
      <c r="T28" s="717"/>
      <c r="U28" s="718"/>
      <c r="V28" s="180">
        <f>SUM(V5:V27)</f>
        <v>332888.75</v>
      </c>
    </row>
    <row r="29" spans="2:22" ht="15" customHeight="1" thickBot="1" x14ac:dyDescent="0.2">
      <c r="B29" s="612"/>
      <c r="C29" s="29" t="s">
        <v>444</v>
      </c>
      <c r="D29" s="29">
        <v>2</v>
      </c>
      <c r="E29" s="36" t="s">
        <v>115</v>
      </c>
      <c r="F29" s="29">
        <v>700</v>
      </c>
      <c r="G29" s="150">
        <f t="shared" ref="G29:G37" si="14">D29*F29</f>
        <v>1400</v>
      </c>
      <c r="H29" s="162"/>
      <c r="I29" s="703"/>
      <c r="J29" s="253" t="s">
        <v>194</v>
      </c>
      <c r="K29" s="170">
        <f>SUM(K26:K28)</f>
        <v>0</v>
      </c>
      <c r="L29" s="171">
        <f>SUM(L26:L28)</f>
        <v>5200</v>
      </c>
      <c r="M29" s="172"/>
      <c r="N29" s="165">
        <f>SUM(N26:N28)</f>
        <v>495040</v>
      </c>
      <c r="O29" s="31"/>
    </row>
    <row r="30" spans="2:22" ht="15" customHeight="1" thickTop="1" thickBot="1" x14ac:dyDescent="0.2">
      <c r="B30" s="612"/>
      <c r="C30" s="29" t="s">
        <v>445</v>
      </c>
      <c r="D30" s="29">
        <v>3</v>
      </c>
      <c r="E30" s="36" t="s">
        <v>115</v>
      </c>
      <c r="F30" s="29">
        <v>1629</v>
      </c>
      <c r="G30" s="150">
        <f t="shared" si="14"/>
        <v>4887</v>
      </c>
      <c r="H30" s="162"/>
      <c r="I30" s="704" t="s">
        <v>143</v>
      </c>
      <c r="J30" s="29" t="s">
        <v>343</v>
      </c>
      <c r="K30" s="169">
        <v>14</v>
      </c>
      <c r="L30" s="169">
        <v>20</v>
      </c>
      <c r="M30" s="169">
        <v>14</v>
      </c>
      <c r="N30" s="150">
        <f>K30*L30*M30</f>
        <v>3920</v>
      </c>
      <c r="P30" s="174" t="s">
        <v>189</v>
      </c>
    </row>
    <row r="31" spans="2:22" ht="15" customHeight="1" x14ac:dyDescent="0.15">
      <c r="B31" s="612"/>
      <c r="C31" s="29" t="s">
        <v>446</v>
      </c>
      <c r="D31" s="29">
        <v>2</v>
      </c>
      <c r="E31" s="36" t="s">
        <v>115</v>
      </c>
      <c r="F31" s="29">
        <v>3922</v>
      </c>
      <c r="G31" s="150">
        <f t="shared" si="14"/>
        <v>7844</v>
      </c>
      <c r="H31" s="162"/>
      <c r="I31" s="612"/>
      <c r="J31" s="29" t="s">
        <v>344</v>
      </c>
      <c r="K31" s="169">
        <v>95</v>
      </c>
      <c r="L31" s="169">
        <v>0.4</v>
      </c>
      <c r="M31" s="169">
        <v>14</v>
      </c>
      <c r="N31" s="150">
        <f t="shared" ref="N31:N32" si="15">K31*L31*M31</f>
        <v>532</v>
      </c>
      <c r="P31" s="249" t="s">
        <v>155</v>
      </c>
      <c r="Q31" s="250" t="s">
        <v>149</v>
      </c>
      <c r="R31" s="250" t="s">
        <v>150</v>
      </c>
      <c r="S31" s="250" t="s">
        <v>197</v>
      </c>
      <c r="T31" s="250" t="s">
        <v>152</v>
      </c>
      <c r="U31" s="310" t="s">
        <v>236</v>
      </c>
      <c r="V31" s="251" t="s">
        <v>153</v>
      </c>
    </row>
    <row r="32" spans="2:22" ht="15" customHeight="1" x14ac:dyDescent="0.15">
      <c r="B32" s="612"/>
      <c r="C32" s="323" t="s">
        <v>447</v>
      </c>
      <c r="D32" s="323">
        <v>1</v>
      </c>
      <c r="E32" s="36" t="s">
        <v>115</v>
      </c>
      <c r="F32" s="323">
        <v>8614</v>
      </c>
      <c r="G32" s="150">
        <f t="shared" si="14"/>
        <v>8614</v>
      </c>
      <c r="H32" s="162"/>
      <c r="I32" s="612"/>
      <c r="J32" s="29"/>
      <c r="K32" s="169"/>
      <c r="L32" s="169"/>
      <c r="M32" s="169"/>
      <c r="N32" s="150">
        <f t="shared" si="15"/>
        <v>0</v>
      </c>
      <c r="P32" s="252" t="s">
        <v>388</v>
      </c>
      <c r="Q32" s="146">
        <v>3</v>
      </c>
      <c r="R32" s="311" t="s">
        <v>237</v>
      </c>
      <c r="S32" s="146">
        <v>1000</v>
      </c>
      <c r="T32" s="146">
        <v>5</v>
      </c>
      <c r="U32" s="147">
        <v>25</v>
      </c>
      <c r="V32" s="177">
        <f>Q32*S32/T32/U32*10</f>
        <v>240</v>
      </c>
    </row>
    <row r="33" spans="2:22" ht="15" customHeight="1" thickBot="1" x14ac:dyDescent="0.2">
      <c r="B33" s="612"/>
      <c r="C33" s="323" t="s">
        <v>448</v>
      </c>
      <c r="D33" s="323">
        <v>3</v>
      </c>
      <c r="E33" s="36" t="s">
        <v>115</v>
      </c>
      <c r="F33" s="323">
        <v>948</v>
      </c>
      <c r="G33" s="150">
        <f t="shared" si="14"/>
        <v>2844</v>
      </c>
      <c r="H33" s="162"/>
      <c r="I33" s="705"/>
      <c r="J33" s="254" t="s">
        <v>199</v>
      </c>
      <c r="K33" s="173">
        <f>SUM(K30:K32)</f>
        <v>109</v>
      </c>
      <c r="L33" s="175">
        <f>SUM(L30:L32)</f>
        <v>20.399999999999999</v>
      </c>
      <c r="M33" s="176"/>
      <c r="N33" s="167">
        <f>SUM(N30:N32)</f>
        <v>4452</v>
      </c>
      <c r="P33" s="252" t="s">
        <v>390</v>
      </c>
      <c r="Q33" s="146">
        <v>3</v>
      </c>
      <c r="R33" s="182" t="s">
        <v>391</v>
      </c>
      <c r="S33" s="146">
        <v>10000</v>
      </c>
      <c r="T33" s="146">
        <v>5</v>
      </c>
      <c r="U33" s="147">
        <v>25</v>
      </c>
      <c r="V33" s="177">
        <f>Q33*S33/T33/U33*10</f>
        <v>2400</v>
      </c>
    </row>
    <row r="34" spans="2:22" ht="15" customHeight="1" x14ac:dyDescent="0.15">
      <c r="B34" s="612"/>
      <c r="C34" s="29" t="s">
        <v>449</v>
      </c>
      <c r="D34" s="29">
        <f>168/2/100</f>
        <v>0.84</v>
      </c>
      <c r="E34" s="36" t="s">
        <v>115</v>
      </c>
      <c r="F34" s="29">
        <v>1274</v>
      </c>
      <c r="G34" s="150">
        <f t="shared" si="14"/>
        <v>1070.1599999999999</v>
      </c>
      <c r="H34" s="162"/>
      <c r="I34" s="141"/>
      <c r="J34" s="141"/>
      <c r="K34" s="141"/>
      <c r="L34" s="141"/>
      <c r="M34" s="141"/>
      <c r="N34" s="141"/>
      <c r="P34" s="252"/>
      <c r="Q34" s="146"/>
      <c r="R34" s="182"/>
      <c r="S34" s="146"/>
      <c r="T34" s="146"/>
      <c r="U34" s="147"/>
      <c r="V34" s="177"/>
    </row>
    <row r="35" spans="2:22" ht="15" customHeight="1" thickBot="1" x14ac:dyDescent="0.2">
      <c r="B35" s="612"/>
      <c r="C35" s="29" t="s">
        <v>451</v>
      </c>
      <c r="D35" s="29">
        <v>1</v>
      </c>
      <c r="E35" s="36" t="s">
        <v>115</v>
      </c>
      <c r="F35" s="29">
        <v>4000</v>
      </c>
      <c r="G35" s="150">
        <f t="shared" si="14"/>
        <v>4000</v>
      </c>
      <c r="H35" s="162"/>
      <c r="I35" s="135" t="s">
        <v>187</v>
      </c>
      <c r="J35" s="128"/>
      <c r="K35" s="128"/>
      <c r="L35" s="128"/>
      <c r="M35" s="128"/>
      <c r="P35" s="252"/>
      <c r="Q35" s="146"/>
      <c r="R35" s="182"/>
      <c r="S35" s="146"/>
      <c r="T35" s="146"/>
      <c r="U35" s="147"/>
      <c r="V35" s="177"/>
    </row>
    <row r="36" spans="2:22" ht="15" customHeight="1" thickBot="1" x14ac:dyDescent="0.2">
      <c r="B36" s="612"/>
      <c r="C36" s="29" t="s">
        <v>452</v>
      </c>
      <c r="D36" s="29">
        <f>854/2/500</f>
        <v>0.85399999999999998</v>
      </c>
      <c r="E36" s="36" t="s">
        <v>115</v>
      </c>
      <c r="F36" s="29">
        <v>9280</v>
      </c>
      <c r="G36" s="150">
        <f t="shared" si="14"/>
        <v>7925.12</v>
      </c>
      <c r="H36" s="162"/>
      <c r="I36" s="228" t="s">
        <v>174</v>
      </c>
      <c r="J36" s="229" t="s">
        <v>3</v>
      </c>
      <c r="K36" s="708" t="s">
        <v>175</v>
      </c>
      <c r="L36" s="709"/>
      <c r="M36" s="314" t="s">
        <v>236</v>
      </c>
      <c r="N36" s="255" t="s">
        <v>200</v>
      </c>
      <c r="P36" s="256" t="s">
        <v>179</v>
      </c>
      <c r="Q36" s="179"/>
      <c r="R36" s="179"/>
      <c r="S36" s="179"/>
      <c r="T36" s="179"/>
      <c r="U36" s="181"/>
      <c r="V36" s="180">
        <f>SUM(V32:V35)</f>
        <v>2640</v>
      </c>
    </row>
    <row r="37" spans="2:22" ht="15" customHeight="1" x14ac:dyDescent="0.15">
      <c r="B37" s="612"/>
      <c r="C37" s="29" t="s">
        <v>453</v>
      </c>
      <c r="D37" s="29">
        <v>2.15</v>
      </c>
      <c r="E37" s="36" t="s">
        <v>115</v>
      </c>
      <c r="F37" s="29">
        <v>2805</v>
      </c>
      <c r="G37" s="150">
        <f t="shared" si="14"/>
        <v>6030.75</v>
      </c>
      <c r="H37" s="162"/>
      <c r="I37" s="690" t="s">
        <v>0</v>
      </c>
      <c r="J37" s="159" t="s">
        <v>221</v>
      </c>
      <c r="K37" s="699">
        <v>2160000</v>
      </c>
      <c r="L37" s="699"/>
      <c r="M37" s="392">
        <v>25</v>
      </c>
      <c r="N37" s="242">
        <f>+K37/M37*10*0.014*0.3</f>
        <v>3628.7999999999997</v>
      </c>
      <c r="O37" s="174"/>
    </row>
    <row r="38" spans="2:22" ht="15" customHeight="1" thickBot="1" x14ac:dyDescent="0.2">
      <c r="B38" s="703"/>
      <c r="C38" s="151" t="s">
        <v>117</v>
      </c>
      <c r="D38" s="151"/>
      <c r="E38" s="151"/>
      <c r="F38" s="151"/>
      <c r="G38" s="152">
        <f>SUM(G28:G37)</f>
        <v>46949.530000000006</v>
      </c>
      <c r="H38" s="162"/>
      <c r="I38" s="738"/>
      <c r="J38" s="159" t="s">
        <v>309</v>
      </c>
      <c r="K38" s="699">
        <v>2160000</v>
      </c>
      <c r="L38" s="699"/>
      <c r="M38" s="392">
        <v>25</v>
      </c>
      <c r="N38" s="242">
        <f>+K38/M38*10*0.014*0.3</f>
        <v>3628.7999999999997</v>
      </c>
      <c r="O38" s="174"/>
      <c r="P38" s="135" t="s">
        <v>180</v>
      </c>
      <c r="Q38" s="128"/>
      <c r="R38" s="128"/>
      <c r="S38" s="128"/>
      <c r="T38" s="128"/>
    </row>
    <row r="39" spans="2:22" ht="15" customHeight="1" thickTop="1" x14ac:dyDescent="0.15">
      <c r="B39" s="704" t="s">
        <v>139</v>
      </c>
      <c r="C39" s="29" t="s">
        <v>442</v>
      </c>
      <c r="D39" s="29">
        <v>1</v>
      </c>
      <c r="E39" s="36" t="s">
        <v>115</v>
      </c>
      <c r="F39" s="29">
        <v>5564</v>
      </c>
      <c r="G39" s="150">
        <f>D39*F39</f>
        <v>5564</v>
      </c>
      <c r="H39" s="162"/>
      <c r="I39" s="738"/>
      <c r="J39" s="159"/>
      <c r="K39" s="699"/>
      <c r="L39" s="699"/>
      <c r="M39" s="392"/>
      <c r="N39" s="242"/>
      <c r="O39" s="174"/>
      <c r="P39" s="228" t="s">
        <v>173</v>
      </c>
      <c r="Q39" s="710" t="s">
        <v>181</v>
      </c>
      <c r="R39" s="710"/>
      <c r="S39" s="241" t="s">
        <v>184</v>
      </c>
      <c r="T39" s="241" t="s">
        <v>183</v>
      </c>
      <c r="U39" s="313" t="s">
        <v>236</v>
      </c>
      <c r="V39" s="257" t="s">
        <v>200</v>
      </c>
    </row>
    <row r="40" spans="2:22" ht="15" customHeight="1" x14ac:dyDescent="0.15">
      <c r="B40" s="612"/>
      <c r="C40" s="29" t="s">
        <v>454</v>
      </c>
      <c r="D40" s="29">
        <v>1</v>
      </c>
      <c r="E40" s="36" t="s">
        <v>115</v>
      </c>
      <c r="F40" s="29">
        <v>5152</v>
      </c>
      <c r="G40" s="150">
        <f>D40*F40</f>
        <v>5152</v>
      </c>
      <c r="H40" s="162"/>
      <c r="I40" s="738"/>
      <c r="J40" s="159"/>
      <c r="K40" s="699"/>
      <c r="L40" s="699"/>
      <c r="M40" s="392"/>
      <c r="N40" s="242"/>
      <c r="O40" s="174"/>
      <c r="P40" s="735" t="s">
        <v>182</v>
      </c>
      <c r="Q40" s="398" t="s">
        <v>186</v>
      </c>
      <c r="R40" s="399" t="s">
        <v>408</v>
      </c>
      <c r="S40" s="400">
        <f>17000*U40/10*(9/12)</f>
        <v>31875</v>
      </c>
      <c r="T40" s="401">
        <v>1</v>
      </c>
      <c r="U40" s="400">
        <v>25</v>
      </c>
      <c r="V40" s="402">
        <f t="shared" ref="V40" si="16">+S40*T40/U40*10</f>
        <v>12750</v>
      </c>
    </row>
    <row r="41" spans="2:22" ht="15" customHeight="1" x14ac:dyDescent="0.15">
      <c r="B41" s="612"/>
      <c r="C41" s="29" t="s">
        <v>455</v>
      </c>
      <c r="D41" s="29">
        <v>1</v>
      </c>
      <c r="E41" s="36" t="s">
        <v>115</v>
      </c>
      <c r="F41" s="29">
        <v>4576</v>
      </c>
      <c r="G41" s="150">
        <f t="shared" ref="G41:G47" si="17">D41*F41</f>
        <v>4576</v>
      </c>
      <c r="H41" s="162"/>
      <c r="I41" s="738"/>
      <c r="J41" s="159"/>
      <c r="K41" s="699"/>
      <c r="L41" s="699"/>
      <c r="M41" s="227"/>
      <c r="N41" s="242"/>
      <c r="O41" s="174"/>
      <c r="P41" s="733"/>
      <c r="Q41" s="234"/>
      <c r="R41" s="261"/>
      <c r="S41" s="235"/>
      <c r="T41" s="262"/>
      <c r="U41" s="235"/>
      <c r="V41" s="242"/>
    </row>
    <row r="42" spans="2:22" ht="15" customHeight="1" x14ac:dyDescent="0.15">
      <c r="B42" s="612"/>
      <c r="C42" s="323" t="s">
        <v>446</v>
      </c>
      <c r="D42" s="323">
        <v>1</v>
      </c>
      <c r="E42" s="36" t="s">
        <v>115</v>
      </c>
      <c r="F42" s="323">
        <v>6574</v>
      </c>
      <c r="G42" s="150">
        <f t="shared" si="17"/>
        <v>6574</v>
      </c>
      <c r="H42" s="162"/>
      <c r="I42" s="738"/>
      <c r="J42" s="159"/>
      <c r="K42" s="699"/>
      <c r="L42" s="699"/>
      <c r="M42" s="227"/>
      <c r="N42" s="242"/>
      <c r="O42" s="174"/>
      <c r="P42" s="733"/>
      <c r="Q42" s="234"/>
      <c r="R42" s="261"/>
      <c r="S42" s="235"/>
      <c r="T42" s="262"/>
      <c r="U42" s="235"/>
      <c r="V42" s="242"/>
    </row>
    <row r="43" spans="2:22" ht="15" customHeight="1" x14ac:dyDescent="0.15">
      <c r="B43" s="612"/>
      <c r="C43" s="323" t="s">
        <v>456</v>
      </c>
      <c r="D43" s="323">
        <v>1</v>
      </c>
      <c r="E43" s="36" t="s">
        <v>115</v>
      </c>
      <c r="F43" s="323">
        <v>3450</v>
      </c>
      <c r="G43" s="150">
        <f t="shared" si="17"/>
        <v>3450</v>
      </c>
      <c r="H43" s="162"/>
      <c r="I43" s="738"/>
      <c r="J43" s="159"/>
      <c r="K43" s="699"/>
      <c r="L43" s="699"/>
      <c r="M43" s="227"/>
      <c r="N43" s="242"/>
      <c r="O43" s="174"/>
      <c r="P43" s="733"/>
      <c r="Q43" s="234"/>
      <c r="R43" s="261"/>
      <c r="S43" s="235"/>
      <c r="T43" s="262"/>
      <c r="U43" s="235"/>
      <c r="V43" s="242"/>
    </row>
    <row r="44" spans="2:22" ht="15" customHeight="1" thickBot="1" x14ac:dyDescent="0.2">
      <c r="B44" s="612"/>
      <c r="C44" s="29" t="s">
        <v>457</v>
      </c>
      <c r="D44" s="29">
        <v>1</v>
      </c>
      <c r="E44" s="36" t="s">
        <v>115</v>
      </c>
      <c r="F44" s="29">
        <v>1553</v>
      </c>
      <c r="G44" s="150">
        <f t="shared" si="17"/>
        <v>1553</v>
      </c>
      <c r="H44" s="162"/>
      <c r="I44" s="739"/>
      <c r="J44" s="230" t="s">
        <v>118</v>
      </c>
      <c r="K44" s="697"/>
      <c r="L44" s="698"/>
      <c r="M44" s="231"/>
      <c r="N44" s="238">
        <f>SUM(N37:N43)</f>
        <v>7257.5999999999995</v>
      </c>
      <c r="O44" s="174"/>
      <c r="P44" s="733"/>
      <c r="Q44" s="234"/>
      <c r="R44" s="261"/>
      <c r="S44" s="235"/>
      <c r="T44" s="262"/>
      <c r="U44" s="235"/>
      <c r="V44" s="242"/>
    </row>
    <row r="45" spans="2:22" ht="15" customHeight="1" thickTop="1" x14ac:dyDescent="0.15">
      <c r="B45" s="612"/>
      <c r="C45" s="29" t="s">
        <v>450</v>
      </c>
      <c r="D45" s="29">
        <v>1</v>
      </c>
      <c r="E45" s="36" t="s">
        <v>115</v>
      </c>
      <c r="F45" s="29">
        <v>4229</v>
      </c>
      <c r="G45" s="150">
        <f t="shared" si="17"/>
        <v>4229</v>
      </c>
      <c r="H45" s="162"/>
      <c r="I45" s="688" t="s">
        <v>176</v>
      </c>
      <c r="J45" s="395" t="s">
        <v>190</v>
      </c>
      <c r="K45" s="716">
        <v>4100</v>
      </c>
      <c r="L45" s="716"/>
      <c r="M45" s="396">
        <v>25</v>
      </c>
      <c r="N45" s="397">
        <f>K45/M45*10</f>
        <v>1640</v>
      </c>
      <c r="O45" s="174"/>
      <c r="P45" s="733"/>
      <c r="Q45" s="234"/>
      <c r="R45" s="261"/>
      <c r="S45" s="235"/>
      <c r="T45" s="262"/>
      <c r="U45" s="235"/>
      <c r="V45" s="242"/>
    </row>
    <row r="46" spans="2:22" ht="15" customHeight="1" thickBot="1" x14ac:dyDescent="0.2">
      <c r="B46" s="612"/>
      <c r="C46" s="29" t="s">
        <v>451</v>
      </c>
      <c r="D46" s="29">
        <v>11</v>
      </c>
      <c r="E46" s="36" t="s">
        <v>115</v>
      </c>
      <c r="F46" s="29">
        <v>5220</v>
      </c>
      <c r="G46" s="150">
        <f t="shared" si="17"/>
        <v>57420</v>
      </c>
      <c r="H46" s="162"/>
      <c r="I46" s="689"/>
      <c r="J46" s="234"/>
      <c r="K46" s="699"/>
      <c r="L46" s="699"/>
      <c r="M46" s="227"/>
      <c r="N46" s="242"/>
      <c r="O46" s="174"/>
      <c r="P46" s="736"/>
      <c r="Q46" s="243" t="s">
        <v>185</v>
      </c>
      <c r="R46" s="244"/>
      <c r="S46" s="244"/>
      <c r="T46" s="244"/>
      <c r="U46" s="244"/>
      <c r="V46" s="245">
        <f>SUM(V40:V45)</f>
        <v>12750</v>
      </c>
    </row>
    <row r="47" spans="2:22" ht="15" customHeight="1" thickTop="1" x14ac:dyDescent="0.15">
      <c r="B47" s="612"/>
      <c r="C47" s="29" t="s">
        <v>452</v>
      </c>
      <c r="D47" s="29">
        <v>2</v>
      </c>
      <c r="E47" s="29" t="s">
        <v>313</v>
      </c>
      <c r="F47" s="29">
        <v>12969</v>
      </c>
      <c r="G47" s="150">
        <f t="shared" si="17"/>
        <v>25938</v>
      </c>
      <c r="H47" s="162"/>
      <c r="I47" s="689"/>
      <c r="J47" s="159"/>
      <c r="K47" s="699"/>
      <c r="L47" s="699"/>
      <c r="M47" s="227"/>
      <c r="N47" s="242"/>
      <c r="O47" s="174"/>
      <c r="P47" s="732" t="s">
        <v>191</v>
      </c>
      <c r="Q47" s="729" t="s">
        <v>201</v>
      </c>
      <c r="R47" s="263" t="s">
        <v>190</v>
      </c>
      <c r="S47" s="234">
        <v>15600</v>
      </c>
      <c r="T47" s="262">
        <v>1</v>
      </c>
      <c r="U47" s="234">
        <v>25</v>
      </c>
      <c r="V47" s="242">
        <f t="shared" ref="V47" si="18">+S47*T47/U47*10</f>
        <v>6240</v>
      </c>
    </row>
    <row r="48" spans="2:22" ht="15" customHeight="1" thickBot="1" x14ac:dyDescent="0.2">
      <c r="B48" s="612"/>
      <c r="C48" s="29"/>
      <c r="D48" s="29"/>
      <c r="E48" s="29"/>
      <c r="F48" s="29"/>
      <c r="G48" s="150">
        <f t="shared" ref="G48:G52" si="19">D48*F48</f>
        <v>0</v>
      </c>
      <c r="H48" s="162"/>
      <c r="I48" s="715"/>
      <c r="J48" s="230" t="s">
        <v>118</v>
      </c>
      <c r="K48" s="697"/>
      <c r="L48" s="698"/>
      <c r="M48" s="231"/>
      <c r="N48" s="238">
        <f>SUM(N45:N47)</f>
        <v>1640</v>
      </c>
      <c r="O48" s="174"/>
      <c r="P48" s="733"/>
      <c r="Q48" s="730"/>
      <c r="R48" s="263"/>
      <c r="S48" s="234"/>
      <c r="T48" s="262"/>
      <c r="U48" s="234"/>
      <c r="V48" s="242"/>
    </row>
    <row r="49" spans="2:22" ht="15" customHeight="1" thickTop="1" thickBot="1" x14ac:dyDescent="0.2">
      <c r="B49" s="703"/>
      <c r="C49" s="153" t="s">
        <v>118</v>
      </c>
      <c r="D49" s="154"/>
      <c r="E49" s="154"/>
      <c r="F49" s="154"/>
      <c r="G49" s="155">
        <f>SUM(G39:G48)</f>
        <v>114456</v>
      </c>
      <c r="H49" s="162"/>
      <c r="I49" s="688" t="s">
        <v>177</v>
      </c>
      <c r="J49" s="232"/>
      <c r="K49" s="702"/>
      <c r="L49" s="702"/>
      <c r="M49" s="233"/>
      <c r="N49" s="258"/>
      <c r="O49" s="174"/>
      <c r="P49" s="733"/>
      <c r="Q49" s="730"/>
      <c r="R49" s="263"/>
      <c r="S49" s="234"/>
      <c r="T49" s="234"/>
      <c r="U49" s="159"/>
      <c r="V49" s="242"/>
    </row>
    <row r="50" spans="2:22" ht="15" customHeight="1" thickTop="1" x14ac:dyDescent="0.15">
      <c r="B50" s="704" t="s">
        <v>29</v>
      </c>
      <c r="C50" s="29" t="s">
        <v>443</v>
      </c>
      <c r="D50" s="29">
        <v>1</v>
      </c>
      <c r="E50" s="36" t="s">
        <v>296</v>
      </c>
      <c r="F50" s="29">
        <v>5861</v>
      </c>
      <c r="G50" s="150">
        <f t="shared" si="19"/>
        <v>5861</v>
      </c>
      <c r="H50" s="162"/>
      <c r="I50" s="689"/>
      <c r="J50" s="234"/>
      <c r="K50" s="699"/>
      <c r="L50" s="699"/>
      <c r="M50" s="227"/>
      <c r="N50" s="242"/>
      <c r="O50" s="174"/>
      <c r="P50" s="733"/>
      <c r="Q50" s="730"/>
      <c r="R50" s="263"/>
      <c r="S50" s="234"/>
      <c r="T50" s="262"/>
      <c r="U50" s="234"/>
      <c r="V50" s="242"/>
    </row>
    <row r="51" spans="2:22" ht="15" customHeight="1" x14ac:dyDescent="0.15">
      <c r="B51" s="612"/>
      <c r="C51" s="29"/>
      <c r="D51" s="29"/>
      <c r="E51" s="29"/>
      <c r="F51" s="29"/>
      <c r="G51" s="150">
        <f t="shared" si="19"/>
        <v>0</v>
      </c>
      <c r="H51" s="162"/>
      <c r="I51" s="689"/>
      <c r="J51" s="159"/>
      <c r="K51" s="699"/>
      <c r="L51" s="699"/>
      <c r="M51" s="227"/>
      <c r="N51" s="242"/>
      <c r="O51" s="174"/>
      <c r="P51" s="733"/>
      <c r="Q51" s="731"/>
      <c r="R51" s="263"/>
      <c r="S51" s="234"/>
      <c r="T51" s="234"/>
      <c r="U51" s="159"/>
      <c r="V51" s="264"/>
    </row>
    <row r="52" spans="2:22" ht="15" customHeight="1" thickBot="1" x14ac:dyDescent="0.2">
      <c r="B52" s="612"/>
      <c r="C52" s="29"/>
      <c r="D52" s="29"/>
      <c r="E52" s="29"/>
      <c r="F52" s="29"/>
      <c r="G52" s="150">
        <f t="shared" si="19"/>
        <v>0</v>
      </c>
      <c r="H52" s="162"/>
      <c r="I52" s="715"/>
      <c r="J52" s="230" t="s">
        <v>118</v>
      </c>
      <c r="K52" s="697"/>
      <c r="L52" s="698"/>
      <c r="M52" s="231"/>
      <c r="N52" s="238">
        <f>SUM(N49:N51)</f>
        <v>0</v>
      </c>
      <c r="O52" s="174"/>
      <c r="P52" s="733"/>
      <c r="Q52" s="243" t="s">
        <v>185</v>
      </c>
      <c r="R52" s="244"/>
      <c r="S52" s="244"/>
      <c r="T52" s="244"/>
      <c r="U52" s="244"/>
      <c r="V52" s="245">
        <f>SUM(V47:V51)</f>
        <v>6240</v>
      </c>
    </row>
    <row r="53" spans="2:22" ht="15" thickTop="1" thickBot="1" x14ac:dyDescent="0.2">
      <c r="B53" s="703"/>
      <c r="C53" s="153" t="s">
        <v>118</v>
      </c>
      <c r="D53" s="154"/>
      <c r="E53" s="154"/>
      <c r="F53" s="154"/>
      <c r="G53" s="155">
        <f>SUM(G50:G52)</f>
        <v>5861</v>
      </c>
      <c r="I53" s="688" t="s">
        <v>178</v>
      </c>
      <c r="J53" s="232" t="s">
        <v>43</v>
      </c>
      <c r="K53" s="691">
        <v>2400</v>
      </c>
      <c r="L53" s="692"/>
      <c r="M53" s="246">
        <v>25</v>
      </c>
      <c r="N53" s="259">
        <f>+K53/M53*10</f>
        <v>960</v>
      </c>
      <c r="O53" s="174"/>
      <c r="P53" s="733"/>
      <c r="Q53" s="729" t="s">
        <v>202</v>
      </c>
      <c r="R53" s="263" t="s">
        <v>190</v>
      </c>
      <c r="S53" s="234">
        <v>25000</v>
      </c>
      <c r="T53" s="262">
        <v>1</v>
      </c>
      <c r="U53" s="234">
        <v>25</v>
      </c>
      <c r="V53" s="242">
        <f t="shared" ref="V53" si="20">+S53*T53/U53*10</f>
        <v>10000</v>
      </c>
    </row>
    <row r="54" spans="2:22" ht="14.25" thickTop="1" x14ac:dyDescent="0.15">
      <c r="B54" s="704" t="s">
        <v>141</v>
      </c>
      <c r="C54" s="29" t="s">
        <v>442</v>
      </c>
      <c r="D54" s="29">
        <f>1010/2/500</f>
        <v>1.01</v>
      </c>
      <c r="E54" s="36" t="s">
        <v>120</v>
      </c>
      <c r="F54" s="29">
        <v>661</v>
      </c>
      <c r="G54" s="150">
        <f>D54*F54</f>
        <v>667.61</v>
      </c>
      <c r="I54" s="689"/>
      <c r="J54" s="234" t="s">
        <v>352</v>
      </c>
      <c r="K54" s="693">
        <v>5000</v>
      </c>
      <c r="L54" s="694"/>
      <c r="M54" s="247">
        <v>25</v>
      </c>
      <c r="N54" s="242">
        <f t="shared" ref="N54" si="21">+K54/M54*10</f>
        <v>2000</v>
      </c>
      <c r="O54" s="174"/>
      <c r="P54" s="733"/>
      <c r="Q54" s="730"/>
      <c r="R54" s="263"/>
      <c r="S54" s="234"/>
      <c r="T54" s="262"/>
      <c r="U54" s="234"/>
      <c r="V54" s="242"/>
    </row>
    <row r="55" spans="2:22" x14ac:dyDescent="0.15">
      <c r="B55" s="612"/>
      <c r="C55" s="29"/>
      <c r="D55" s="29"/>
      <c r="E55" s="36"/>
      <c r="F55" s="29"/>
      <c r="G55" s="150">
        <f>D55*F55</f>
        <v>0</v>
      </c>
      <c r="I55" s="689"/>
      <c r="J55" s="234"/>
      <c r="K55" s="711"/>
      <c r="L55" s="712"/>
      <c r="M55" s="247"/>
      <c r="N55" s="242"/>
      <c r="O55" s="174"/>
      <c r="P55" s="733"/>
      <c r="Q55" s="730"/>
      <c r="R55" s="263"/>
      <c r="S55" s="234"/>
      <c r="T55" s="234"/>
      <c r="U55" s="159"/>
      <c r="V55" s="242"/>
    </row>
    <row r="56" spans="2:22" x14ac:dyDescent="0.15">
      <c r="B56" s="612"/>
      <c r="C56" s="29"/>
      <c r="D56" s="29"/>
      <c r="E56" s="36"/>
      <c r="F56" s="29"/>
      <c r="G56" s="150">
        <f>D56*F56</f>
        <v>0</v>
      </c>
      <c r="I56" s="689"/>
      <c r="J56" s="227"/>
      <c r="K56" s="713"/>
      <c r="L56" s="714"/>
      <c r="M56" s="247"/>
      <c r="N56" s="242"/>
      <c r="O56" s="174"/>
      <c r="P56" s="733"/>
      <c r="Q56" s="730"/>
      <c r="R56" s="263"/>
      <c r="S56" s="234"/>
      <c r="T56" s="262"/>
      <c r="U56" s="234"/>
      <c r="V56" s="242"/>
    </row>
    <row r="57" spans="2:22" ht="14.25" thickBot="1" x14ac:dyDescent="0.2">
      <c r="B57" s="705"/>
      <c r="C57" s="156" t="s">
        <v>121</v>
      </c>
      <c r="D57" s="157"/>
      <c r="E57" s="157"/>
      <c r="F57" s="157"/>
      <c r="G57" s="158">
        <f>SUM(G54:G56)</f>
        <v>667.61</v>
      </c>
      <c r="I57" s="689"/>
      <c r="J57" s="234"/>
      <c r="K57" s="711"/>
      <c r="L57" s="712"/>
      <c r="M57" s="247"/>
      <c r="N57" s="260"/>
      <c r="O57" s="174"/>
      <c r="P57" s="733"/>
      <c r="Q57" s="731"/>
      <c r="R57" s="263"/>
      <c r="S57" s="234"/>
      <c r="T57" s="234"/>
      <c r="U57" s="159"/>
      <c r="V57" s="264"/>
    </row>
    <row r="58" spans="2:22" x14ac:dyDescent="0.15">
      <c r="I58" s="690"/>
      <c r="J58" s="236" t="s">
        <v>118</v>
      </c>
      <c r="K58" s="695"/>
      <c r="L58" s="696"/>
      <c r="M58" s="237"/>
      <c r="N58" s="239">
        <f>SUM(N53:N57)</f>
        <v>2960</v>
      </c>
      <c r="O58" s="174"/>
      <c r="P58" s="734"/>
      <c r="Q58" s="267" t="s">
        <v>185</v>
      </c>
      <c r="R58" s="268"/>
      <c r="S58" s="268"/>
      <c r="T58" s="268"/>
      <c r="U58" s="268"/>
      <c r="V58" s="269">
        <f>SUM(V53:V57)</f>
        <v>10000</v>
      </c>
    </row>
    <row r="59" spans="2:22" ht="14.25" thickBot="1" x14ac:dyDescent="0.2">
      <c r="I59" s="737" t="s">
        <v>179</v>
      </c>
      <c r="J59" s="718"/>
      <c r="K59" s="700"/>
      <c r="L59" s="701"/>
      <c r="M59" s="181"/>
      <c r="N59" s="240">
        <f>SUM(N44,N48,N52,N58)</f>
        <v>11857.599999999999</v>
      </c>
      <c r="O59" s="174"/>
      <c r="P59" s="727" t="s">
        <v>179</v>
      </c>
      <c r="Q59" s="728"/>
      <c r="R59" s="265"/>
      <c r="S59" s="265"/>
      <c r="T59" s="265"/>
      <c r="U59" s="265"/>
      <c r="V59" s="266">
        <f>SUM(V46,V52,V58)</f>
        <v>28990</v>
      </c>
    </row>
    <row r="60" spans="2:22" x14ac:dyDescent="0.15">
      <c r="O60" s="174"/>
      <c r="V60" s="30"/>
    </row>
    <row r="61" spans="2:22" x14ac:dyDescent="0.15">
      <c r="I61" s="174"/>
      <c r="J61" s="174"/>
      <c r="K61" s="174"/>
      <c r="L61" s="174"/>
      <c r="M61" s="174"/>
      <c r="N61" s="174"/>
      <c r="O61" s="174"/>
    </row>
    <row r="62" spans="2:22" x14ac:dyDescent="0.15">
      <c r="I62" s="174"/>
      <c r="J62" s="174"/>
      <c r="K62" s="174"/>
      <c r="L62" s="174"/>
      <c r="M62" s="174"/>
      <c r="N62" s="174"/>
      <c r="O62" s="174"/>
    </row>
    <row r="63" spans="2:22" x14ac:dyDescent="0.15">
      <c r="I63" s="174"/>
      <c r="J63" s="174"/>
      <c r="K63" s="174"/>
      <c r="L63" s="174"/>
      <c r="M63" s="174"/>
      <c r="N63" s="174"/>
      <c r="O63" s="174"/>
    </row>
    <row r="64" spans="2:22" x14ac:dyDescent="0.15">
      <c r="I64" s="174"/>
      <c r="J64" s="174"/>
      <c r="K64" s="174"/>
      <c r="L64" s="174"/>
      <c r="M64" s="174"/>
      <c r="N64" s="174"/>
      <c r="O64" s="174"/>
    </row>
    <row r="65" spans="9:15" x14ac:dyDescent="0.15">
      <c r="I65" s="174"/>
      <c r="J65" s="174"/>
      <c r="K65" s="174"/>
      <c r="L65" s="174"/>
      <c r="M65" s="174"/>
      <c r="N65" s="174"/>
      <c r="O65" s="174"/>
    </row>
    <row r="66" spans="9:15" x14ac:dyDescent="0.15">
      <c r="I66" s="174"/>
      <c r="J66" s="174"/>
      <c r="K66" s="174"/>
      <c r="L66" s="174"/>
      <c r="M66" s="174"/>
      <c r="N66" s="174"/>
      <c r="O66" s="174"/>
    </row>
    <row r="67" spans="9:15" x14ac:dyDescent="0.15">
      <c r="I67" s="174"/>
      <c r="J67" s="174"/>
      <c r="K67" s="174"/>
      <c r="L67" s="174"/>
      <c r="M67" s="174"/>
      <c r="N67" s="174"/>
      <c r="O67" s="174"/>
    </row>
    <row r="68" spans="9:15" x14ac:dyDescent="0.15">
      <c r="I68" s="174"/>
      <c r="J68" s="174"/>
      <c r="K68" s="174"/>
      <c r="L68" s="174"/>
      <c r="M68" s="174"/>
      <c r="N68" s="174"/>
      <c r="O68" s="174"/>
    </row>
    <row r="69" spans="9:15" x14ac:dyDescent="0.15">
      <c r="I69" s="174"/>
      <c r="J69" s="174"/>
      <c r="K69" s="174"/>
      <c r="L69" s="174"/>
      <c r="M69" s="174"/>
      <c r="N69" s="174"/>
      <c r="O69" s="174"/>
    </row>
    <row r="70" spans="9:15" x14ac:dyDescent="0.15">
      <c r="I70" s="174"/>
      <c r="J70" s="174"/>
      <c r="K70" s="174"/>
      <c r="L70" s="174"/>
      <c r="M70" s="174"/>
      <c r="N70" s="174"/>
      <c r="O70" s="174"/>
    </row>
    <row r="71" spans="9:15" x14ac:dyDescent="0.15">
      <c r="I71" s="174"/>
      <c r="J71" s="174"/>
      <c r="K71" s="174"/>
      <c r="L71" s="174"/>
      <c r="M71" s="174"/>
      <c r="N71" s="174"/>
      <c r="O71" s="174"/>
    </row>
    <row r="72" spans="9:15" x14ac:dyDescent="0.15">
      <c r="I72" s="174"/>
      <c r="J72" s="174"/>
      <c r="K72" s="174"/>
      <c r="L72" s="174"/>
      <c r="M72" s="174"/>
      <c r="N72" s="174"/>
      <c r="O72" s="174"/>
    </row>
    <row r="73" spans="9:15" x14ac:dyDescent="0.15">
      <c r="I73" s="174"/>
      <c r="J73" s="174"/>
      <c r="K73" s="174"/>
      <c r="L73" s="174"/>
      <c r="M73" s="174"/>
      <c r="N73" s="174"/>
      <c r="O73" s="174"/>
    </row>
    <row r="74" spans="9:15" x14ac:dyDescent="0.15">
      <c r="I74" s="174"/>
      <c r="J74" s="174"/>
      <c r="K74" s="174"/>
      <c r="L74" s="174"/>
      <c r="M74" s="174"/>
      <c r="N74" s="174"/>
      <c r="O74" s="174"/>
    </row>
    <row r="75" spans="9:15" x14ac:dyDescent="0.15">
      <c r="I75" s="174"/>
      <c r="J75" s="174"/>
      <c r="K75" s="174"/>
      <c r="L75" s="174"/>
      <c r="M75" s="174"/>
      <c r="N75" s="174"/>
      <c r="O75" s="174"/>
    </row>
    <row r="76" spans="9:15" x14ac:dyDescent="0.15">
      <c r="I76" s="174"/>
      <c r="J76" s="174"/>
      <c r="K76" s="174"/>
      <c r="L76" s="174"/>
      <c r="M76" s="174"/>
      <c r="N76" s="174"/>
      <c r="O76" s="174"/>
    </row>
    <row r="77" spans="9:15" x14ac:dyDescent="0.15">
      <c r="I77" s="174"/>
      <c r="J77" s="174"/>
      <c r="K77" s="174"/>
      <c r="L77" s="174"/>
      <c r="M77" s="174"/>
      <c r="N77" s="174"/>
      <c r="O77" s="174"/>
    </row>
    <row r="78" spans="9:15" x14ac:dyDescent="0.15">
      <c r="I78" s="174"/>
      <c r="J78" s="174"/>
      <c r="K78" s="174"/>
      <c r="L78" s="174"/>
      <c r="M78" s="174"/>
      <c r="N78" s="174"/>
      <c r="O78" s="174"/>
    </row>
    <row r="79" spans="9:15" x14ac:dyDescent="0.15">
      <c r="I79" s="174"/>
      <c r="J79" s="174"/>
      <c r="K79" s="174"/>
      <c r="L79" s="174"/>
      <c r="M79" s="174"/>
      <c r="N79" s="174"/>
      <c r="O79" s="174"/>
    </row>
    <row r="80" spans="9:15" x14ac:dyDescent="0.15">
      <c r="I80" s="174"/>
      <c r="J80" s="174"/>
      <c r="K80" s="174"/>
      <c r="L80" s="174"/>
      <c r="M80" s="174"/>
      <c r="N80" s="174"/>
      <c r="O80" s="174"/>
    </row>
    <row r="81" spans="2:15" x14ac:dyDescent="0.15">
      <c r="I81" s="174"/>
      <c r="J81" s="174"/>
      <c r="K81" s="174"/>
      <c r="L81" s="174"/>
      <c r="M81" s="174"/>
      <c r="N81" s="174"/>
      <c r="O81" s="174"/>
    </row>
    <row r="82" spans="2:15" x14ac:dyDescent="0.15">
      <c r="I82" s="174"/>
      <c r="J82" s="174"/>
      <c r="K82" s="174"/>
      <c r="L82" s="174"/>
      <c r="M82" s="174"/>
      <c r="N82" s="174"/>
      <c r="O82" s="174"/>
    </row>
    <row r="83" spans="2:15" x14ac:dyDescent="0.15">
      <c r="B83" s="161"/>
      <c r="C83" s="162"/>
      <c r="D83" s="162"/>
      <c r="E83" s="162"/>
      <c r="F83" s="162"/>
      <c r="I83" s="174"/>
      <c r="J83" s="174"/>
      <c r="K83" s="174"/>
      <c r="L83" s="174"/>
      <c r="M83" s="174"/>
      <c r="N83" s="174"/>
      <c r="O83" s="174"/>
    </row>
    <row r="84" spans="2:15" x14ac:dyDescent="0.15">
      <c r="B84" s="161"/>
      <c r="C84" s="162"/>
      <c r="D84" s="162"/>
      <c r="E84" s="162"/>
      <c r="F84" s="162"/>
      <c r="I84" s="174"/>
      <c r="J84" s="174"/>
      <c r="K84" s="174"/>
      <c r="L84" s="174"/>
      <c r="M84" s="174"/>
      <c r="N84" s="174"/>
      <c r="O84" s="174"/>
    </row>
    <row r="85" spans="2:15" x14ac:dyDescent="0.15">
      <c r="I85" s="174"/>
      <c r="J85" s="174"/>
      <c r="K85" s="174"/>
      <c r="L85" s="174"/>
      <c r="M85" s="174"/>
      <c r="N85" s="174"/>
      <c r="O85" s="174"/>
    </row>
    <row r="86" spans="2:15" x14ac:dyDescent="0.15">
      <c r="I86" s="174"/>
      <c r="J86" s="174"/>
      <c r="K86" s="174"/>
      <c r="L86" s="174"/>
      <c r="M86" s="174"/>
      <c r="N86" s="174"/>
      <c r="O86" s="174"/>
    </row>
    <row r="87" spans="2:15" x14ac:dyDescent="0.15">
      <c r="I87" s="174"/>
      <c r="J87" s="174"/>
      <c r="K87" s="174"/>
      <c r="L87" s="174"/>
      <c r="M87" s="174"/>
      <c r="N87" s="174"/>
      <c r="O87" s="174"/>
    </row>
    <row r="88" spans="2:15" x14ac:dyDescent="0.15">
      <c r="I88" s="174"/>
      <c r="J88" s="174"/>
      <c r="K88" s="174"/>
      <c r="L88" s="174"/>
      <c r="M88" s="174"/>
      <c r="N88" s="174"/>
      <c r="O88" s="174"/>
    </row>
    <row r="89" spans="2:15" x14ac:dyDescent="0.15">
      <c r="I89" s="174"/>
      <c r="J89" s="174"/>
      <c r="K89" s="174"/>
      <c r="L89" s="174"/>
      <c r="M89" s="174"/>
      <c r="N89" s="174"/>
      <c r="O89" s="174"/>
    </row>
    <row r="90" spans="2:15" x14ac:dyDescent="0.15">
      <c r="I90" s="174"/>
      <c r="J90" s="174"/>
      <c r="K90" s="174"/>
      <c r="L90" s="174"/>
      <c r="M90" s="174"/>
      <c r="N90" s="174"/>
      <c r="O90" s="174"/>
    </row>
    <row r="91" spans="2:15" x14ac:dyDescent="0.15">
      <c r="I91" s="174"/>
      <c r="J91" s="174"/>
      <c r="K91" s="174"/>
      <c r="L91" s="174"/>
      <c r="M91" s="174"/>
      <c r="N91" s="174"/>
      <c r="O91" s="174"/>
    </row>
    <row r="92" spans="2:15" x14ac:dyDescent="0.15">
      <c r="I92" s="174"/>
      <c r="J92" s="174"/>
      <c r="K92" s="174"/>
      <c r="L92" s="174"/>
      <c r="M92" s="174"/>
      <c r="N92" s="174"/>
      <c r="O92" s="174"/>
    </row>
    <row r="93" spans="2:15" x14ac:dyDescent="0.15">
      <c r="I93" s="174"/>
      <c r="J93" s="174"/>
      <c r="K93" s="174"/>
      <c r="L93" s="174"/>
      <c r="M93" s="174"/>
      <c r="N93" s="174"/>
      <c r="O93" s="174"/>
    </row>
    <row r="94" spans="2:15" x14ac:dyDescent="0.15">
      <c r="I94" s="174"/>
      <c r="J94" s="174"/>
      <c r="K94" s="174"/>
      <c r="L94" s="174"/>
      <c r="M94" s="174"/>
      <c r="N94" s="174"/>
      <c r="O94" s="174"/>
    </row>
    <row r="95" spans="2:15" x14ac:dyDescent="0.15">
      <c r="I95" s="174"/>
      <c r="J95" s="174"/>
      <c r="K95" s="174"/>
      <c r="L95" s="174"/>
      <c r="M95" s="174"/>
      <c r="N95" s="174"/>
      <c r="O95" s="174"/>
    </row>
    <row r="96" spans="2:15" x14ac:dyDescent="0.15">
      <c r="I96" s="174"/>
      <c r="J96" s="174"/>
      <c r="K96" s="174"/>
      <c r="L96" s="174"/>
      <c r="M96" s="174"/>
      <c r="N96" s="174"/>
      <c r="O96" s="174"/>
    </row>
    <row r="97" spans="9:15" x14ac:dyDescent="0.15">
      <c r="I97" s="174"/>
      <c r="J97" s="174"/>
      <c r="K97" s="174"/>
      <c r="L97" s="174"/>
      <c r="M97" s="174"/>
      <c r="N97" s="174"/>
      <c r="O97" s="174"/>
    </row>
    <row r="98" spans="9:15" x14ac:dyDescent="0.15">
      <c r="I98" s="174"/>
      <c r="J98" s="174"/>
      <c r="K98" s="174"/>
      <c r="L98" s="174"/>
      <c r="M98" s="174"/>
      <c r="N98" s="174"/>
      <c r="O98" s="174"/>
    </row>
    <row r="99" spans="9:15" x14ac:dyDescent="0.15">
      <c r="I99" s="174"/>
      <c r="J99" s="174"/>
      <c r="K99" s="174"/>
      <c r="L99" s="174"/>
      <c r="M99" s="174"/>
      <c r="N99" s="174"/>
      <c r="O99" s="174"/>
    </row>
    <row r="100" spans="9:15" x14ac:dyDescent="0.15">
      <c r="I100" s="174"/>
      <c r="J100" s="174"/>
      <c r="K100" s="174"/>
      <c r="L100" s="174"/>
      <c r="M100" s="174"/>
      <c r="N100" s="174"/>
      <c r="O100" s="174"/>
    </row>
    <row r="101" spans="9:15" x14ac:dyDescent="0.15">
      <c r="I101" s="174"/>
      <c r="J101" s="174"/>
      <c r="K101" s="174"/>
      <c r="L101" s="174"/>
      <c r="M101" s="174"/>
      <c r="N101" s="174"/>
      <c r="O101" s="174"/>
    </row>
    <row r="102" spans="9:15" x14ac:dyDescent="0.15">
      <c r="I102" s="174"/>
      <c r="J102" s="174"/>
      <c r="K102" s="174"/>
      <c r="L102" s="174"/>
      <c r="M102" s="174"/>
      <c r="N102" s="174"/>
      <c r="O102" s="174"/>
    </row>
    <row r="103" spans="9:15" x14ac:dyDescent="0.15">
      <c r="I103" s="174"/>
      <c r="J103" s="174"/>
      <c r="K103" s="174"/>
      <c r="L103" s="174"/>
      <c r="M103" s="174"/>
      <c r="N103" s="174"/>
      <c r="O103" s="174"/>
    </row>
    <row r="104" spans="9:15" x14ac:dyDescent="0.15">
      <c r="I104" s="174"/>
      <c r="J104" s="174"/>
      <c r="K104" s="174"/>
      <c r="L104" s="174"/>
      <c r="M104" s="174"/>
      <c r="N104" s="174"/>
      <c r="O104" s="174"/>
    </row>
    <row r="105" spans="9:15" x14ac:dyDescent="0.15">
      <c r="I105" s="174"/>
      <c r="J105" s="174"/>
      <c r="K105" s="174"/>
      <c r="L105" s="174"/>
      <c r="M105" s="174"/>
      <c r="N105" s="174"/>
      <c r="O105" s="174"/>
    </row>
    <row r="106" spans="9:15" x14ac:dyDescent="0.15">
      <c r="I106" s="174"/>
      <c r="J106" s="174"/>
      <c r="K106" s="174"/>
      <c r="L106" s="174"/>
      <c r="M106" s="174"/>
      <c r="N106" s="174"/>
      <c r="O106" s="174"/>
    </row>
    <row r="107" spans="9:15" x14ac:dyDescent="0.15">
      <c r="I107" s="174"/>
      <c r="J107" s="174"/>
      <c r="K107" s="174"/>
      <c r="L107" s="174"/>
      <c r="M107" s="174"/>
      <c r="N107" s="174"/>
      <c r="O107" s="174"/>
    </row>
    <row r="108" spans="9:15" x14ac:dyDescent="0.15">
      <c r="I108" s="174"/>
      <c r="J108" s="174"/>
      <c r="K108" s="174"/>
      <c r="L108" s="174"/>
      <c r="M108" s="174"/>
      <c r="N108" s="174"/>
      <c r="O108" s="174"/>
    </row>
    <row r="109" spans="9:15" x14ac:dyDescent="0.15">
      <c r="I109" s="174"/>
      <c r="J109" s="174"/>
      <c r="K109" s="174"/>
      <c r="L109" s="174"/>
      <c r="M109" s="174"/>
      <c r="N109" s="174"/>
      <c r="O109" s="174"/>
    </row>
    <row r="110" spans="9:15" x14ac:dyDescent="0.15">
      <c r="I110" s="174"/>
      <c r="J110" s="174"/>
      <c r="K110" s="174"/>
      <c r="L110" s="174"/>
      <c r="M110" s="174"/>
      <c r="N110" s="174"/>
      <c r="O110" s="174"/>
    </row>
    <row r="111" spans="9:15" x14ac:dyDescent="0.15">
      <c r="I111" s="174"/>
      <c r="J111" s="174"/>
      <c r="K111" s="174"/>
      <c r="L111" s="174"/>
      <c r="M111" s="174"/>
      <c r="N111" s="174"/>
      <c r="O111" s="174"/>
    </row>
    <row r="112" spans="9:15" x14ac:dyDescent="0.15">
      <c r="I112" s="174"/>
      <c r="J112" s="174"/>
      <c r="K112" s="174"/>
      <c r="L112" s="174"/>
      <c r="M112" s="174"/>
      <c r="N112" s="174"/>
      <c r="O112" s="174"/>
    </row>
    <row r="113" spans="9:15" x14ac:dyDescent="0.15">
      <c r="I113" s="174"/>
      <c r="J113" s="174"/>
      <c r="K113" s="174"/>
      <c r="L113" s="174"/>
      <c r="M113" s="174"/>
      <c r="N113" s="174"/>
      <c r="O113" s="174"/>
    </row>
    <row r="114" spans="9:15" x14ac:dyDescent="0.15">
      <c r="I114" s="174"/>
      <c r="J114" s="174"/>
      <c r="K114" s="174"/>
      <c r="L114" s="174"/>
      <c r="M114" s="174"/>
      <c r="N114" s="174"/>
      <c r="O114" s="174"/>
    </row>
    <row r="115" spans="9:15" x14ac:dyDescent="0.15">
      <c r="I115" s="174"/>
      <c r="J115" s="174"/>
      <c r="K115" s="174"/>
      <c r="L115" s="174"/>
      <c r="M115" s="174"/>
      <c r="N115" s="174"/>
      <c r="O115" s="174"/>
    </row>
    <row r="116" spans="9:15" x14ac:dyDescent="0.15">
      <c r="I116" s="174"/>
      <c r="J116" s="174"/>
      <c r="K116" s="174"/>
      <c r="L116" s="174"/>
      <c r="M116" s="174"/>
      <c r="N116" s="174"/>
      <c r="O116" s="174"/>
    </row>
    <row r="117" spans="9:15" x14ac:dyDescent="0.15">
      <c r="I117" s="174"/>
      <c r="J117" s="174"/>
      <c r="K117" s="174"/>
      <c r="L117" s="174"/>
      <c r="M117" s="174"/>
      <c r="N117" s="174"/>
      <c r="O117" s="174"/>
    </row>
    <row r="118" spans="9:15" x14ac:dyDescent="0.15">
      <c r="I118" s="174"/>
      <c r="J118" s="174"/>
      <c r="K118" s="174"/>
      <c r="L118" s="174"/>
      <c r="M118" s="174"/>
      <c r="N118" s="174"/>
      <c r="O118" s="174"/>
    </row>
    <row r="119" spans="9:15" x14ac:dyDescent="0.15">
      <c r="I119" s="174"/>
      <c r="J119" s="174"/>
      <c r="K119" s="174"/>
      <c r="L119" s="174"/>
      <c r="M119" s="174"/>
      <c r="N119" s="174"/>
      <c r="O119" s="174"/>
    </row>
    <row r="120" spans="9:15" x14ac:dyDescent="0.15">
      <c r="I120" s="174"/>
      <c r="J120" s="174"/>
      <c r="K120" s="174"/>
      <c r="L120" s="174"/>
      <c r="M120" s="174"/>
      <c r="N120" s="174"/>
      <c r="O120" s="174"/>
    </row>
    <row r="121" spans="9:15" x14ac:dyDescent="0.15">
      <c r="I121" s="174"/>
      <c r="J121" s="174"/>
      <c r="K121" s="174"/>
      <c r="L121" s="174"/>
      <c r="M121" s="174"/>
      <c r="N121" s="174"/>
      <c r="O121" s="174"/>
    </row>
    <row r="122" spans="9:15" x14ac:dyDescent="0.15">
      <c r="I122" s="174"/>
      <c r="J122" s="174"/>
      <c r="K122" s="174"/>
      <c r="L122" s="174"/>
      <c r="M122" s="174"/>
      <c r="N122" s="174"/>
      <c r="O122" s="174"/>
    </row>
    <row r="123" spans="9:15" x14ac:dyDescent="0.15">
      <c r="I123" s="174"/>
      <c r="J123" s="174"/>
      <c r="K123" s="174"/>
      <c r="L123" s="174"/>
      <c r="M123" s="174"/>
      <c r="N123" s="174"/>
      <c r="O123" s="174"/>
    </row>
    <row r="124" spans="9:15" x14ac:dyDescent="0.15">
      <c r="I124" s="174"/>
      <c r="J124" s="174"/>
      <c r="K124" s="174"/>
      <c r="L124" s="174"/>
      <c r="M124" s="174"/>
      <c r="N124" s="174"/>
      <c r="O124" s="174"/>
    </row>
    <row r="125" spans="9:15" x14ac:dyDescent="0.15">
      <c r="I125" s="174"/>
      <c r="J125" s="174"/>
      <c r="K125" s="174"/>
      <c r="L125" s="174"/>
      <c r="M125" s="174"/>
      <c r="N125" s="174"/>
      <c r="O125" s="174"/>
    </row>
    <row r="126" spans="9:15" x14ac:dyDescent="0.15">
      <c r="I126" s="174"/>
      <c r="J126" s="174"/>
      <c r="K126" s="174"/>
      <c r="L126" s="174"/>
      <c r="M126" s="174"/>
      <c r="N126" s="174"/>
      <c r="O126" s="174"/>
    </row>
    <row r="127" spans="9:15" x14ac:dyDescent="0.15">
      <c r="I127" s="174"/>
      <c r="J127" s="174"/>
      <c r="K127" s="174"/>
      <c r="L127" s="174"/>
      <c r="M127" s="174"/>
      <c r="N127" s="174"/>
      <c r="O127" s="174"/>
    </row>
    <row r="128" spans="9:15" x14ac:dyDescent="0.15">
      <c r="I128" s="174"/>
      <c r="J128" s="174"/>
      <c r="K128" s="174"/>
      <c r="L128" s="174"/>
      <c r="M128" s="174"/>
      <c r="N128" s="174"/>
      <c r="O128" s="174"/>
    </row>
    <row r="129" spans="9:15" x14ac:dyDescent="0.15">
      <c r="I129" s="174"/>
      <c r="J129" s="174"/>
      <c r="K129" s="174"/>
      <c r="L129" s="174"/>
      <c r="M129" s="174"/>
      <c r="N129" s="174"/>
      <c r="O129" s="174"/>
    </row>
    <row r="130" spans="9:15" x14ac:dyDescent="0.15">
      <c r="I130" s="174"/>
      <c r="J130" s="174"/>
      <c r="K130" s="174"/>
      <c r="L130" s="174"/>
      <c r="M130" s="174"/>
      <c r="N130" s="174"/>
      <c r="O130" s="174"/>
    </row>
    <row r="131" spans="9:15" x14ac:dyDescent="0.15">
      <c r="I131" s="174"/>
      <c r="J131" s="174"/>
      <c r="K131" s="174"/>
      <c r="L131" s="174"/>
      <c r="M131" s="174"/>
      <c r="N131" s="174"/>
      <c r="O131" s="174"/>
    </row>
    <row r="132" spans="9:15" x14ac:dyDescent="0.15">
      <c r="I132" s="174"/>
      <c r="J132" s="174"/>
      <c r="K132" s="174"/>
      <c r="L132" s="174"/>
      <c r="M132" s="174"/>
      <c r="N132" s="174"/>
      <c r="O132" s="174"/>
    </row>
    <row r="133" spans="9:15" x14ac:dyDescent="0.15">
      <c r="I133" s="174"/>
      <c r="J133" s="174"/>
      <c r="K133" s="174"/>
      <c r="L133" s="174"/>
      <c r="M133" s="174"/>
      <c r="N133" s="174"/>
      <c r="O133" s="174"/>
    </row>
    <row r="134" spans="9:15" x14ac:dyDescent="0.15">
      <c r="I134" s="174"/>
      <c r="J134" s="174"/>
      <c r="K134" s="174"/>
      <c r="L134" s="174"/>
      <c r="M134" s="174"/>
      <c r="N134" s="174"/>
      <c r="O134" s="174"/>
    </row>
    <row r="135" spans="9:15" x14ac:dyDescent="0.15">
      <c r="I135" s="174"/>
      <c r="J135" s="174"/>
      <c r="K135" s="174"/>
      <c r="L135" s="174"/>
      <c r="M135" s="174"/>
      <c r="N135" s="174"/>
      <c r="O135" s="174"/>
    </row>
    <row r="136" spans="9:15" x14ac:dyDescent="0.15">
      <c r="I136" s="174"/>
      <c r="J136" s="174"/>
      <c r="K136" s="174"/>
      <c r="L136" s="174"/>
      <c r="M136" s="174"/>
      <c r="N136" s="174"/>
      <c r="O136" s="174"/>
    </row>
    <row r="137" spans="9:15" x14ac:dyDescent="0.15">
      <c r="I137" s="174"/>
      <c r="J137" s="174"/>
      <c r="K137" s="174"/>
      <c r="L137" s="174"/>
      <c r="M137" s="174"/>
      <c r="N137" s="174"/>
      <c r="O137" s="174"/>
    </row>
    <row r="138" spans="9:15" x14ac:dyDescent="0.15">
      <c r="I138" s="174"/>
      <c r="J138" s="174"/>
      <c r="K138" s="174"/>
      <c r="L138" s="174"/>
      <c r="M138" s="174"/>
      <c r="N138" s="174"/>
      <c r="O138" s="174"/>
    </row>
    <row r="139" spans="9:15" x14ac:dyDescent="0.15">
      <c r="I139" s="174"/>
      <c r="J139" s="174"/>
      <c r="K139" s="174"/>
      <c r="L139" s="174"/>
      <c r="M139" s="174"/>
      <c r="N139" s="174"/>
    </row>
    <row r="140" spans="9:15" x14ac:dyDescent="0.15">
      <c r="I140" s="174"/>
      <c r="J140" s="174"/>
      <c r="K140" s="174"/>
      <c r="L140" s="174"/>
      <c r="M140" s="174"/>
      <c r="N140" s="174"/>
    </row>
    <row r="141" spans="9:15" x14ac:dyDescent="0.15">
      <c r="I141" s="174"/>
      <c r="J141" s="174"/>
      <c r="K141" s="174"/>
      <c r="L141" s="174"/>
      <c r="M141" s="174"/>
      <c r="N141" s="174"/>
    </row>
    <row r="142" spans="9:15" x14ac:dyDescent="0.15">
      <c r="I142" s="174"/>
      <c r="J142" s="174"/>
      <c r="K142" s="174"/>
      <c r="L142" s="174"/>
      <c r="M142" s="174"/>
      <c r="N142" s="174"/>
    </row>
    <row r="143" spans="9:15" x14ac:dyDescent="0.15">
      <c r="I143" s="174"/>
      <c r="J143" s="174"/>
      <c r="K143" s="174"/>
      <c r="L143" s="174"/>
      <c r="M143" s="174"/>
      <c r="N143" s="174"/>
    </row>
    <row r="144" spans="9:15" x14ac:dyDescent="0.15">
      <c r="I144" s="174"/>
      <c r="J144" s="174"/>
      <c r="K144" s="174"/>
      <c r="L144" s="174"/>
      <c r="M144" s="174"/>
      <c r="N144" s="174"/>
    </row>
    <row r="145" spans="9:14" x14ac:dyDescent="0.15">
      <c r="I145" s="174"/>
      <c r="J145" s="174"/>
      <c r="K145" s="174"/>
      <c r="L145" s="174"/>
      <c r="M145" s="174"/>
      <c r="N145" s="174"/>
    </row>
    <row r="146" spans="9:14" x14ac:dyDescent="0.15">
      <c r="I146" s="174"/>
      <c r="J146" s="174"/>
      <c r="K146" s="174"/>
      <c r="L146" s="174"/>
      <c r="M146" s="174"/>
      <c r="N146" s="174"/>
    </row>
    <row r="147" spans="9:14" x14ac:dyDescent="0.15">
      <c r="I147" s="174"/>
      <c r="J147" s="174"/>
      <c r="K147" s="174"/>
      <c r="L147" s="174"/>
      <c r="M147" s="174"/>
      <c r="N147" s="174"/>
    </row>
    <row r="148" spans="9:14" x14ac:dyDescent="0.15">
      <c r="I148" s="174"/>
      <c r="J148" s="174"/>
      <c r="K148" s="174"/>
      <c r="L148" s="174"/>
      <c r="M148" s="174"/>
      <c r="N148" s="174"/>
    </row>
    <row r="149" spans="9:14" x14ac:dyDescent="0.15">
      <c r="I149" s="174"/>
      <c r="J149" s="174"/>
      <c r="K149" s="174"/>
      <c r="L149" s="174"/>
      <c r="M149" s="174"/>
      <c r="N149" s="174"/>
    </row>
    <row r="150" spans="9:14" x14ac:dyDescent="0.15">
      <c r="I150" s="174"/>
      <c r="J150" s="174"/>
      <c r="K150" s="174"/>
      <c r="L150" s="174"/>
      <c r="M150" s="174"/>
      <c r="N150" s="174"/>
    </row>
    <row r="151" spans="9:14" x14ac:dyDescent="0.15">
      <c r="I151" s="174"/>
      <c r="J151" s="174"/>
      <c r="K151" s="174"/>
      <c r="L151" s="174"/>
      <c r="M151" s="174"/>
      <c r="N151" s="174"/>
    </row>
    <row r="152" spans="9:14" x14ac:dyDescent="0.15">
      <c r="I152" s="174"/>
      <c r="J152" s="174"/>
      <c r="K152" s="174"/>
      <c r="L152" s="174"/>
      <c r="M152" s="174"/>
      <c r="N152" s="174"/>
    </row>
    <row r="153" spans="9:14" x14ac:dyDescent="0.15">
      <c r="I153" s="174"/>
      <c r="J153" s="174"/>
      <c r="K153" s="174"/>
      <c r="L153" s="174"/>
      <c r="M153" s="174"/>
      <c r="N153" s="174"/>
    </row>
    <row r="154" spans="9:14" x14ac:dyDescent="0.15">
      <c r="I154" s="174"/>
      <c r="J154" s="174"/>
      <c r="K154" s="174"/>
      <c r="L154" s="174"/>
      <c r="M154" s="174"/>
      <c r="N154" s="174"/>
    </row>
    <row r="155" spans="9:14" x14ac:dyDescent="0.15">
      <c r="I155" s="174"/>
      <c r="J155" s="174"/>
      <c r="K155" s="174"/>
      <c r="L155" s="174"/>
      <c r="M155" s="174"/>
      <c r="N155" s="174"/>
    </row>
    <row r="156" spans="9:14" x14ac:dyDescent="0.15">
      <c r="I156" s="174"/>
      <c r="J156" s="174"/>
      <c r="K156" s="174"/>
      <c r="L156" s="174"/>
      <c r="M156" s="174"/>
      <c r="N156" s="174"/>
    </row>
    <row r="157" spans="9:14" x14ac:dyDescent="0.15">
      <c r="J157" s="174"/>
      <c r="K157" s="174"/>
      <c r="L157" s="174"/>
      <c r="M157" s="174"/>
      <c r="N157" s="174"/>
    </row>
    <row r="158" spans="9:14" x14ac:dyDescent="0.15">
      <c r="J158" s="174"/>
      <c r="K158" s="174"/>
      <c r="L158" s="174"/>
      <c r="M158" s="174"/>
      <c r="N158" s="174"/>
    </row>
    <row r="172" spans="15:15" x14ac:dyDescent="0.15">
      <c r="O172" s="174"/>
    </row>
    <row r="173" spans="15:15" x14ac:dyDescent="0.15">
      <c r="O173" s="174"/>
    </row>
    <row r="174" spans="15:15" x14ac:dyDescent="0.15">
      <c r="O174" s="174"/>
    </row>
    <row r="175" spans="15:15" x14ac:dyDescent="0.15">
      <c r="O175" s="174"/>
    </row>
    <row r="176" spans="15:15" x14ac:dyDescent="0.15">
      <c r="O176" s="174"/>
    </row>
    <row r="177" spans="15:15" x14ac:dyDescent="0.15">
      <c r="O177" s="174"/>
    </row>
    <row r="178" spans="15:15" x14ac:dyDescent="0.15">
      <c r="O178" s="174"/>
    </row>
    <row r="179" spans="15:15" x14ac:dyDescent="0.15">
      <c r="O179" s="174"/>
    </row>
    <row r="180" spans="15:15" x14ac:dyDescent="0.15">
      <c r="O180" s="174"/>
    </row>
    <row r="181" spans="15:15" x14ac:dyDescent="0.15">
      <c r="O181" s="174"/>
    </row>
    <row r="182" spans="15:15" x14ac:dyDescent="0.15">
      <c r="O182" s="174"/>
    </row>
    <row r="183" spans="15:15" x14ac:dyDescent="0.15">
      <c r="O183" s="174"/>
    </row>
    <row r="184" spans="15:15" x14ac:dyDescent="0.15">
      <c r="O184" s="174"/>
    </row>
    <row r="185" spans="15:15" x14ac:dyDescent="0.15">
      <c r="O185" s="174"/>
    </row>
    <row r="186" spans="15:15" x14ac:dyDescent="0.15">
      <c r="O186" s="174"/>
    </row>
    <row r="187" spans="15:15" x14ac:dyDescent="0.15">
      <c r="O187" s="174"/>
    </row>
    <row r="188" spans="15:15" x14ac:dyDescent="0.15">
      <c r="O188" s="174"/>
    </row>
    <row r="189" spans="15:15" x14ac:dyDescent="0.15">
      <c r="O189" s="174"/>
    </row>
    <row r="190" spans="15:15" x14ac:dyDescent="0.15">
      <c r="O190" s="174"/>
    </row>
    <row r="191" spans="15:15" x14ac:dyDescent="0.15">
      <c r="O191" s="174"/>
    </row>
  </sheetData>
  <mergeCells count="79">
    <mergeCell ref="I6:I10"/>
    <mergeCell ref="P59:Q59"/>
    <mergeCell ref="Q47:Q51"/>
    <mergeCell ref="Q53:Q57"/>
    <mergeCell ref="P47:P58"/>
    <mergeCell ref="P40:P46"/>
    <mergeCell ref="I18:I21"/>
    <mergeCell ref="I22:I25"/>
    <mergeCell ref="I30:I33"/>
    <mergeCell ref="I26:I29"/>
    <mergeCell ref="I11:I17"/>
    <mergeCell ref="I59:J59"/>
    <mergeCell ref="K43:L43"/>
    <mergeCell ref="K39:L39"/>
    <mergeCell ref="K40:L40"/>
    <mergeCell ref="I37:I44"/>
    <mergeCell ref="T6:U6"/>
    <mergeCell ref="T7:U7"/>
    <mergeCell ref="T8:U8"/>
    <mergeCell ref="T9:U9"/>
    <mergeCell ref="T10:U10"/>
    <mergeCell ref="M4:M5"/>
    <mergeCell ref="N4:N5"/>
    <mergeCell ref="J4:J5"/>
    <mergeCell ref="I4:I5"/>
    <mergeCell ref="T4:U4"/>
    <mergeCell ref="T5:U5"/>
    <mergeCell ref="T14:U14"/>
    <mergeCell ref="T15:U15"/>
    <mergeCell ref="T26:U26"/>
    <mergeCell ref="T27:U27"/>
    <mergeCell ref="T28:U28"/>
    <mergeCell ref="T16:U16"/>
    <mergeCell ref="T25:U25"/>
    <mergeCell ref="T17:U17"/>
    <mergeCell ref="T18:U18"/>
    <mergeCell ref="T19:U19"/>
    <mergeCell ref="T20:U20"/>
    <mergeCell ref="T21:U21"/>
    <mergeCell ref="T22:U22"/>
    <mergeCell ref="T23:U23"/>
    <mergeCell ref="T24:U24"/>
    <mergeCell ref="T13:U13"/>
    <mergeCell ref="T11:U11"/>
    <mergeCell ref="T12:U12"/>
    <mergeCell ref="B54:B57"/>
    <mergeCell ref="B50:B53"/>
    <mergeCell ref="B28:B38"/>
    <mergeCell ref="B39:B49"/>
    <mergeCell ref="K36:L36"/>
    <mergeCell ref="Q39:R39"/>
    <mergeCell ref="K55:L55"/>
    <mergeCell ref="K56:L56"/>
    <mergeCell ref="K57:L57"/>
    <mergeCell ref="I45:I48"/>
    <mergeCell ref="I49:I52"/>
    <mergeCell ref="K45:L45"/>
    <mergeCell ref="K46:L46"/>
    <mergeCell ref="B5:B7"/>
    <mergeCell ref="B8:B11"/>
    <mergeCell ref="B12:B16"/>
    <mergeCell ref="B21:B24"/>
    <mergeCell ref="B17:B20"/>
    <mergeCell ref="K44:L44"/>
    <mergeCell ref="K47:L47"/>
    <mergeCell ref="K48:L48"/>
    <mergeCell ref="K59:L59"/>
    <mergeCell ref="K37:L37"/>
    <mergeCell ref="K38:L38"/>
    <mergeCell ref="K41:L41"/>
    <mergeCell ref="K42:L42"/>
    <mergeCell ref="K49:L49"/>
    <mergeCell ref="K50:L50"/>
    <mergeCell ref="K51:L51"/>
    <mergeCell ref="I53:I58"/>
    <mergeCell ref="K53:L53"/>
    <mergeCell ref="K54:L54"/>
    <mergeCell ref="K58:L58"/>
    <mergeCell ref="K52:L52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316</v>
      </c>
    </row>
    <row r="3" spans="2:15" ht="19.5" customHeight="1" x14ac:dyDescent="0.15">
      <c r="D3" s="111" t="s">
        <v>203</v>
      </c>
      <c r="E3" s="110" t="s">
        <v>273</v>
      </c>
      <c r="F3" s="110"/>
      <c r="G3" s="111" t="s">
        <v>204</v>
      </c>
      <c r="H3" s="110" t="s">
        <v>314</v>
      </c>
      <c r="I3" s="110"/>
    </row>
    <row r="4" spans="2:15" ht="20.100000000000001" customHeight="1" thickBot="1" x14ac:dyDescent="0.2">
      <c r="B4" s="5" t="s">
        <v>217</v>
      </c>
      <c r="C4" s="5" t="s">
        <v>218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37" t="s">
        <v>260</v>
      </c>
      <c r="C5" s="341">
        <v>1</v>
      </c>
      <c r="D5" s="341">
        <v>2</v>
      </c>
      <c r="E5" s="341">
        <v>3</v>
      </c>
      <c r="F5" s="341">
        <v>4</v>
      </c>
      <c r="G5" s="341">
        <v>5</v>
      </c>
      <c r="H5" s="341">
        <v>6</v>
      </c>
      <c r="I5" s="341">
        <v>7</v>
      </c>
      <c r="J5" s="341">
        <v>8</v>
      </c>
      <c r="K5" s="341">
        <v>9</v>
      </c>
      <c r="L5" s="341">
        <v>10</v>
      </c>
      <c r="M5" s="341">
        <v>11</v>
      </c>
      <c r="N5" s="341">
        <v>12</v>
      </c>
      <c r="O5" s="148" t="s">
        <v>219</v>
      </c>
    </row>
    <row r="6" spans="2:15" ht="20.100000000000001" customHeight="1" x14ac:dyDescent="0.15">
      <c r="B6" s="342" t="s">
        <v>291</v>
      </c>
      <c r="C6" s="299">
        <v>332</v>
      </c>
      <c r="D6" s="299">
        <v>317</v>
      </c>
      <c r="E6" s="299">
        <v>380</v>
      </c>
      <c r="F6" s="299">
        <v>210</v>
      </c>
      <c r="G6" s="299">
        <v>149</v>
      </c>
      <c r="H6" s="299">
        <v>166</v>
      </c>
      <c r="I6" s="299">
        <v>218</v>
      </c>
      <c r="J6" s="299">
        <v>265</v>
      </c>
      <c r="K6" s="299">
        <v>157</v>
      </c>
      <c r="L6" s="299">
        <v>234</v>
      </c>
      <c r="M6" s="299">
        <v>315</v>
      </c>
      <c r="N6" s="299">
        <v>356</v>
      </c>
      <c r="O6" s="149">
        <v>241</v>
      </c>
    </row>
    <row r="7" spans="2:15" ht="20.100000000000001" customHeight="1" x14ac:dyDescent="0.15">
      <c r="B7" s="342" t="s">
        <v>292</v>
      </c>
      <c r="C7" s="299">
        <v>311</v>
      </c>
      <c r="D7" s="299">
        <v>362</v>
      </c>
      <c r="E7" s="299">
        <v>391</v>
      </c>
      <c r="F7" s="299">
        <v>312</v>
      </c>
      <c r="G7" s="299">
        <v>174</v>
      </c>
      <c r="H7" s="299">
        <v>205</v>
      </c>
      <c r="I7" s="299">
        <v>245</v>
      </c>
      <c r="J7" s="299">
        <v>241</v>
      </c>
      <c r="K7" s="299">
        <v>306</v>
      </c>
      <c r="L7" s="299">
        <v>295</v>
      </c>
      <c r="M7" s="299">
        <v>336</v>
      </c>
      <c r="N7" s="299">
        <v>322</v>
      </c>
      <c r="O7" s="149">
        <v>281</v>
      </c>
    </row>
    <row r="8" spans="2:15" ht="20.100000000000001" customHeight="1" x14ac:dyDescent="0.15">
      <c r="B8" s="342" t="s">
        <v>293</v>
      </c>
      <c r="C8" s="299">
        <v>332</v>
      </c>
      <c r="D8" s="299">
        <v>315</v>
      </c>
      <c r="E8" s="299">
        <v>238</v>
      </c>
      <c r="F8" s="299">
        <v>168</v>
      </c>
      <c r="G8" s="299">
        <v>203</v>
      </c>
      <c r="H8" s="299">
        <v>296</v>
      </c>
      <c r="I8" s="299">
        <v>252</v>
      </c>
      <c r="J8" s="299">
        <v>263</v>
      </c>
      <c r="K8" s="299">
        <v>389</v>
      </c>
      <c r="L8" s="299">
        <v>312</v>
      </c>
      <c r="M8" s="299">
        <v>346</v>
      </c>
      <c r="N8" s="299">
        <v>472</v>
      </c>
      <c r="O8" s="149">
        <v>285</v>
      </c>
    </row>
    <row r="9" spans="2:15" ht="20.100000000000001" customHeight="1" x14ac:dyDescent="0.15">
      <c r="B9" s="342" t="s">
        <v>294</v>
      </c>
      <c r="C9" s="299">
        <v>437</v>
      </c>
      <c r="D9" s="299">
        <v>436</v>
      </c>
      <c r="E9" s="299">
        <v>429</v>
      </c>
      <c r="F9" s="299">
        <v>238</v>
      </c>
      <c r="G9" s="299">
        <v>209</v>
      </c>
      <c r="H9" s="299">
        <v>158</v>
      </c>
      <c r="I9" s="299">
        <v>236</v>
      </c>
      <c r="J9" s="299">
        <v>244</v>
      </c>
      <c r="K9" s="299">
        <v>232</v>
      </c>
      <c r="L9" s="299">
        <v>267</v>
      </c>
      <c r="M9" s="299">
        <v>319</v>
      </c>
      <c r="N9" s="299">
        <v>507</v>
      </c>
      <c r="O9" s="149">
        <v>291</v>
      </c>
    </row>
    <row r="10" spans="2:15" ht="20.100000000000001" customHeight="1" x14ac:dyDescent="0.15">
      <c r="B10" s="342" t="s">
        <v>295</v>
      </c>
      <c r="C10" s="299">
        <v>441</v>
      </c>
      <c r="D10" s="299">
        <v>296</v>
      </c>
      <c r="E10" s="299">
        <v>217</v>
      </c>
      <c r="F10" s="299">
        <v>226</v>
      </c>
      <c r="G10" s="299">
        <v>135</v>
      </c>
      <c r="H10" s="299">
        <v>237</v>
      </c>
      <c r="I10" s="299">
        <v>208</v>
      </c>
      <c r="J10" s="299">
        <v>277</v>
      </c>
      <c r="K10" s="299">
        <v>414</v>
      </c>
      <c r="L10" s="299">
        <v>328</v>
      </c>
      <c r="M10" s="299">
        <v>421</v>
      </c>
      <c r="N10" s="299">
        <v>353</v>
      </c>
      <c r="O10" s="149">
        <v>278</v>
      </c>
    </row>
    <row r="11" spans="2:15" ht="20.100000000000001" customHeight="1" thickBot="1" x14ac:dyDescent="0.2">
      <c r="B11" s="340" t="s">
        <v>220</v>
      </c>
      <c r="C11" s="338">
        <f>AVERAGE(C6:C10)</f>
        <v>370.6</v>
      </c>
      <c r="D11" s="338">
        <f t="shared" ref="D11:O11" si="0">AVERAGE(D6:D10)</f>
        <v>345.2</v>
      </c>
      <c r="E11" s="338">
        <f t="shared" si="0"/>
        <v>331</v>
      </c>
      <c r="F11" s="338">
        <f t="shared" si="0"/>
        <v>230.8</v>
      </c>
      <c r="G11" s="338">
        <f t="shared" si="0"/>
        <v>174</v>
      </c>
      <c r="H11" s="338">
        <f t="shared" si="0"/>
        <v>212.4</v>
      </c>
      <c r="I11" s="338">
        <f t="shared" si="0"/>
        <v>231.8</v>
      </c>
      <c r="J11" s="338">
        <f t="shared" si="0"/>
        <v>258</v>
      </c>
      <c r="K11" s="338">
        <f t="shared" si="0"/>
        <v>299.60000000000002</v>
      </c>
      <c r="L11" s="338">
        <f t="shared" si="0"/>
        <v>287.2</v>
      </c>
      <c r="M11" s="338">
        <f t="shared" si="0"/>
        <v>347.4</v>
      </c>
      <c r="N11" s="338">
        <f t="shared" si="0"/>
        <v>402</v>
      </c>
      <c r="O11" s="339">
        <f t="shared" si="0"/>
        <v>275.2</v>
      </c>
    </row>
    <row r="12" spans="2:15" ht="20.100000000000001" customHeight="1" x14ac:dyDescent="0.15">
      <c r="C12" s="30" t="s">
        <v>439</v>
      </c>
    </row>
    <row r="13" spans="2:15" ht="20.100000000000001" customHeight="1" thickBot="1" x14ac:dyDescent="0.2">
      <c r="B13" s="5" t="s">
        <v>217</v>
      </c>
      <c r="C13" s="5" t="s">
        <v>261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37" t="s">
        <v>260</v>
      </c>
      <c r="C14" s="341">
        <v>1</v>
      </c>
      <c r="D14" s="341">
        <v>2</v>
      </c>
      <c r="E14" s="341">
        <v>3</v>
      </c>
      <c r="F14" s="341">
        <v>4</v>
      </c>
      <c r="G14" s="341">
        <v>5</v>
      </c>
      <c r="H14" s="341">
        <v>6</v>
      </c>
      <c r="I14" s="341">
        <v>7</v>
      </c>
      <c r="J14" s="341">
        <v>8</v>
      </c>
      <c r="K14" s="341">
        <v>9</v>
      </c>
      <c r="L14" s="341">
        <v>10</v>
      </c>
      <c r="M14" s="341">
        <v>11</v>
      </c>
      <c r="N14" s="341">
        <v>12</v>
      </c>
      <c r="O14" s="148" t="s">
        <v>219</v>
      </c>
    </row>
    <row r="15" spans="2:15" ht="20.100000000000001" customHeight="1" x14ac:dyDescent="0.15">
      <c r="B15" s="342" t="s">
        <v>291</v>
      </c>
      <c r="C15" s="299">
        <v>275</v>
      </c>
      <c r="D15" s="299">
        <v>290</v>
      </c>
      <c r="E15" s="299">
        <v>273</v>
      </c>
      <c r="F15" s="299">
        <v>251</v>
      </c>
      <c r="G15" s="299">
        <v>192</v>
      </c>
      <c r="H15" s="299">
        <v>167</v>
      </c>
      <c r="I15" s="299">
        <v>177</v>
      </c>
      <c r="J15" s="299">
        <v>243</v>
      </c>
      <c r="K15" s="299">
        <v>166</v>
      </c>
      <c r="L15" s="299">
        <v>247</v>
      </c>
      <c r="M15" s="299">
        <v>304</v>
      </c>
      <c r="N15" s="299">
        <v>321</v>
      </c>
      <c r="O15" s="149">
        <v>220</v>
      </c>
    </row>
    <row r="16" spans="2:15" ht="20.100000000000001" customHeight="1" x14ac:dyDescent="0.15">
      <c r="B16" s="342" t="s">
        <v>292</v>
      </c>
      <c r="C16" s="299">
        <v>275</v>
      </c>
      <c r="D16" s="299">
        <v>342</v>
      </c>
      <c r="E16" s="299">
        <v>384</v>
      </c>
      <c r="F16" s="299">
        <v>328</v>
      </c>
      <c r="G16" s="299">
        <v>207</v>
      </c>
      <c r="H16" s="299">
        <v>214</v>
      </c>
      <c r="I16" s="299">
        <v>219</v>
      </c>
      <c r="J16" s="299">
        <v>189</v>
      </c>
      <c r="K16" s="299">
        <v>260</v>
      </c>
      <c r="L16" s="299">
        <v>269</v>
      </c>
      <c r="M16" s="299">
        <v>371</v>
      </c>
      <c r="N16" s="299">
        <v>301</v>
      </c>
      <c r="O16" s="149">
        <v>252</v>
      </c>
    </row>
    <row r="17" spans="2:15" ht="20.100000000000001" customHeight="1" x14ac:dyDescent="0.15">
      <c r="B17" s="342" t="s">
        <v>293</v>
      </c>
      <c r="C17" s="299" t="s">
        <v>441</v>
      </c>
      <c r="D17" s="299">
        <v>310</v>
      </c>
      <c r="E17" s="299">
        <v>227</v>
      </c>
      <c r="F17" s="299">
        <v>208</v>
      </c>
      <c r="G17" s="299">
        <v>230</v>
      </c>
      <c r="H17" s="299">
        <v>288</v>
      </c>
      <c r="I17" s="299">
        <v>208</v>
      </c>
      <c r="J17" s="299">
        <v>203</v>
      </c>
      <c r="K17" s="299">
        <v>340</v>
      </c>
      <c r="L17" s="299">
        <v>295</v>
      </c>
      <c r="M17" s="299">
        <v>346</v>
      </c>
      <c r="N17" s="299">
        <v>466</v>
      </c>
      <c r="O17" s="149">
        <v>269</v>
      </c>
    </row>
    <row r="18" spans="2:15" ht="20.100000000000001" customHeight="1" x14ac:dyDescent="0.15">
      <c r="B18" s="342" t="s">
        <v>294</v>
      </c>
      <c r="C18" s="299">
        <v>358</v>
      </c>
      <c r="D18" s="299">
        <v>461</v>
      </c>
      <c r="E18" s="299">
        <v>424</v>
      </c>
      <c r="F18" s="299">
        <v>272</v>
      </c>
      <c r="G18" s="299">
        <v>235</v>
      </c>
      <c r="H18" s="299">
        <v>174</v>
      </c>
      <c r="I18" s="299">
        <v>204</v>
      </c>
      <c r="J18" s="299">
        <v>192</v>
      </c>
      <c r="K18" s="299">
        <v>194</v>
      </c>
      <c r="L18" s="299">
        <v>258</v>
      </c>
      <c r="M18" s="299">
        <v>320</v>
      </c>
      <c r="N18" s="299">
        <v>491</v>
      </c>
      <c r="O18" s="149">
        <v>249</v>
      </c>
    </row>
    <row r="19" spans="2:15" ht="20.100000000000001" customHeight="1" x14ac:dyDescent="0.15">
      <c r="B19" s="342" t="s">
        <v>295</v>
      </c>
      <c r="C19" s="299">
        <v>440</v>
      </c>
      <c r="D19" s="299">
        <v>315</v>
      </c>
      <c r="E19" s="299">
        <v>220</v>
      </c>
      <c r="F19" s="299">
        <v>248</v>
      </c>
      <c r="G19" s="299">
        <v>152</v>
      </c>
      <c r="H19" s="299">
        <v>234</v>
      </c>
      <c r="I19" s="299">
        <v>195</v>
      </c>
      <c r="J19" s="299">
        <v>226</v>
      </c>
      <c r="K19" s="299">
        <v>361</v>
      </c>
      <c r="L19" s="299">
        <v>367</v>
      </c>
      <c r="M19" s="299">
        <v>446</v>
      </c>
      <c r="N19" s="299">
        <v>317</v>
      </c>
      <c r="O19" s="149">
        <v>255</v>
      </c>
    </row>
    <row r="20" spans="2:15" ht="20.100000000000001" customHeight="1" thickBot="1" x14ac:dyDescent="0.2">
      <c r="B20" s="340" t="s">
        <v>220</v>
      </c>
      <c r="C20" s="338">
        <f>AVERAGE(C15:C19)</f>
        <v>337</v>
      </c>
      <c r="D20" s="338">
        <f t="shared" ref="D20:N20" si="1">AVERAGE(D15:D19)</f>
        <v>343.6</v>
      </c>
      <c r="E20" s="338">
        <f t="shared" si="1"/>
        <v>305.60000000000002</v>
      </c>
      <c r="F20" s="338">
        <f t="shared" si="1"/>
        <v>261.39999999999998</v>
      </c>
      <c r="G20" s="338">
        <f t="shared" si="1"/>
        <v>203.2</v>
      </c>
      <c r="H20" s="338">
        <f t="shared" si="1"/>
        <v>215.4</v>
      </c>
      <c r="I20" s="338">
        <f t="shared" si="1"/>
        <v>200.6</v>
      </c>
      <c r="J20" s="338">
        <f t="shared" si="1"/>
        <v>210.6</v>
      </c>
      <c r="K20" s="338">
        <f t="shared" si="1"/>
        <v>264.2</v>
      </c>
      <c r="L20" s="338">
        <f t="shared" si="1"/>
        <v>287.2</v>
      </c>
      <c r="M20" s="338">
        <f t="shared" si="1"/>
        <v>357.4</v>
      </c>
      <c r="N20" s="338">
        <f t="shared" si="1"/>
        <v>379.2</v>
      </c>
      <c r="O20" s="339">
        <f>AVERAGE(O15:O19)</f>
        <v>249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きゅうり標準技術（半促成＋抑制）</vt:lpstr>
      <vt:lpstr>４　経営収支</vt:lpstr>
      <vt:lpstr>５　きゅうり作業時間</vt:lpstr>
      <vt:lpstr>６　固定資本装備と減価償却費</vt:lpstr>
      <vt:lpstr>７　きゅうり部門収支</vt:lpstr>
      <vt:lpstr>８　きゅうり算出基礎</vt:lpstr>
      <vt:lpstr>９　きゅうり単価算出基礎</vt:lpstr>
      <vt:lpstr>'４　経営収支'!Print_Area</vt:lpstr>
      <vt:lpstr>'５　きゅうり作業時間'!Print_Area</vt:lpstr>
      <vt:lpstr>'６　固定資本装備と減価償却費'!Print_Area</vt:lpstr>
      <vt:lpstr>'７　きゅうり部門収支'!Print_Area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2015-03-03T05:29:59Z</cp:lastPrinted>
  <dcterms:created xsi:type="dcterms:W3CDTF">2005-02-26T02:20:11Z</dcterms:created>
  <dcterms:modified xsi:type="dcterms:W3CDTF">2015-03-24T04:47:34Z</dcterms:modified>
</cp:coreProperties>
</file>