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784"/>
  </bookViews>
  <sheets>
    <sheet name="１　対象経営の概要，２　前提条件" sheetId="19" r:id="rId1"/>
    <sheet name="３　イチゴ標準技術" sheetId="24" r:id="rId2"/>
    <sheet name="４　経営収支" sheetId="22" r:id="rId3"/>
    <sheet name="５　イチゴ作業時間" sheetId="27" r:id="rId4"/>
    <sheet name="６　固定資本装備と減価償却費" sheetId="30" r:id="rId5"/>
    <sheet name="７　イチゴ部門収支" sheetId="35" r:id="rId6"/>
    <sheet name="８　イチゴ算出基礎" sheetId="36" r:id="rId7"/>
    <sheet name="９　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イチゴ作業時間'!$A$1:$AN$41</definedName>
    <definedName name="_xlnm.Print_Area" localSheetId="4">'６　固定資本装備と減価償却費'!$1:$44</definedName>
    <definedName name="_xlnm.Print_Area" localSheetId="5">'７　イチゴ部門収支'!$A$1:$S$45</definedName>
    <definedName name="_xlnm.Print_Area" localSheetId="6">'８　イチゴ算出基礎'!$A$1:$V$59</definedName>
    <definedName name="_xlnm.Print_Area" localSheetId="7">'９　単価算出基礎'!$A$1:$P$49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N5" i="35" l="1"/>
  <c r="N29" i="36" l="1"/>
  <c r="N28" i="36"/>
  <c r="N20" i="36"/>
  <c r="N19" i="36"/>
  <c r="N12" i="36"/>
  <c r="N13" i="36"/>
  <c r="N14" i="36"/>
  <c r="N15" i="36"/>
  <c r="N11" i="36"/>
  <c r="P17" i="30" l="1"/>
  <c r="N43" i="36" l="1"/>
  <c r="V40" i="36" l="1"/>
  <c r="S40" i="36"/>
  <c r="S39" i="36"/>
  <c r="S38" i="36"/>
  <c r="K37" i="36"/>
  <c r="N52" i="36"/>
  <c r="G6" i="30" l="1"/>
  <c r="G5" i="30"/>
  <c r="AH20" i="35" l="1"/>
  <c r="AG20" i="35"/>
  <c r="AF20" i="35"/>
  <c r="AE20" i="35"/>
  <c r="AD20" i="35"/>
  <c r="AC20" i="35"/>
  <c r="AB20" i="35"/>
  <c r="AA20" i="35"/>
  <c r="Z20" i="35"/>
  <c r="Y20" i="35"/>
  <c r="X20" i="35"/>
  <c r="W20" i="35"/>
  <c r="AI19" i="35"/>
  <c r="AI18" i="35"/>
  <c r="AI17" i="35"/>
  <c r="AI16" i="35"/>
  <c r="AI15" i="35"/>
  <c r="AI20" i="35" l="1"/>
  <c r="N37" i="36"/>
  <c r="K36" i="36" l="1"/>
  <c r="K35" i="36"/>
  <c r="V5" i="36" l="1"/>
  <c r="K16" i="36" l="1"/>
  <c r="X11" i="35" l="1"/>
  <c r="C29" i="27" l="1"/>
  <c r="AC44" i="36"/>
  <c r="G45" i="36"/>
  <c r="G44" i="36"/>
  <c r="AC38" i="36"/>
  <c r="AC39" i="36"/>
  <c r="AC40" i="36"/>
  <c r="AC41" i="36"/>
  <c r="AC42" i="36"/>
  <c r="AC43" i="36"/>
  <c r="AC37" i="36"/>
  <c r="P11" i="35" l="1"/>
  <c r="F21" i="35" l="1"/>
  <c r="F22" i="35"/>
  <c r="F12" i="35"/>
  <c r="Y25" i="36" l="1"/>
  <c r="V29" i="36"/>
  <c r="V28" i="36"/>
  <c r="D33" i="27"/>
  <c r="K16" i="30" l="1"/>
  <c r="K17" i="30"/>
  <c r="K15" i="30"/>
  <c r="K14" i="30"/>
  <c r="K13" i="30"/>
  <c r="N16" i="36" l="1"/>
  <c r="K6" i="30"/>
  <c r="K7" i="30"/>
  <c r="K8" i="30"/>
  <c r="K9" i="30"/>
  <c r="K10" i="30"/>
  <c r="K11" i="30"/>
  <c r="K5" i="30"/>
  <c r="N36" i="36" l="1"/>
  <c r="N35" i="36"/>
  <c r="G43" i="36"/>
  <c r="G42" i="36"/>
  <c r="G41" i="36"/>
  <c r="F12" i="36" l="1"/>
  <c r="F13" i="36"/>
  <c r="AA7" i="36"/>
  <c r="AA13" i="36"/>
  <c r="AA22" i="36"/>
  <c r="X20" i="36"/>
  <c r="Y22" i="36" s="1"/>
  <c r="X16" i="36"/>
  <c r="X9" i="36"/>
  <c r="X12" i="36"/>
  <c r="X22" i="36" l="1"/>
  <c r="I13" i="30" l="1"/>
  <c r="L13" i="30" s="1"/>
  <c r="N13" i="30" l="1"/>
  <c r="P13" i="30" s="1"/>
  <c r="G28" i="36" l="1"/>
  <c r="L66" i="36" l="1"/>
  <c r="N66" i="36" s="1"/>
  <c r="L65" i="36"/>
  <c r="N65" i="36" s="1"/>
  <c r="L64" i="36"/>
  <c r="N64" i="36" s="1"/>
  <c r="AH11" i="35" l="1"/>
  <c r="AG11" i="35"/>
  <c r="AF11" i="35"/>
  <c r="AE11" i="35"/>
  <c r="AD11" i="35"/>
  <c r="AC11" i="35"/>
  <c r="AB11" i="35"/>
  <c r="AA11" i="35"/>
  <c r="Z11" i="35"/>
  <c r="Y11" i="35"/>
  <c r="W11" i="35"/>
  <c r="AI10" i="35"/>
  <c r="AI9" i="35"/>
  <c r="AI8" i="35"/>
  <c r="AI7" i="35"/>
  <c r="AI6" i="35"/>
  <c r="AI11" i="35" s="1"/>
  <c r="R11" i="35"/>
  <c r="O19" i="42" l="1"/>
  <c r="O18" i="42"/>
  <c r="O17" i="42"/>
  <c r="O16" i="42"/>
  <c r="O15" i="42"/>
  <c r="O8" i="42"/>
  <c r="O9" i="42"/>
  <c r="O10" i="42"/>
  <c r="O7" i="42"/>
  <c r="O6" i="42"/>
  <c r="G24" i="22" l="1"/>
  <c r="F24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F17" i="35"/>
  <c r="G19" i="22" s="1"/>
  <c r="F19" i="22" s="1"/>
  <c r="G23" i="22"/>
  <c r="F23" i="22" s="1"/>
  <c r="G6" i="22"/>
  <c r="F6" i="22" s="1"/>
  <c r="G46" i="36" l="1"/>
  <c r="G47" i="36"/>
  <c r="G31" i="36"/>
  <c r="G32" i="36"/>
  <c r="G33" i="36"/>
  <c r="G34" i="36"/>
  <c r="G35" i="36"/>
  <c r="L27" i="36"/>
  <c r="K27" i="36"/>
  <c r="N26" i="36"/>
  <c r="N25" i="36"/>
  <c r="N27" i="36" l="1"/>
  <c r="P35" i="35" s="1"/>
  <c r="N50" i="36"/>
  <c r="N46" i="36"/>
  <c r="N51" i="36"/>
  <c r="V56" i="36"/>
  <c r="V50" i="36"/>
  <c r="V44" i="36"/>
  <c r="V27" i="36"/>
  <c r="V26" i="36"/>
  <c r="V25" i="36"/>
  <c r="V24" i="36"/>
  <c r="N56" i="36" l="1"/>
  <c r="V57" i="36"/>
  <c r="N42" i="36"/>
  <c r="I9" i="30"/>
  <c r="L9" i="30" s="1"/>
  <c r="N9" i="30" s="1"/>
  <c r="P9" i="30"/>
  <c r="I10" i="30"/>
  <c r="L10" i="30" s="1"/>
  <c r="N10" i="30" s="1"/>
  <c r="I6" i="30"/>
  <c r="I7" i="30"/>
  <c r="I5" i="30"/>
  <c r="P10" i="30" l="1"/>
  <c r="N57" i="36"/>
  <c r="L6" i="30"/>
  <c r="L7" i="30"/>
  <c r="AM39" i="27" l="1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N38" i="27"/>
  <c r="AN37" i="27"/>
  <c r="AN36" i="27"/>
  <c r="AN35" i="27"/>
  <c r="G19" i="36"/>
  <c r="G18" i="36"/>
  <c r="V10" i="36"/>
  <c r="L31" i="36"/>
  <c r="K31" i="36"/>
  <c r="L23" i="36"/>
  <c r="K23" i="36"/>
  <c r="K19" i="36"/>
  <c r="N30" i="36"/>
  <c r="N22" i="36"/>
  <c r="N21" i="36"/>
  <c r="N18" i="36"/>
  <c r="N17" i="36"/>
  <c r="L16" i="36"/>
  <c r="L19" i="36" s="1"/>
  <c r="L10" i="36"/>
  <c r="K10" i="36"/>
  <c r="N7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V11" i="36"/>
  <c r="V9" i="36"/>
  <c r="V8" i="36"/>
  <c r="V7" i="36"/>
  <c r="V6" i="36"/>
  <c r="G52" i="36"/>
  <c r="G51" i="36"/>
  <c r="G50" i="36"/>
  <c r="G48" i="36"/>
  <c r="G40" i="36"/>
  <c r="G39" i="36"/>
  <c r="G37" i="36"/>
  <c r="G36" i="36"/>
  <c r="G30" i="36"/>
  <c r="G29" i="36"/>
  <c r="N8" i="35"/>
  <c r="N9" i="35"/>
  <c r="N10" i="35"/>
  <c r="N11" i="35"/>
  <c r="N7" i="35"/>
  <c r="P13" i="35"/>
  <c r="N6" i="35"/>
  <c r="I37" i="30"/>
  <c r="L37" i="30" s="1"/>
  <c r="I23" i="30"/>
  <c r="L23" i="30" s="1"/>
  <c r="I18" i="30"/>
  <c r="L18" i="30" s="1"/>
  <c r="I14" i="30"/>
  <c r="L14" i="30" s="1"/>
  <c r="P27" i="30"/>
  <c r="I27" i="30"/>
  <c r="L27" i="30" s="1"/>
  <c r="P26" i="30"/>
  <c r="I26" i="30"/>
  <c r="L26" i="30" s="1"/>
  <c r="P20" i="30"/>
  <c r="I20" i="30"/>
  <c r="L20" i="30" s="1"/>
  <c r="N20" i="30" s="1"/>
  <c r="P19" i="30"/>
  <c r="I19" i="30"/>
  <c r="L19" i="30" s="1"/>
  <c r="N19" i="30" s="1"/>
  <c r="I16" i="30"/>
  <c r="I15" i="30"/>
  <c r="L15" i="30" s="1"/>
  <c r="P36" i="30"/>
  <c r="I36" i="30"/>
  <c r="L36" i="30" s="1"/>
  <c r="G43" i="30"/>
  <c r="P42" i="30"/>
  <c r="L42" i="30"/>
  <c r="N42" i="30" s="1"/>
  <c r="I42" i="30"/>
  <c r="P41" i="30"/>
  <c r="I41" i="30"/>
  <c r="L41" i="30" s="1"/>
  <c r="N41" i="30" s="1"/>
  <c r="P40" i="30"/>
  <c r="I40" i="30"/>
  <c r="L40" i="30" s="1"/>
  <c r="N40" i="30" s="1"/>
  <c r="I39" i="30"/>
  <c r="G38" i="30"/>
  <c r="P35" i="30"/>
  <c r="I35" i="30"/>
  <c r="P34" i="30"/>
  <c r="I34" i="30"/>
  <c r="L34" i="30" s="1"/>
  <c r="P33" i="30"/>
  <c r="I33" i="30"/>
  <c r="L33" i="30" s="1"/>
  <c r="I32" i="30"/>
  <c r="L32" i="30" s="1"/>
  <c r="I31" i="30"/>
  <c r="L31" i="30" s="1"/>
  <c r="N31" i="30" s="1"/>
  <c r="P30" i="30"/>
  <c r="I30" i="30"/>
  <c r="P29" i="30"/>
  <c r="I29" i="30"/>
  <c r="L29" i="30" s="1"/>
  <c r="N29" i="30" s="1"/>
  <c r="P28" i="30"/>
  <c r="I28" i="30"/>
  <c r="L28" i="30" s="1"/>
  <c r="N28" i="30" s="1"/>
  <c r="P25" i="30"/>
  <c r="I25" i="30"/>
  <c r="I24" i="30"/>
  <c r="L24" i="30" s="1"/>
  <c r="I22" i="30"/>
  <c r="P21" i="30"/>
  <c r="I21" i="30"/>
  <c r="L21" i="30" s="1"/>
  <c r="I17" i="30"/>
  <c r="L17" i="30" s="1"/>
  <c r="G12" i="30"/>
  <c r="P11" i="30"/>
  <c r="I11" i="30"/>
  <c r="L11" i="30" s="1"/>
  <c r="N11" i="30" s="1"/>
  <c r="P8" i="30"/>
  <c r="I8" i="30"/>
  <c r="L8" i="30" s="1"/>
  <c r="N8" i="30" s="1"/>
  <c r="AN22" i="27"/>
  <c r="AN23" i="27"/>
  <c r="AN21" i="27"/>
  <c r="AN11" i="27"/>
  <c r="AM24" i="27"/>
  <c r="AM33" i="27" s="1"/>
  <c r="AL24" i="27"/>
  <c r="AL33" i="27" s="1"/>
  <c r="AK24" i="27"/>
  <c r="AK33" i="27" s="1"/>
  <c r="AJ24" i="27"/>
  <c r="AJ33" i="27" s="1"/>
  <c r="AI24" i="27"/>
  <c r="AI33" i="27" s="1"/>
  <c r="AH24" i="27"/>
  <c r="AH33" i="27" s="1"/>
  <c r="AG24" i="27"/>
  <c r="AG33" i="27" s="1"/>
  <c r="AF24" i="27"/>
  <c r="AF33" i="27" s="1"/>
  <c r="AE24" i="27"/>
  <c r="AE33" i="27" s="1"/>
  <c r="AD24" i="27"/>
  <c r="AD33" i="27" s="1"/>
  <c r="AC24" i="27"/>
  <c r="AC33" i="27" s="1"/>
  <c r="AB24" i="27"/>
  <c r="AB33" i="27" s="1"/>
  <c r="AA24" i="27"/>
  <c r="AA33" i="27" s="1"/>
  <c r="Z24" i="27"/>
  <c r="Z33" i="27" s="1"/>
  <c r="Y24" i="27"/>
  <c r="Y33" i="27" s="1"/>
  <c r="X24" i="27"/>
  <c r="X33" i="27" s="1"/>
  <c r="W24" i="27"/>
  <c r="W33" i="27" s="1"/>
  <c r="V24" i="27"/>
  <c r="V33" i="27" s="1"/>
  <c r="U24" i="27"/>
  <c r="U33" i="27" s="1"/>
  <c r="T24" i="27"/>
  <c r="T33" i="27" s="1"/>
  <c r="S24" i="27"/>
  <c r="S33" i="27" s="1"/>
  <c r="R24" i="27"/>
  <c r="R33" i="27" s="1"/>
  <c r="Q24" i="27"/>
  <c r="Q33" i="27" s="1"/>
  <c r="P24" i="27"/>
  <c r="P33" i="27" s="1"/>
  <c r="O24" i="27"/>
  <c r="O33" i="27" s="1"/>
  <c r="N24" i="27"/>
  <c r="N33" i="27" s="1"/>
  <c r="M24" i="27"/>
  <c r="M33" i="27" s="1"/>
  <c r="L24" i="27"/>
  <c r="L33" i="27" s="1"/>
  <c r="K24" i="27"/>
  <c r="K33" i="27" s="1"/>
  <c r="J24" i="27"/>
  <c r="J33" i="27" s="1"/>
  <c r="I24" i="27"/>
  <c r="I33" i="27" s="1"/>
  <c r="H24" i="27"/>
  <c r="H33" i="27" s="1"/>
  <c r="G24" i="27"/>
  <c r="G33" i="27" s="1"/>
  <c r="F24" i="27"/>
  <c r="F33" i="27" s="1"/>
  <c r="E24" i="27"/>
  <c r="E33" i="27" s="1"/>
  <c r="D24" i="27"/>
  <c r="AN20" i="27"/>
  <c r="AN19" i="27"/>
  <c r="AN18" i="27"/>
  <c r="AN17" i="27"/>
  <c r="AN16" i="27"/>
  <c r="AN15" i="27"/>
  <c r="AN14" i="27"/>
  <c r="AN13" i="27"/>
  <c r="AN12" i="27"/>
  <c r="F4" i="35" l="1"/>
  <c r="F6" i="35"/>
  <c r="G8" i="22" s="1"/>
  <c r="F8" i="22" s="1"/>
  <c r="I43" i="30"/>
  <c r="L22" i="30"/>
  <c r="L35" i="30"/>
  <c r="N35" i="30" s="1"/>
  <c r="N34" i="30"/>
  <c r="L5" i="30"/>
  <c r="N5" i="30" s="1"/>
  <c r="P5" i="30" s="1"/>
  <c r="S40" i="27"/>
  <c r="S41" i="27" s="1"/>
  <c r="G40" i="27"/>
  <c r="G41" i="27" s="1"/>
  <c r="K40" i="27"/>
  <c r="K41" i="27" s="1"/>
  <c r="O40" i="27"/>
  <c r="O41" i="27" s="1"/>
  <c r="W40" i="27"/>
  <c r="W41" i="27" s="1"/>
  <c r="AE40" i="27"/>
  <c r="AE41" i="27" s="1"/>
  <c r="AI40" i="27"/>
  <c r="AI41" i="27" s="1"/>
  <c r="AM40" i="27"/>
  <c r="AM41" i="27" s="1"/>
  <c r="N40" i="27"/>
  <c r="N41" i="27" s="1"/>
  <c r="V40" i="27"/>
  <c r="V41" i="27" s="1"/>
  <c r="AD40" i="27"/>
  <c r="AD41" i="27" s="1"/>
  <c r="AH40" i="27"/>
  <c r="AH41" i="27" s="1"/>
  <c r="E40" i="27"/>
  <c r="E41" i="27" s="1"/>
  <c r="M40" i="27"/>
  <c r="M41" i="27" s="1"/>
  <c r="U40" i="27"/>
  <c r="U41" i="27" s="1"/>
  <c r="Y40" i="27"/>
  <c r="Y41" i="27" s="1"/>
  <c r="AG40" i="27"/>
  <c r="AG41" i="27" s="1"/>
  <c r="AK40" i="27"/>
  <c r="AK41" i="27" s="1"/>
  <c r="F40" i="27"/>
  <c r="F41" i="27" s="1"/>
  <c r="J40" i="27"/>
  <c r="J41" i="27" s="1"/>
  <c r="R40" i="27"/>
  <c r="R41" i="27" s="1"/>
  <c r="Z40" i="27"/>
  <c r="Z41" i="27" s="1"/>
  <c r="AL40" i="27"/>
  <c r="AL41" i="27" s="1"/>
  <c r="I40" i="27"/>
  <c r="I41" i="27" s="1"/>
  <c r="Q40" i="27"/>
  <c r="Q41" i="27" s="1"/>
  <c r="AC40" i="27"/>
  <c r="AC41" i="27" s="1"/>
  <c r="T40" i="27"/>
  <c r="T41" i="27" s="1"/>
  <c r="AF40" i="27"/>
  <c r="AF41" i="27" s="1"/>
  <c r="AA40" i="27"/>
  <c r="AA41" i="27" s="1"/>
  <c r="X40" i="27"/>
  <c r="X41" i="27" s="1"/>
  <c r="P40" i="27"/>
  <c r="P41" i="27" s="1"/>
  <c r="H40" i="27"/>
  <c r="H41" i="27" s="1"/>
  <c r="L40" i="27"/>
  <c r="L41" i="27" s="1"/>
  <c r="AJ40" i="27"/>
  <c r="AJ41" i="27" s="1"/>
  <c r="AB40" i="27"/>
  <c r="AB41" i="27" s="1"/>
  <c r="D40" i="27"/>
  <c r="D41" i="27" s="1"/>
  <c r="AN39" i="27"/>
  <c r="I37" i="22" s="1"/>
  <c r="K25" i="27"/>
  <c r="H25" i="27"/>
  <c r="G20" i="36"/>
  <c r="P19" i="35" s="1"/>
  <c r="P31" i="35"/>
  <c r="V34" i="36"/>
  <c r="N31" i="36"/>
  <c r="P36" i="35" s="1"/>
  <c r="P33" i="35"/>
  <c r="N23" i="36"/>
  <c r="P34" i="35" s="1"/>
  <c r="N10" i="36"/>
  <c r="P30" i="35" s="1"/>
  <c r="G7" i="36"/>
  <c r="G11" i="36"/>
  <c r="P17" i="35" s="1"/>
  <c r="G16" i="36"/>
  <c r="P18" i="35" s="1"/>
  <c r="G24" i="36"/>
  <c r="G53" i="36"/>
  <c r="V20" i="36"/>
  <c r="F10" i="35" s="1"/>
  <c r="G12" i="22" s="1"/>
  <c r="F12" i="22" s="1"/>
  <c r="G57" i="36"/>
  <c r="P15" i="35"/>
  <c r="G49" i="36"/>
  <c r="P25" i="35" s="1"/>
  <c r="G38" i="36"/>
  <c r="P24" i="35" s="1"/>
  <c r="N21" i="30"/>
  <c r="L16" i="30"/>
  <c r="L25" i="30"/>
  <c r="N25" i="30" s="1"/>
  <c r="L30" i="30"/>
  <c r="N30" i="30" s="1"/>
  <c r="N33" i="30"/>
  <c r="N26" i="30"/>
  <c r="N36" i="30"/>
  <c r="N15" i="30"/>
  <c r="P15" i="30" s="1"/>
  <c r="N27" i="30"/>
  <c r="I38" i="30"/>
  <c r="G44" i="30"/>
  <c r="I12" i="30"/>
  <c r="N37" i="30"/>
  <c r="P37" i="30" s="1"/>
  <c r="N7" i="30"/>
  <c r="P7" i="30" s="1"/>
  <c r="N32" i="30"/>
  <c r="P32" i="30" s="1"/>
  <c r="N6" i="30"/>
  <c r="P6" i="30" s="1"/>
  <c r="N23" i="30"/>
  <c r="P23" i="30" s="1"/>
  <c r="P24" i="30"/>
  <c r="N24" i="30"/>
  <c r="N18" i="30"/>
  <c r="P18" i="30" s="1"/>
  <c r="P31" i="30"/>
  <c r="L39" i="30"/>
  <c r="AN24" i="27"/>
  <c r="T25" i="27"/>
  <c r="T34" i="27" s="1"/>
  <c r="AF25" i="27"/>
  <c r="AF34" i="27" s="1"/>
  <c r="W25" i="27"/>
  <c r="W34" i="27" s="1"/>
  <c r="AI25" i="27"/>
  <c r="AI34" i="27" s="1"/>
  <c r="AL25" i="27"/>
  <c r="AL34" i="27" s="1"/>
  <c r="AN25" i="27"/>
  <c r="E25" i="27"/>
  <c r="E34" i="27" s="1"/>
  <c r="Q25" i="27"/>
  <c r="Q34" i="27" s="1"/>
  <c r="AC25" i="27"/>
  <c r="AC34" i="27" s="1"/>
  <c r="N25" i="27"/>
  <c r="N34" i="27" s="1"/>
  <c r="Z25" i="27"/>
  <c r="Z34" i="27" s="1"/>
  <c r="AN41" i="27" l="1"/>
  <c r="G33" i="22" s="1"/>
  <c r="F33" i="22" s="1"/>
  <c r="Q11" i="35"/>
  <c r="G5" i="22"/>
  <c r="F5" i="22" s="1"/>
  <c r="F25" i="35"/>
  <c r="G27" i="22" s="1"/>
  <c r="F27" i="22" s="1"/>
  <c r="F24" i="35"/>
  <c r="G26" i="22" s="1"/>
  <c r="F26" i="22" s="1"/>
  <c r="F23" i="35"/>
  <c r="G25" i="22" s="1"/>
  <c r="F25" i="22" s="1"/>
  <c r="F28" i="35"/>
  <c r="P32" i="35"/>
  <c r="P37" i="35" s="1"/>
  <c r="F9" i="35" s="1"/>
  <c r="G11" i="22" s="1"/>
  <c r="F11" i="22" s="1"/>
  <c r="F11" i="35"/>
  <c r="G13" i="22" s="1"/>
  <c r="F13" i="22" s="1"/>
  <c r="P12" i="30"/>
  <c r="N16" i="30"/>
  <c r="P16" i="30" s="1"/>
  <c r="F26" i="35"/>
  <c r="L12" i="30"/>
  <c r="F13" i="35" s="1"/>
  <c r="G15" i="22" s="1"/>
  <c r="F15" i="22" s="1"/>
  <c r="AN40" i="27"/>
  <c r="K34" i="27"/>
  <c r="H34" i="27"/>
  <c r="AN33" i="27"/>
  <c r="P22" i="35"/>
  <c r="F7" i="35" s="1"/>
  <c r="G9" i="22" s="1"/>
  <c r="F9" i="22" s="1"/>
  <c r="P28" i="35"/>
  <c r="F8" i="35" s="1"/>
  <c r="G10" i="22" s="1"/>
  <c r="F10" i="22" s="1"/>
  <c r="I44" i="30"/>
  <c r="N22" i="30"/>
  <c r="P22" i="30" s="1"/>
  <c r="N17" i="30"/>
  <c r="L38" i="30"/>
  <c r="F14" i="35" s="1"/>
  <c r="G16" i="22" s="1"/>
  <c r="F16" i="22" s="1"/>
  <c r="L43" i="30"/>
  <c r="N39" i="30"/>
  <c r="P39" i="30" s="1"/>
  <c r="P43" i="30" s="1"/>
  <c r="N14" i="30"/>
  <c r="P14" i="30" s="1"/>
  <c r="L37" i="22" l="1"/>
  <c r="G37" i="22" s="1"/>
  <c r="F37" i="22" s="1"/>
  <c r="F15" i="35"/>
  <c r="G17" i="22" s="1"/>
  <c r="F17" i="22" s="1"/>
  <c r="AN34" i="27"/>
  <c r="P38" i="30"/>
  <c r="F16" i="35" s="1"/>
  <c r="G18" i="22" s="1"/>
  <c r="F18" i="22" s="1"/>
  <c r="G28" i="22"/>
  <c r="F28" i="22" s="1"/>
  <c r="G30" i="22"/>
  <c r="F30" i="22" s="1"/>
  <c r="L44" i="30"/>
  <c r="F29" i="35" l="1"/>
  <c r="G31" i="22" s="1"/>
  <c r="F31" i="22" s="1"/>
  <c r="F32" i="22" s="1"/>
  <c r="P44" i="30"/>
  <c r="G7" i="22"/>
  <c r="F30" i="35" l="1"/>
  <c r="F19" i="35"/>
  <c r="G21" i="22" s="1"/>
  <c r="F21" i="22" s="1"/>
  <c r="F22" i="22" s="1"/>
  <c r="F34" i="22" s="1"/>
  <c r="F7" i="22"/>
  <c r="F35" i="22" l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<sst xmlns="http://schemas.openxmlformats.org/spreadsheetml/2006/main" count="910" uniqueCount="581">
  <si>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</si>
  <si>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</si>
  <si>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</si>
  <si>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</si>
  <si>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</si>
  <si>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</si>
  <si>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</si>
  <si>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</si>
  <si>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</si>
  <si>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</si>
  <si>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</si>
  <si>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</si>
  <si>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</si>
  <si>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</si>
  <si>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</si>
  <si>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</si>
  <si>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</si>
  <si>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</si>
  <si>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</si>
  <si>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</si>
  <si>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</si>
  <si>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</si>
  <si>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</si>
  <si>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</si>
  <si>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</si>
  <si>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</si>
  <si>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</si>
  <si>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</si>
  <si>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</si>
  <si>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</si>
  <si>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</si>
  <si>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</si>
  <si>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</si>
  <si>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</si>
  <si>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</si>
  <si>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</si>
  <si>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</si>
  <si>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</si>
  <si>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</si>
  <si>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</si>
  <si>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</si>
  <si>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</si>
  <si>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</si>
  <si>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</si>
  <si>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</si>
  <si>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</si>
  <si>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</si>
  <si>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</si>
  <si>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</si>
  <si>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</si>
  <si>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</si>
  <si>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</si>
  <si>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</si>
  <si>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</si>
  <si>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</si>
  <si>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</si>
  <si>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</si>
  <si>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</si>
  <si>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</si>
  <si>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</si>
  <si>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</si>
  <si>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</si>
  <si>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</si>
  <si>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</si>
  <si>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</si>
  <si>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</si>
  <si>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</si>
  <si>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</si>
  <si>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</si>
  <si>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</si>
  <si>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</si>
  <si>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</si>
  <si>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</si>
  <si>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</si>
  <si>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</si>
  <si>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</si>
  <si>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</si>
  <si>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</si>
  <si>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</si>
  <si>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</si>
  <si>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</si>
  <si>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</si>
  <si>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</si>
  <si>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</si>
  <si>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</si>
  <si>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</si>
  <si>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</si>
  <si>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</si>
  <si>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</si>
  <si>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</si>
  <si>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</si>
  <si>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</si>
  <si>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</si>
  <si>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</si>
  <si>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</si>
  <si>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</si>
  <si>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</si>
  <si>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</si>
  <si>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</si>
  <si>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</si>
  <si>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</si>
  <si>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</si>
  <si>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</si>
  <si>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</si>
  <si>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</si>
  <si>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</si>
  <si>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</si>
  <si>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</si>
  <si>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</si>
  <si>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</si>
  <si>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</si>
  <si>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</si>
  <si>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</si>
  <si>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</si>
  <si>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</si>
  <si>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</si>
  <si>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</si>
  <si>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</si>
  <si>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</si>
  <si>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</si>
  <si>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</si>
  <si>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</si>
  <si>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</si>
  <si>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</si>
  <si>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</si>
  <si>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</si>
  <si>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</si>
  <si>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</si>
  <si>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</si>
  <si>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</si>
  <si>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</si>
  <si>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</si>
  <si>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</si>
  <si>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</si>
  <si>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</si>
  <si>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</si>
  <si>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</si>
  <si>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</si>
  <si>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</si>
  <si>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</si>
  <si>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</si>
  <si>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</si>
  <si>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</si>
  <si>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</si>
  <si>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</si>
  <si>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</si>
  <si>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</si>
  <si>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</si>
  <si>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</si>
  <si>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</si>
  <si>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</si>
  <si>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</si>
  <si>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</si>
  <si>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</si>
  <si>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</si>
  <si>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</si>
  <si>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</si>
  <si>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</si>
  <si>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</si>
  <si>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</si>
  <si>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</si>
  <si>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</si>
  <si>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</si>
  <si>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</si>
  <si>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</si>
  <si>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</si>
  <si>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</si>
  <si>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</si>
  <si>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</si>
  <si>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</si>
  <si>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</si>
  <si>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</si>
  <si>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</si>
  <si>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</si>
  <si>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</si>
  <si>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</si>
  <si>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</si>
  <si>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</si>
  <si>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</si>
  <si>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</si>
  <si>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</si>
  <si>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</si>
  <si>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</si>
  <si>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</si>
  <si>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m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</si>
  <si>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</si>
  <si>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</si>
  <si>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</si>
  <si>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</si>
  <si>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</si>
  <si>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</si>
  <si>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</si>
  <si>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</si>
  <si>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</si>
  <si>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</si>
  <si>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</si>
  <si>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</si>
  <si>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</si>
  <si>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</si>
  <si>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</si>
  <si>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</si>
  <si>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</si>
  <si>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</si>
  <si>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</si>
  <si>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</si>
  <si>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</si>
  <si>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</si>
  <si>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</si>
  <si>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</si>
  <si>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</si>
  <si>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</si>
  <si>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</si>
  <si>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</si>
  <si>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資材・農機具庫</t>
  </si>
  <si>
    <t>〃</t>
  </si>
  <si>
    <t>動力噴霧機</t>
  </si>
  <si>
    <t>可搬式6ps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</si>
  <si>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</si>
  <si>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</si>
  <si>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</si>
  <si>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</si>
  <si>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</si>
  <si>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</si>
  <si>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</si>
  <si>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</si>
  <si>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</si>
  <si>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</si>
  <si>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</si>
  <si>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</si>
  <si>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</si>
  <si>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</si>
  <si>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</si>
  <si>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</si>
  <si>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</si>
  <si>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</si>
  <si>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</si>
  <si>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</si>
  <si>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</si>
  <si>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</si>
  <si>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</si>
  <si>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</si>
  <si>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</si>
  <si>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</si>
  <si>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</si>
  <si>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</si>
  <si>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</si>
  <si>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</si>
  <si>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</si>
  <si>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</si>
  <si>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</si>
  <si>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</si>
  <si>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</si>
  <si>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</si>
  <si>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</si>
  <si>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</si>
  <si>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</si>
  <si>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イチゴ</t>
    <phoneticPr fontId="3"/>
  </si>
  <si>
    <t>×</t>
    <phoneticPr fontId="4"/>
  </si>
  <si>
    <t>冬場の日射量が多い場所</t>
    <phoneticPr fontId="3"/>
  </si>
  <si>
    <t>小型機械体系，パイプハウス</t>
    <phoneticPr fontId="3"/>
  </si>
  <si>
    <t>広島型高設システムによるハウス促成栽培</t>
    <phoneticPr fontId="3"/>
  </si>
  <si>
    <t>△</t>
    <phoneticPr fontId="4"/>
  </si>
  <si>
    <t>H25</t>
    <phoneticPr fontId="4"/>
  </si>
  <si>
    <t>H24</t>
    <phoneticPr fontId="4"/>
  </si>
  <si>
    <t>H23</t>
    <phoneticPr fontId="4"/>
  </si>
  <si>
    <t>上段は数量…kg　中段は金額…円　下段は平均単価…円/kg</t>
    <phoneticPr fontId="4"/>
  </si>
  <si>
    <t>H22</t>
    <phoneticPr fontId="4"/>
  </si>
  <si>
    <t>H21</t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</si>
  <si>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</si>
  <si>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</si>
  <si>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</si>
  <si>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</si>
  <si>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</si>
  <si>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広島県</t>
    <rPh sb="0" eb="3">
      <t>ヒロシマケン</t>
    </rPh>
    <phoneticPr fontId="4"/>
  </si>
  <si>
    <t>全産地</t>
    <rPh sb="0" eb="1">
      <t>ゼン</t>
    </rPh>
    <rPh sb="1" eb="3">
      <t>サンチ</t>
    </rPh>
    <phoneticPr fontId="4"/>
  </si>
  <si>
    <t>いちご</t>
    <phoneticPr fontId="4"/>
  </si>
  <si>
    <t>促成</t>
    <rPh sb="0" eb="2">
      <t>ソクセイ</t>
    </rPh>
    <phoneticPr fontId="4"/>
  </si>
  <si>
    <t>９　単価の算出基礎（1kg当たり）</t>
    <rPh sb="2" eb="4">
      <t>タンカ</t>
    </rPh>
    <phoneticPr fontId="4"/>
  </si>
  <si>
    <t>親株</t>
    <rPh sb="0" eb="2">
      <t>オヤカブ</t>
    </rPh>
    <phoneticPr fontId="4"/>
  </si>
  <si>
    <t>（株）</t>
    <rPh sb="1" eb="2">
      <t>カブ</t>
    </rPh>
    <phoneticPr fontId="4"/>
  </si>
  <si>
    <t>g</t>
  </si>
  <si>
    <t>g</t>
    <phoneticPr fontId="4"/>
  </si>
  <si>
    <t>10ａ機械</t>
  </si>
  <si>
    <t>燃料</t>
  </si>
  <si>
    <t xml:space="preserve"> リットル／10a</t>
  </si>
  <si>
    <t>ガソリン</t>
  </si>
  <si>
    <t>潅水・追肥</t>
  </si>
  <si>
    <t>病害虫防除</t>
  </si>
  <si>
    <t>動力噴霧器</t>
  </si>
  <si>
    <t>軽油</t>
  </si>
  <si>
    <t>暖房機</t>
  </si>
  <si>
    <t>作業名</t>
    <phoneticPr fontId="4"/>
  </si>
  <si>
    <t>使用機械</t>
    <rPh sb="0" eb="2">
      <t>シヨウ</t>
    </rPh>
    <rPh sb="2" eb="4">
      <t>キカイ</t>
    </rPh>
    <phoneticPr fontId="4"/>
  </si>
  <si>
    <t>使用</t>
    <rPh sb="0" eb="2">
      <t>シヨウ</t>
    </rPh>
    <phoneticPr fontId="4"/>
  </si>
  <si>
    <t>肥料運搬</t>
    <phoneticPr fontId="4"/>
  </si>
  <si>
    <t>潅水ポンプ</t>
    <phoneticPr fontId="4"/>
  </si>
  <si>
    <t>収穫・出荷</t>
    <rPh sb="3" eb="5">
      <t>シュッカ</t>
    </rPh>
    <phoneticPr fontId="4"/>
  </si>
  <si>
    <t>電球</t>
    <rPh sb="0" eb="1">
      <t>デンショウ</t>
    </rPh>
    <rPh sb="1" eb="2">
      <t>キュウ</t>
    </rPh>
    <phoneticPr fontId="4"/>
  </si>
  <si>
    <t>冷蔵庫</t>
    <rPh sb="0" eb="3">
      <t>レイゾウコ</t>
    </rPh>
    <phoneticPr fontId="4"/>
  </si>
  <si>
    <t>肥料運搬(軽トラック）</t>
    <rPh sb="5" eb="6">
      <t>ケイ</t>
    </rPh>
    <phoneticPr fontId="4"/>
  </si>
  <si>
    <t>潅水・追肥（灌水ポンプ）</t>
    <rPh sb="6" eb="8">
      <t>カンスイ</t>
    </rPh>
    <phoneticPr fontId="4"/>
  </si>
  <si>
    <t>病害虫防除（動力噴霧器）</t>
    <rPh sb="6" eb="8">
      <t>ドウリョク</t>
    </rPh>
    <rPh sb="8" eb="11">
      <t>フンムキ</t>
    </rPh>
    <phoneticPr fontId="4"/>
  </si>
  <si>
    <t>収穫・出荷（軽トラック）</t>
    <rPh sb="3" eb="5">
      <t>シュッカ</t>
    </rPh>
    <rPh sb="6" eb="7">
      <t>ケイ</t>
    </rPh>
    <phoneticPr fontId="4"/>
  </si>
  <si>
    <t>10a機械</t>
    <phoneticPr fontId="4"/>
  </si>
  <si>
    <t>トラクター</t>
    <phoneticPr fontId="4"/>
  </si>
  <si>
    <t>後片づけ（トラクター）</t>
    <phoneticPr fontId="4"/>
  </si>
  <si>
    <t>電照（電球）</t>
    <rPh sb="0" eb="2">
      <t>デンショウ</t>
    </rPh>
    <rPh sb="3" eb="5">
      <t>デンキュウ</t>
    </rPh>
    <phoneticPr fontId="4"/>
  </si>
  <si>
    <t>暖房（暖房機）</t>
    <rPh sb="3" eb="6">
      <t>ダンボウキ</t>
    </rPh>
    <phoneticPr fontId="4"/>
  </si>
  <si>
    <t>予冷（冷蔵庫）</t>
    <rPh sb="0" eb="1">
      <t>ヨレイ</t>
    </rPh>
    <rPh sb="1" eb="2">
      <t>レイ</t>
    </rPh>
    <rPh sb="3" eb="6">
      <t>レイゾウコ</t>
    </rPh>
    <phoneticPr fontId="4"/>
  </si>
  <si>
    <t>　親床管理</t>
  </si>
  <si>
    <t>　育苗管理</t>
    <rPh sb="3" eb="5">
      <t>カンリ</t>
    </rPh>
    <phoneticPr fontId="4"/>
  </si>
  <si>
    <t>　育苗防除</t>
    <rPh sb="1" eb="3">
      <t>イクビョウ</t>
    </rPh>
    <rPh sb="3" eb="5">
      <t>ボウジョ</t>
    </rPh>
    <phoneticPr fontId="4"/>
  </si>
  <si>
    <t>　本圃準備</t>
  </si>
  <si>
    <t>　定植</t>
    <phoneticPr fontId="4"/>
  </si>
  <si>
    <t>　ハウス管理</t>
  </si>
  <si>
    <t>　潅水・追肥</t>
  </si>
  <si>
    <t>　防　　除</t>
  </si>
  <si>
    <t>　収穫・出荷</t>
  </si>
  <si>
    <t>　後片付け</t>
    <rPh sb="1" eb="2">
      <t>アト</t>
    </rPh>
    <rPh sb="2" eb="4">
      <t>カタヅ</t>
    </rPh>
    <phoneticPr fontId="4"/>
  </si>
  <si>
    <t xml:space="preserve"> </t>
  </si>
  <si>
    <t>イチゴ</t>
    <phoneticPr fontId="4"/>
  </si>
  <si>
    <t>５　作業別・旬別作業時間（10aあたり）</t>
    <phoneticPr fontId="4"/>
  </si>
  <si>
    <t>○</t>
    <phoneticPr fontId="4"/>
  </si>
  <si>
    <t>△</t>
    <phoneticPr fontId="4"/>
  </si>
  <si>
    <t>×</t>
    <phoneticPr fontId="4"/>
  </si>
  <si>
    <t>品名</t>
    <rPh sb="0" eb="2">
      <t>ヒンメイ</t>
    </rPh>
    <phoneticPr fontId="4"/>
  </si>
  <si>
    <t>規格</t>
    <rPh sb="0" eb="2">
      <t>キカク</t>
    </rPh>
    <phoneticPr fontId="4"/>
  </si>
  <si>
    <t>ﾌﾙﾋﾟｶﾌﾛｱﾌﾞﾙ</t>
  </si>
  <si>
    <t>40</t>
  </si>
  <si>
    <t>ｹｰｽ入数</t>
    <phoneticPr fontId="4"/>
  </si>
  <si>
    <t>農家購入参考価格（税別）</t>
    <rPh sb="0" eb="2">
      <t>ノウカ</t>
    </rPh>
    <rPh sb="2" eb="4">
      <t>コウニュウ</t>
    </rPh>
    <rPh sb="4" eb="6">
      <t>サンコウ</t>
    </rPh>
    <rPh sb="6" eb="8">
      <t>カカク</t>
    </rPh>
    <rPh sb="9" eb="11">
      <t>ゼイベツ</t>
    </rPh>
    <phoneticPr fontId="4"/>
  </si>
  <si>
    <t>ﾄﾘﾌﾐﾝ水和剤</t>
  </si>
  <si>
    <t>60</t>
  </si>
  <si>
    <t>20</t>
  </si>
  <si>
    <t>ｱﾐｽﾀｰ20ﾌﾛｱﾌﾞﾙ</t>
  </si>
  <si>
    <t>ﾍﾞﾙｸｰﾄ水和剤</t>
  </si>
  <si>
    <t>ﾓﾚｽﾀﾝ水和剤</t>
    <rPh sb="5" eb="8">
      <t>スイワザイ</t>
    </rPh>
    <phoneticPr fontId="4"/>
  </si>
  <si>
    <t>ﾎﾟﾘｵｷｼﾝAL水和剤</t>
  </si>
  <si>
    <t>イチバン</t>
    <phoneticPr fontId="4"/>
  </si>
  <si>
    <t>ﾆｯｿﾗﾝ水和剤</t>
  </si>
  <si>
    <t>100</t>
  </si>
  <si>
    <t>ｱﾃﾞｨｵﾝ乳剤</t>
  </si>
  <si>
    <t>ｺﾛﾏｲﾄ水和剤</t>
  </si>
  <si>
    <t>オサダン</t>
    <phoneticPr fontId="4"/>
  </si>
  <si>
    <t>ハダニ</t>
    <phoneticPr fontId="4"/>
  </si>
  <si>
    <t>ｺﾃﾂﾌﾛｱﾌﾞﾙ</t>
  </si>
  <si>
    <t>オンコル粒剤5</t>
    <rPh sb="4" eb="6">
      <t>リュウザイ</t>
    </rPh>
    <phoneticPr fontId="4"/>
  </si>
  <si>
    <t>ml</t>
    <phoneticPr fontId="4"/>
  </si>
  <si>
    <t>ml</t>
    <phoneticPr fontId="4"/>
  </si>
  <si>
    <t>g</t>
    <phoneticPr fontId="4"/>
  </si>
  <si>
    <t>g</t>
    <phoneticPr fontId="4"/>
  </si>
  <si>
    <t>ニッソラン　</t>
    <phoneticPr fontId="4"/>
  </si>
  <si>
    <t>ハダニ類</t>
    <rPh sb="3" eb="4">
      <t>ルイ</t>
    </rPh>
    <phoneticPr fontId="4"/>
  </si>
  <si>
    <t>アディオン</t>
    <phoneticPr fontId="4"/>
  </si>
  <si>
    <t>ﾊﾀﾞﾆ類、ﾊｽﾓﾝﾖﾄｳ、ｼｸﾗﾒﾝﾎｺﾘﾀﾞﾆ、ﾐｶﾝｷｲﾛｱｻﾞﾐｳﾏ</t>
  </si>
  <si>
    <t>コテツ</t>
    <phoneticPr fontId="4"/>
  </si>
  <si>
    <t>オンコル</t>
    <phoneticPr fontId="4"/>
  </si>
  <si>
    <t>アブラムシ</t>
    <phoneticPr fontId="4"/>
  </si>
  <si>
    <t>ﾊﾀﾞﾆ類、ｼｸﾗﾒﾝﾎｺﾘﾀﾞﾆ</t>
  </si>
  <si>
    <t>コロマイト</t>
    <phoneticPr fontId="4"/>
  </si>
  <si>
    <t>登録切れ</t>
    <rPh sb="0" eb="2">
      <t>トウロク</t>
    </rPh>
    <rPh sb="2" eb="3">
      <t>ギ</t>
    </rPh>
    <phoneticPr fontId="4"/>
  </si>
  <si>
    <t>2回？</t>
    <rPh sb="1" eb="2">
      <t>カイ</t>
    </rPh>
    <phoneticPr fontId="4"/>
  </si>
  <si>
    <t>アファーム</t>
    <phoneticPr fontId="4"/>
  </si>
  <si>
    <t>ｵｵﾀﾊﾞｺｶﾞ、ﾖﾄｳﾑｼ、ﾊｽﾓﾝﾖﾄｳ、ﾊﾀﾞﾆ類</t>
  </si>
  <si>
    <t>ｱﾌｧｰﾑ乳剤</t>
  </si>
  <si>
    <t>ディプテレックス</t>
    <phoneticPr fontId="4"/>
  </si>
  <si>
    <t>ｱﾌﾞﾗﾑｼ類</t>
  </si>
  <si>
    <t>移植活着後(仮植床)</t>
    <phoneticPr fontId="4"/>
  </si>
  <si>
    <t>ｱﾌﾞﾗﾑｼ類，ｲﾁｺﾞﾒｾﾝﾁｭｳ</t>
    <phoneticPr fontId="4"/>
  </si>
  <si>
    <t>ﾄﾞｳｶﾞﾈﾌﾞｲﾌﾞｲ幼虫</t>
    <phoneticPr fontId="4"/>
  </si>
  <si>
    <t>モスピラン</t>
    <phoneticPr fontId="4"/>
  </si>
  <si>
    <t xml:space="preserve">ｱﾌﾞﾗﾑｼ類，ｺﾅｼﾞﾗﾐ類、ｱｻﾞﾐｳﾏ類
</t>
    <phoneticPr fontId="4"/>
  </si>
  <si>
    <t>うどんこ病
，灰色かび病</t>
    <rPh sb="7" eb="9">
      <t>ハイイロ</t>
    </rPh>
    <rPh sb="11" eb="12">
      <t>ビョウ</t>
    </rPh>
    <phoneticPr fontId="4"/>
  </si>
  <si>
    <t xml:space="preserve">じゃのめ病，うどんこ病
，
</t>
    <phoneticPr fontId="4"/>
  </si>
  <si>
    <t>うどんこ病，炭疽病，灰色かび病</t>
    <phoneticPr fontId="4"/>
  </si>
  <si>
    <t>炭疽病
，うどんこ病</t>
    <rPh sb="9" eb="10">
      <t>ビョウ</t>
    </rPh>
    <phoneticPr fontId="4"/>
  </si>
  <si>
    <t>うどんこ病</t>
  </si>
  <si>
    <t>ﾎﾟﾘｵｷｼﾝAL水和剤</t>
    <phoneticPr fontId="4"/>
  </si>
  <si>
    <t>灰色かび病、うどんこ病</t>
  </si>
  <si>
    <t>資材消毒</t>
    <rPh sb="0" eb="2">
      <t>シザイ</t>
    </rPh>
    <rPh sb="2" eb="4">
      <t>ショウドク</t>
    </rPh>
    <phoneticPr fontId="4"/>
  </si>
  <si>
    <t>新リノー</t>
    <rPh sb="0" eb="1">
      <t>シン</t>
    </rPh>
    <phoneticPr fontId="4"/>
  </si>
  <si>
    <t>陰イオン（ｱﾆｵﾝ）＋非イオン界面活性剤</t>
    <phoneticPr fontId="4"/>
  </si>
  <si>
    <t>ネオエステリン</t>
    <phoneticPr fontId="4"/>
  </si>
  <si>
    <t>ﾈｵｴｽﾃﾘﾝ</t>
    <phoneticPr fontId="4"/>
  </si>
  <si>
    <t>ﾏｲﾘﾉｰ</t>
  </si>
  <si>
    <t>ml</t>
    <phoneticPr fontId="4"/>
  </si>
  <si>
    <t>ビニールハウス</t>
    <phoneticPr fontId="4"/>
  </si>
  <si>
    <t>育苗ハウス</t>
    <rPh sb="0" eb="2">
      <t>イクビョウ</t>
    </rPh>
    <phoneticPr fontId="4"/>
  </si>
  <si>
    <t>育苗装置一式</t>
    <rPh sb="0" eb="2">
      <t>イクビョウ</t>
    </rPh>
    <rPh sb="2" eb="4">
      <t>ソウチ</t>
    </rPh>
    <rPh sb="4" eb="6">
      <t>イッシキ</t>
    </rPh>
    <phoneticPr fontId="4"/>
  </si>
  <si>
    <t>高設栽培システム</t>
    <rPh sb="0" eb="2">
      <t>コウセツ</t>
    </rPh>
    <rPh sb="2" eb="4">
      <t>サイバイ</t>
    </rPh>
    <phoneticPr fontId="4"/>
  </si>
  <si>
    <t>鉄パイプ</t>
    <phoneticPr fontId="4"/>
  </si>
  <si>
    <t>鉄パイプ</t>
    <phoneticPr fontId="4"/>
  </si>
  <si>
    <t>グランドシート</t>
    <phoneticPr fontId="4"/>
  </si>
  <si>
    <t>広島高設栽培システム</t>
    <rPh sb="0" eb="2">
      <t>ヒロシマ</t>
    </rPh>
    <rPh sb="2" eb="4">
      <t>コウセツ</t>
    </rPh>
    <rPh sb="4" eb="6">
      <t>サイバイ</t>
    </rPh>
    <phoneticPr fontId="4"/>
  </si>
  <si>
    <t>グランドシート</t>
    <phoneticPr fontId="4"/>
  </si>
  <si>
    <t>温風暖房器</t>
    <rPh sb="0" eb="2">
      <t>オンプウ</t>
    </rPh>
    <rPh sb="2" eb="4">
      <t>ダンボウ</t>
    </rPh>
    <rPh sb="4" eb="5">
      <t>キ</t>
    </rPh>
    <phoneticPr fontId="4"/>
  </si>
  <si>
    <t>1000㎡用</t>
    <rPh sb="5" eb="6">
      <t>ヨウ</t>
    </rPh>
    <phoneticPr fontId="4"/>
  </si>
  <si>
    <t>給液設備</t>
    <rPh sb="0" eb="1">
      <t>キュウ</t>
    </rPh>
    <rPh sb="1" eb="2">
      <t>エキ</t>
    </rPh>
    <rPh sb="2" eb="4">
      <t>セツビ</t>
    </rPh>
    <phoneticPr fontId="4"/>
  </si>
  <si>
    <t>40a用</t>
    <rPh sb="3" eb="4">
      <t>ヨウ</t>
    </rPh>
    <phoneticPr fontId="4"/>
  </si>
  <si>
    <t>冷蔵庫</t>
    <rPh sb="0" eb="3">
      <t>レイゾウコ</t>
    </rPh>
    <phoneticPr fontId="4"/>
  </si>
  <si>
    <t>3坪</t>
    <rPh sb="1" eb="2">
      <t>ツボ</t>
    </rPh>
    <phoneticPr fontId="4"/>
  </si>
  <si>
    <t>L</t>
    <phoneticPr fontId="4"/>
  </si>
  <si>
    <t>ピートモス</t>
    <phoneticPr fontId="4"/>
  </si>
  <si>
    <t>培土</t>
    <rPh sb="0" eb="2">
      <t>バイド</t>
    </rPh>
    <phoneticPr fontId="4"/>
  </si>
  <si>
    <t>4L/株</t>
    <rPh sb="3" eb="4">
      <t>カブ</t>
    </rPh>
    <phoneticPr fontId="4"/>
  </si>
  <si>
    <t>5850株/10a</t>
    <rPh sb="4" eb="5">
      <t>カブ</t>
    </rPh>
    <phoneticPr fontId="4"/>
  </si>
  <si>
    <t>親株</t>
    <rPh sb="0" eb="2">
      <t>オヤカブ</t>
    </rPh>
    <phoneticPr fontId="4"/>
  </si>
  <si>
    <t>180株/10a分</t>
    <rPh sb="3" eb="4">
      <t>カブ</t>
    </rPh>
    <rPh sb="8" eb="9">
      <t>ブン</t>
    </rPh>
    <phoneticPr fontId="4"/>
  </si>
  <si>
    <t>3株/プランター</t>
    <rPh sb="1" eb="2">
      <t>カブ</t>
    </rPh>
    <phoneticPr fontId="4"/>
  </si>
  <si>
    <t>19リットル/プランター</t>
    <phoneticPr fontId="4"/>
  </si>
  <si>
    <t>Lの培土が必要</t>
    <rPh sb="2" eb="4">
      <t>バイド</t>
    </rPh>
    <rPh sb="5" eb="7">
      <t>ヒツヨウ</t>
    </rPh>
    <phoneticPr fontId="4"/>
  </si>
  <si>
    <t>育苗</t>
    <rPh sb="0" eb="2">
      <t>イクビョウ</t>
    </rPh>
    <phoneticPr fontId="4"/>
  </si>
  <si>
    <t>6000本/10a</t>
    <rPh sb="4" eb="5">
      <t>ホン</t>
    </rPh>
    <phoneticPr fontId="4"/>
  </si>
  <si>
    <t>115ml/ポット</t>
    <phoneticPr fontId="4"/>
  </si>
  <si>
    <t>培土は</t>
    <rPh sb="0" eb="2">
      <t>バイド</t>
    </rPh>
    <phoneticPr fontId="4"/>
  </si>
  <si>
    <t>ピートモス：粉砕モミガラ＝4；6</t>
    <rPh sb="6" eb="8">
      <t>フンサイ</t>
    </rPh>
    <phoneticPr fontId="4"/>
  </si>
  <si>
    <t>+苦土石灰2.5ｇ/L</t>
    <phoneticPr fontId="4"/>
  </si>
  <si>
    <t>合計</t>
    <rPh sb="0" eb="2">
      <t>ゴウケイ</t>
    </rPh>
    <phoneticPr fontId="4"/>
  </si>
  <si>
    <t>ピートモス（L)</t>
    <phoneticPr fontId="4"/>
  </si>
  <si>
    <t>モミガラ（L)</t>
    <phoneticPr fontId="4"/>
  </si>
  <si>
    <t>苦土石灰（kg）</t>
    <rPh sb="0" eb="4">
      <t>クドセッカイ</t>
    </rPh>
    <phoneticPr fontId="4"/>
  </si>
  <si>
    <t>kg</t>
    <phoneticPr fontId="4"/>
  </si>
  <si>
    <t>粉砕モミガラ</t>
    <rPh sb="0" eb="2">
      <t>フンサイ</t>
    </rPh>
    <phoneticPr fontId="4"/>
  </si>
  <si>
    <t>L</t>
    <phoneticPr fontId="4"/>
  </si>
  <si>
    <t>野菜化成1号を30ｇ/プランター</t>
    <rPh sb="0" eb="2">
      <t>ヤサイ</t>
    </rPh>
    <rPh sb="2" eb="4">
      <t>カセイ</t>
    </rPh>
    <rPh sb="5" eb="6">
      <t>ゴウ</t>
    </rPh>
    <phoneticPr fontId="4"/>
  </si>
  <si>
    <t>kg/10a</t>
    <phoneticPr fontId="4"/>
  </si>
  <si>
    <t>本ぽ</t>
    <rPh sb="0" eb="1">
      <t>ホン</t>
    </rPh>
    <phoneticPr fontId="4"/>
  </si>
  <si>
    <t>IB化成S1号を8g/株</t>
    <rPh sb="2" eb="4">
      <t>カセイ</t>
    </rPh>
    <rPh sb="6" eb="7">
      <t>ゴウ</t>
    </rPh>
    <rPh sb="11" eb="12">
      <t>カブ</t>
    </rPh>
    <phoneticPr fontId="4"/>
  </si>
  <si>
    <t>kg</t>
    <phoneticPr fontId="4"/>
  </si>
  <si>
    <t>3340円/20㎏</t>
    <rPh sb="4" eb="5">
      <t>エン</t>
    </rPh>
    <phoneticPr fontId="4"/>
  </si>
  <si>
    <t>2450円/20㎏</t>
    <rPh sb="4" eb="5">
      <t>エン</t>
    </rPh>
    <phoneticPr fontId="4"/>
  </si>
  <si>
    <t>1種類</t>
    <phoneticPr fontId="4"/>
  </si>
  <si>
    <t>2種類</t>
    <phoneticPr fontId="4"/>
  </si>
  <si>
    <t>7種類</t>
    <phoneticPr fontId="4"/>
  </si>
  <si>
    <t>作業場</t>
    <rPh sb="0" eb="2">
      <t>サギョウ</t>
    </rPh>
    <rPh sb="2" eb="3">
      <t>バ</t>
    </rPh>
    <phoneticPr fontId="4"/>
  </si>
  <si>
    <t>農機具倉庫</t>
    <rPh sb="0" eb="3">
      <t>ノウキグ</t>
    </rPh>
    <rPh sb="3" eb="5">
      <t>ソウコ</t>
    </rPh>
    <phoneticPr fontId="4"/>
  </si>
  <si>
    <t>10/40a</t>
  </si>
  <si>
    <t>10/40a</t>
    <phoneticPr fontId="4"/>
  </si>
  <si>
    <t>1作業</t>
    <rPh sb="1" eb="3">
      <t>サギョウ</t>
    </rPh>
    <phoneticPr fontId="4"/>
  </si>
  <si>
    <t>4作業</t>
    <rPh sb="1" eb="3">
      <t>サギョウ</t>
    </rPh>
    <phoneticPr fontId="4"/>
  </si>
  <si>
    <t>ビニール</t>
    <phoneticPr fontId="4"/>
  </si>
  <si>
    <t>(㎡)</t>
    <phoneticPr fontId="4"/>
  </si>
  <si>
    <t>内張りビニール</t>
    <rPh sb="1" eb="2">
      <t>バ</t>
    </rPh>
    <phoneticPr fontId="4"/>
  </si>
  <si>
    <t>白黒マルチ</t>
    <rPh sb="0" eb="2">
      <t>シロクロ</t>
    </rPh>
    <phoneticPr fontId="4"/>
  </si>
  <si>
    <t>(m)</t>
    <phoneticPr fontId="4"/>
  </si>
  <si>
    <t>燃料タンク</t>
    <phoneticPr fontId="4"/>
  </si>
  <si>
    <t>(基)</t>
    <phoneticPr fontId="4"/>
  </si>
  <si>
    <t>寒冷紗</t>
    <phoneticPr fontId="4"/>
  </si>
  <si>
    <t>育苗用土</t>
    <rPh sb="2" eb="3">
      <t>ヨウ</t>
    </rPh>
    <phoneticPr fontId="4"/>
  </si>
  <si>
    <t>(リットル)</t>
  </si>
  <si>
    <t>ビニール</t>
    <phoneticPr fontId="4"/>
  </si>
  <si>
    <t>㎡</t>
    <phoneticPr fontId="4"/>
  </si>
  <si>
    <t>内張りビニール</t>
    <rPh sb="0" eb="2">
      <t>ウチバ</t>
    </rPh>
    <phoneticPr fontId="4"/>
  </si>
  <si>
    <t>燃料タンク</t>
    <rPh sb="0" eb="2">
      <t>ネンリョウ</t>
    </rPh>
    <phoneticPr fontId="4"/>
  </si>
  <si>
    <t>寒冷紗</t>
    <rPh sb="0" eb="3">
      <t>カンレイシャ</t>
    </rPh>
    <phoneticPr fontId="4"/>
  </si>
  <si>
    <t>基</t>
    <rPh sb="0" eb="1">
      <t>キ</t>
    </rPh>
    <phoneticPr fontId="4"/>
  </si>
  <si>
    <t>潅水ホンプ，換気扇，草刈機，便利カー，鎌，鍬</t>
    <phoneticPr fontId="4"/>
  </si>
  <si>
    <t>灌水ポンプ</t>
    <rPh sb="0" eb="2">
      <t>カンスイ</t>
    </rPh>
    <phoneticPr fontId="4"/>
  </si>
  <si>
    <t>換気扇</t>
    <rPh sb="0" eb="3">
      <t>カンキセン</t>
    </rPh>
    <phoneticPr fontId="4"/>
  </si>
  <si>
    <t>草刈り機</t>
    <rPh sb="0" eb="2">
      <t>クサカ</t>
    </rPh>
    <rPh sb="3" eb="4">
      <t>キ</t>
    </rPh>
    <phoneticPr fontId="4"/>
  </si>
  <si>
    <t>便利カー</t>
    <rPh sb="0" eb="2">
      <t>ベンリ</t>
    </rPh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</si>
  <si>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</si>
  <si>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</si>
  <si>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ml</t>
    <phoneticPr fontId="4"/>
  </si>
  <si>
    <t>116000/5/4+80000/5+6000*2/5+70000/5/4+(1800+3600)/3</t>
  </si>
  <si>
    <t>本</t>
    <rPh sb="0" eb="1">
      <t>ホン</t>
    </rPh>
    <phoneticPr fontId="4"/>
  </si>
  <si>
    <t>ミツバチ　15000×2群，　冷蔵料金112,000円</t>
    <rPh sb="12" eb="13">
      <t>グン</t>
    </rPh>
    <phoneticPr fontId="4"/>
  </si>
  <si>
    <t>販売額の0.1％</t>
    <rPh sb="0" eb="2">
      <t>ハンバイ</t>
    </rPh>
    <rPh sb="2" eb="3">
      <t>ガク</t>
    </rPh>
    <phoneticPr fontId="4"/>
  </si>
  <si>
    <t>販売額の10％</t>
    <rPh sb="0" eb="2">
      <t>ハンバイ</t>
    </rPh>
    <rPh sb="2" eb="3">
      <t>ガク</t>
    </rPh>
    <phoneticPr fontId="4"/>
  </si>
  <si>
    <t>３　標準技術（イチゴ）</t>
    <rPh sb="2" eb="4">
      <t>ヒョウジュン</t>
    </rPh>
    <rPh sb="4" eb="6">
      <t>ギジュツ</t>
    </rPh>
    <phoneticPr fontId="4"/>
  </si>
  <si>
    <t>イチゴ</t>
    <phoneticPr fontId="4"/>
  </si>
  <si>
    <t>イチゴ専作</t>
    <rPh sb="3" eb="4">
      <t>セン</t>
    </rPh>
    <rPh sb="4" eb="5">
      <t>サク</t>
    </rPh>
    <phoneticPr fontId="3"/>
  </si>
  <si>
    <t>促成</t>
    <rPh sb="0" eb="2">
      <t>ソクセイ</t>
    </rPh>
    <phoneticPr fontId="3"/>
  </si>
  <si>
    <t>南部</t>
    <rPh sb="0" eb="1">
      <t>ナンブ</t>
    </rPh>
    <phoneticPr fontId="3"/>
  </si>
  <si>
    <t>促成イチゴ</t>
    <rPh sb="0" eb="2">
      <t>ソクセイ</t>
    </rPh>
    <phoneticPr fontId="4"/>
  </si>
  <si>
    <t>イチゴ</t>
    <phoneticPr fontId="4"/>
  </si>
  <si>
    <t>７　経営収支（10a当たり）</t>
    <rPh sb="10" eb="11">
      <t>ア</t>
    </rPh>
    <phoneticPr fontId="4"/>
  </si>
  <si>
    <t>イチゴ</t>
    <phoneticPr fontId="4"/>
  </si>
  <si>
    <t>８　経費の算出基礎（10a当たり）</t>
    <rPh sb="2" eb="4">
      <t>ケイヒ</t>
    </rPh>
    <rPh sb="5" eb="7">
      <t>サンシュツ</t>
    </rPh>
    <rPh sb="7" eb="9">
      <t>キソ</t>
    </rPh>
    <rPh sb="13" eb="14">
      <t>ア</t>
    </rPh>
    <phoneticPr fontId="4"/>
  </si>
  <si>
    <t>　定植</t>
  </si>
  <si>
    <t>育苗中に病害虫対策を徹底する</t>
    <phoneticPr fontId="3"/>
  </si>
  <si>
    <t>10月～5月</t>
    <rPh sb="2" eb="3">
      <t>ガツ</t>
    </rPh>
    <rPh sb="5" eb="6">
      <t>ガツ</t>
    </rPh>
    <phoneticPr fontId="4"/>
  </si>
  <si>
    <t>6月～9月</t>
    <rPh sb="1" eb="2">
      <t>ガツ</t>
    </rPh>
    <rPh sb="4" eb="5">
      <t>ガツ</t>
    </rPh>
    <phoneticPr fontId="4"/>
  </si>
  <si>
    <t>3月～9月</t>
    <rPh sb="1" eb="2">
      <t>ガツ</t>
    </rPh>
    <rPh sb="4" eb="5">
      <t>ガツ</t>
    </rPh>
    <phoneticPr fontId="4"/>
  </si>
  <si>
    <t>8月～9月</t>
    <rPh sb="1" eb="2">
      <t>ガツ</t>
    </rPh>
    <rPh sb="4" eb="5">
      <t>ガツ</t>
    </rPh>
    <phoneticPr fontId="4"/>
  </si>
  <si>
    <t>9月</t>
    <rPh sb="1" eb="2">
      <t>ガツ</t>
    </rPh>
    <phoneticPr fontId="4"/>
  </si>
  <si>
    <t>9月～6月</t>
    <rPh sb="1" eb="2">
      <t>ガツ</t>
    </rPh>
    <rPh sb="4" eb="5">
      <t>ガツ</t>
    </rPh>
    <phoneticPr fontId="4"/>
  </si>
  <si>
    <t>10月～6月</t>
    <rPh sb="2" eb="3">
      <t>ガツ</t>
    </rPh>
    <rPh sb="5" eb="6">
      <t>ガツ</t>
    </rPh>
    <phoneticPr fontId="4"/>
  </si>
  <si>
    <t>12月～6月</t>
    <rPh sb="2" eb="3">
      <t>ガツ</t>
    </rPh>
    <rPh sb="5" eb="6">
      <t>ガツ</t>
    </rPh>
    <phoneticPr fontId="4"/>
  </si>
  <si>
    <t>6月～7月</t>
    <rPh sb="1" eb="2">
      <t>ガツ</t>
    </rPh>
    <rPh sb="4" eb="5">
      <t>ガツ</t>
    </rPh>
    <phoneticPr fontId="4"/>
  </si>
  <si>
    <t xml:space="preserve">
プランター　60個
培土　1140L
野菜化成1号　1800g
苦土石灰　2.85kg</t>
    <rPh sb="9" eb="10">
      <t>コ</t>
    </rPh>
    <rPh sb="11" eb="13">
      <t>バイド</t>
    </rPh>
    <rPh sb="20" eb="22">
      <t>ヤサイ</t>
    </rPh>
    <rPh sb="22" eb="24">
      <t>カセイ</t>
    </rPh>
    <rPh sb="25" eb="26">
      <t>ゴウ</t>
    </rPh>
    <rPh sb="33" eb="37">
      <t>クドセッカイ</t>
    </rPh>
    <phoneticPr fontId="4"/>
  </si>
  <si>
    <t>アイポット育苗装置</t>
    <rPh sb="5" eb="7">
      <t>イクビョウ</t>
    </rPh>
    <rPh sb="7" eb="9">
      <t>ソウチ</t>
    </rPh>
    <phoneticPr fontId="4"/>
  </si>
  <si>
    <t>育苗ハウス
育苗装置</t>
    <rPh sb="0" eb="2">
      <t>イクビョウ</t>
    </rPh>
    <rPh sb="6" eb="8">
      <t>イクビョウ</t>
    </rPh>
    <rPh sb="8" eb="10">
      <t>ソウチ</t>
    </rPh>
    <phoneticPr fontId="4"/>
  </si>
  <si>
    <t>動力噴霧器</t>
    <rPh sb="0" eb="2">
      <t>ドウリョク</t>
    </rPh>
    <rPh sb="2" eb="5">
      <t>フンムキ</t>
    </rPh>
    <phoneticPr fontId="4"/>
  </si>
  <si>
    <t>ﾏﾗｿﾝ乳剤</t>
  </si>
  <si>
    <t>ml</t>
    <phoneticPr fontId="4"/>
  </si>
  <si>
    <t>マラソン　アブラムシ</t>
    <phoneticPr fontId="4"/>
  </si>
  <si>
    <t>ml</t>
    <phoneticPr fontId="4"/>
  </si>
  <si>
    <t>ﾀﾞﾆｻﾗﾊﾞﾌﾛｱﾌﾞﾙ</t>
  </si>
  <si>
    <t>ml</t>
    <phoneticPr fontId="4"/>
  </si>
  <si>
    <t>ml</t>
    <phoneticPr fontId="4"/>
  </si>
  <si>
    <t>8種類</t>
    <phoneticPr fontId="4"/>
  </si>
  <si>
    <t>動力噴霧器</t>
    <rPh sb="0" eb="2">
      <t>ドウリョク</t>
    </rPh>
    <rPh sb="2" eb="5">
      <t>フンムキ</t>
    </rPh>
    <phoneticPr fontId="4"/>
  </si>
  <si>
    <t>混合</t>
  </si>
  <si>
    <t>後片付け（軽トラック）</t>
    <rPh sb="0" eb="3">
      <t>アトカタヅ</t>
    </rPh>
    <rPh sb="5" eb="6">
      <t>ケイ</t>
    </rPh>
    <phoneticPr fontId="4"/>
  </si>
  <si>
    <t>給液設備</t>
    <rPh sb="0" eb="1">
      <t>キュウ</t>
    </rPh>
    <rPh sb="1" eb="2">
      <t>エキ</t>
    </rPh>
    <rPh sb="2" eb="4">
      <t>セツビ</t>
    </rPh>
    <phoneticPr fontId="4"/>
  </si>
  <si>
    <t>ビニールハウス
高設栽培システム</t>
    <rPh sb="8" eb="10">
      <t>コウセツ</t>
    </rPh>
    <rPh sb="10" eb="12">
      <t>サイバイ</t>
    </rPh>
    <phoneticPr fontId="4"/>
  </si>
  <si>
    <t>6000ポット（10a分）
培土　690L</t>
    <rPh sb="11" eb="12">
      <t>ブン</t>
    </rPh>
    <rPh sb="14" eb="16">
      <t>バイド</t>
    </rPh>
    <phoneticPr fontId="4"/>
  </si>
  <si>
    <t>鉄骨ルーフデッキ</t>
    <rPh sb="0" eb="2">
      <t>テッコツ</t>
    </rPh>
    <phoneticPr fontId="2"/>
  </si>
  <si>
    <t>各種農薬</t>
    <rPh sb="0" eb="2">
      <t>カクシュ</t>
    </rPh>
    <rPh sb="2" eb="4">
      <t>ノウヤク</t>
    </rPh>
    <phoneticPr fontId="4"/>
  </si>
  <si>
    <t>培土　23400L
IB化成S1号 47kg</t>
    <rPh sb="0" eb="2">
      <t>バイド</t>
    </rPh>
    <phoneticPr fontId="4"/>
  </si>
  <si>
    <t>ビニールハウス
高設栽培システム
温風暖房機</t>
    <rPh sb="8" eb="10">
      <t>コウセツ</t>
    </rPh>
    <rPh sb="10" eb="12">
      <t>サイバイ</t>
    </rPh>
    <rPh sb="17" eb="19">
      <t>オンプウ</t>
    </rPh>
    <rPh sb="19" eb="21">
      <t>ダンボウ</t>
    </rPh>
    <rPh sb="21" eb="22">
      <t>キ</t>
    </rPh>
    <phoneticPr fontId="4"/>
  </si>
  <si>
    <t>液肥</t>
    <rPh sb="0" eb="2">
      <t>エキヒ</t>
    </rPh>
    <phoneticPr fontId="4"/>
  </si>
  <si>
    <t>式</t>
    <rPh sb="0" eb="1">
      <t>シキ</t>
    </rPh>
    <phoneticPr fontId="4"/>
  </si>
  <si>
    <t>40a</t>
    <phoneticPr fontId="3"/>
  </si>
  <si>
    <t>12a</t>
    <phoneticPr fontId="3"/>
  </si>
  <si>
    <t>イチゴ</t>
    <phoneticPr fontId="3"/>
  </si>
  <si>
    <t>（内育苗12a）</t>
    <rPh sb="1" eb="2">
      <t>ウチ</t>
    </rPh>
    <rPh sb="2" eb="4">
      <t>イクビョウ</t>
    </rPh>
    <phoneticPr fontId="3"/>
  </si>
  <si>
    <t>冷蔵庫
軽トラック</t>
    <rPh sb="0" eb="3">
      <t>レイゾウコ</t>
    </rPh>
    <phoneticPr fontId="4"/>
  </si>
  <si>
    <t>予冷（冷蔵庫）</t>
    <rPh sb="0" eb="2">
      <t>ヨレイ</t>
    </rPh>
    <rPh sb="3" eb="6">
      <t>レイゾウコ</t>
    </rPh>
    <phoneticPr fontId="4"/>
  </si>
  <si>
    <t>65a</t>
    <phoneticPr fontId="3"/>
  </si>
  <si>
    <t>育苗</t>
    <rPh sb="0" eb="2">
      <t>イクビョウ</t>
    </rPh>
    <phoneticPr fontId="3"/>
  </si>
  <si>
    <t>田</t>
    <rPh sb="0" eb="1">
      <t>タ</t>
    </rPh>
    <phoneticPr fontId="4"/>
  </si>
  <si>
    <t>果菜類</t>
    <rPh sb="0" eb="1">
      <t>カ</t>
    </rPh>
    <rPh sb="1" eb="2">
      <t>サイ</t>
    </rPh>
    <rPh sb="2" eb="3">
      <t>ルイ</t>
    </rPh>
    <phoneticPr fontId="4"/>
  </si>
  <si>
    <t>個別経営体</t>
    <rPh sb="0" eb="2">
      <t>コベツ</t>
    </rPh>
    <rPh sb="2" eb="5">
      <t>ケイエイタイ</t>
    </rPh>
    <phoneticPr fontId="3"/>
  </si>
  <si>
    <t>ビニールハウス</t>
  </si>
  <si>
    <t>販売量/1.080×60.8円</t>
    <phoneticPr fontId="4"/>
  </si>
  <si>
    <t>販売量/1.080×12円</t>
    <phoneticPr fontId="4"/>
  </si>
  <si>
    <t>800円/10a</t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</si>
  <si>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</si>
  <si>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a</t>
    <phoneticPr fontId="3"/>
  </si>
  <si>
    <t>52a</t>
    <phoneticPr fontId="3"/>
  </si>
  <si>
    <t>紅ほっぺ,さちのか,レッドパール</t>
    <rPh sb="0" eb="1">
      <t>ベニ</t>
    </rPh>
    <phoneticPr fontId="3"/>
  </si>
  <si>
    <t>ℓ・kw／時</t>
    <rPh sb="5" eb="6">
      <t>ジ</t>
    </rPh>
    <phoneticPr fontId="4"/>
  </si>
  <si>
    <t>右表（粗収益の算出基礎）広島市中央卸売市場広島県産５ヵ年平均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5">
      <t>ヒロシマシ</t>
    </rPh>
    <rPh sb="15" eb="17">
      <t>チュウオウ</t>
    </rPh>
    <rPh sb="17" eb="19">
      <t>オロシウリ</t>
    </rPh>
    <rPh sb="19" eb="21">
      <t>シジョウ</t>
    </rPh>
    <rPh sb="21" eb="24">
      <t>ヒロシマケン</t>
    </rPh>
    <rPh sb="24" eb="25">
      <t>サン</t>
    </rPh>
    <rPh sb="27" eb="28">
      <t>ネン</t>
    </rPh>
    <rPh sb="28" eb="30">
      <t>ヘイキン</t>
    </rPh>
    <phoneticPr fontId="4"/>
  </si>
  <si>
    <t>個選，共販</t>
    <phoneticPr fontId="3"/>
  </si>
  <si>
    <t>○：播種　△：仮植　×：定植　■：収穫</t>
    <rPh sb="17" eb="19">
      <t>シュウカク</t>
    </rPh>
    <phoneticPr fontId="4"/>
  </si>
  <si>
    <t>家族（2.5人），臨時雇用</t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</si>
  <si>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</si>
  <si>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</si>
  <si>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</si>
  <si>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プランターを親株床とする
ウイルスフリーの健全な親株を準備する
本圃10aあたり180株</t>
    <rPh sb="7" eb="9">
      <t>オヤカブ</t>
    </rPh>
    <rPh sb="9" eb="10">
      <t>ドコ</t>
    </rPh>
    <rPh sb="22" eb="24">
      <t>ケンゼン</t>
    </rPh>
    <rPh sb="25" eb="26">
      <t>オヤ</t>
    </rPh>
    <rPh sb="26" eb="27">
      <t>カブ</t>
    </rPh>
    <rPh sb="28" eb="30">
      <t>ジュンビ</t>
    </rPh>
    <rPh sb="33" eb="35">
      <t>ホンポ</t>
    </rPh>
    <rPh sb="44" eb="45">
      <t>カブ</t>
    </rPh>
    <phoneticPr fontId="4"/>
  </si>
  <si>
    <t xml:space="preserve">
親株1本あたり35本程度の苗を採取
アイポット育苗
活着促進
</t>
    <rPh sb="1" eb="3">
      <t>オヤカブ</t>
    </rPh>
    <rPh sb="4" eb="5">
      <t>ホン</t>
    </rPh>
    <rPh sb="10" eb="11">
      <t>ホン</t>
    </rPh>
    <rPh sb="11" eb="13">
      <t>テイド</t>
    </rPh>
    <rPh sb="14" eb="15">
      <t>ナエ</t>
    </rPh>
    <rPh sb="16" eb="18">
      <t>サイシュ</t>
    </rPh>
    <rPh sb="24" eb="26">
      <t>イクビョウ</t>
    </rPh>
    <rPh sb="27" eb="29">
      <t>カッチャク</t>
    </rPh>
    <rPh sb="29" eb="31">
      <t>ソクシン</t>
    </rPh>
    <phoneticPr fontId="4"/>
  </si>
  <si>
    <t xml:space="preserve">
予防に努める
使用基準を順守</t>
    <rPh sb="1" eb="3">
      <t>ヨボウ</t>
    </rPh>
    <rPh sb="4" eb="5">
      <t>ツト</t>
    </rPh>
    <phoneticPr fontId="4"/>
  </si>
  <si>
    <t xml:space="preserve">
高設ベンチへ培土をつめる
灌水チューブによる灌水</t>
    <rPh sb="1" eb="3">
      <t>コウセツ</t>
    </rPh>
    <rPh sb="7" eb="9">
      <t>バイド</t>
    </rPh>
    <rPh sb="14" eb="16">
      <t>カンスイ</t>
    </rPh>
    <rPh sb="23" eb="25">
      <t>カンスイ</t>
    </rPh>
    <phoneticPr fontId="4"/>
  </si>
  <si>
    <t xml:space="preserve">
花芽分化確認後，定植する。</t>
    <rPh sb="1" eb="2">
      <t>ハナ</t>
    </rPh>
    <rPh sb="2" eb="3">
      <t>メ</t>
    </rPh>
    <rPh sb="3" eb="5">
      <t>ブンカ</t>
    </rPh>
    <rPh sb="5" eb="7">
      <t>カクニン</t>
    </rPh>
    <rPh sb="7" eb="8">
      <t>ゴ</t>
    </rPh>
    <rPh sb="9" eb="11">
      <t>テイショク</t>
    </rPh>
    <phoneticPr fontId="4"/>
  </si>
  <si>
    <t xml:space="preserve">
温度管理
電照
ミツバチ放飼
茎葉管理
摘果（花）</t>
    <rPh sb="1" eb="3">
      <t>オンド</t>
    </rPh>
    <rPh sb="3" eb="5">
      <t>カンリ</t>
    </rPh>
    <rPh sb="6" eb="8">
      <t>デンショウ</t>
    </rPh>
    <rPh sb="13" eb="15">
      <t>ホウシ</t>
    </rPh>
    <rPh sb="16" eb="18">
      <t>ケイヨウ</t>
    </rPh>
    <rPh sb="18" eb="20">
      <t>カンリ</t>
    </rPh>
    <rPh sb="21" eb="23">
      <t>テキカ</t>
    </rPh>
    <rPh sb="24" eb="25">
      <t>ハナ</t>
    </rPh>
    <phoneticPr fontId="4"/>
  </si>
  <si>
    <t xml:space="preserve">
灌水量は時期に合わせ調整
基肥（培土に混和）＋追肥（灌水と同時に施用）</t>
    <rPh sb="1" eb="3">
      <t>カンスイ</t>
    </rPh>
    <rPh sb="3" eb="4">
      <t>リョウ</t>
    </rPh>
    <rPh sb="5" eb="7">
      <t>ジキ</t>
    </rPh>
    <rPh sb="8" eb="9">
      <t>ア</t>
    </rPh>
    <rPh sb="11" eb="13">
      <t>チョウセイ</t>
    </rPh>
    <rPh sb="14" eb="15">
      <t>モト</t>
    </rPh>
    <rPh sb="15" eb="16">
      <t>ヒ</t>
    </rPh>
    <rPh sb="17" eb="19">
      <t>バイド</t>
    </rPh>
    <rPh sb="20" eb="22">
      <t>コンワ</t>
    </rPh>
    <rPh sb="24" eb="26">
      <t>ツイヒ</t>
    </rPh>
    <rPh sb="27" eb="29">
      <t>カンスイ</t>
    </rPh>
    <rPh sb="30" eb="32">
      <t>ドウジ</t>
    </rPh>
    <rPh sb="33" eb="35">
      <t>セヨウ</t>
    </rPh>
    <phoneticPr fontId="4"/>
  </si>
  <si>
    <t xml:space="preserve">
予防に努める
使用基準を順守
</t>
    <rPh sb="1" eb="3">
      <t>ヨボウ</t>
    </rPh>
    <rPh sb="4" eb="5">
      <t>ツト</t>
    </rPh>
    <rPh sb="8" eb="10">
      <t>シヨウ</t>
    </rPh>
    <rPh sb="10" eb="12">
      <t>キジュン</t>
    </rPh>
    <rPh sb="13" eb="15">
      <t>ジュンシュ</t>
    </rPh>
    <phoneticPr fontId="4"/>
  </si>
  <si>
    <t xml:space="preserve">
早朝収穫
予冷
適期収穫
</t>
    <rPh sb="1" eb="3">
      <t>ソウチョウ</t>
    </rPh>
    <rPh sb="3" eb="5">
      <t>シュウカク</t>
    </rPh>
    <rPh sb="6" eb="8">
      <t>ヨレイ</t>
    </rPh>
    <rPh sb="9" eb="11">
      <t>テキキ</t>
    </rPh>
    <rPh sb="11" eb="13">
      <t>シュウカク</t>
    </rPh>
    <phoneticPr fontId="4"/>
  </si>
  <si>
    <t xml:space="preserve">
残渣は持ち出す
培土を更新しない場合は太陽熱消毒を実施</t>
    <rPh sb="1" eb="3">
      <t>ザンサ</t>
    </rPh>
    <rPh sb="4" eb="5">
      <t>モ</t>
    </rPh>
    <rPh sb="6" eb="7">
      <t>ダ</t>
    </rPh>
    <rPh sb="9" eb="11">
      <t>バイド</t>
    </rPh>
    <rPh sb="12" eb="14">
      <t>コウシン</t>
    </rPh>
    <rPh sb="17" eb="19">
      <t>バアイ</t>
    </rPh>
    <rPh sb="20" eb="23">
      <t>タイヨウネツ</t>
    </rPh>
    <rPh sb="23" eb="25">
      <t>ショウドク</t>
    </rPh>
    <rPh sb="26" eb="28">
      <t>ジッシ</t>
    </rPh>
    <phoneticPr fontId="4"/>
  </si>
  <si>
    <t xml:space="preserve">
培土は本圃と同じものを使用
随時灌水</t>
    <rPh sb="15" eb="17">
      <t>ズイジ</t>
    </rPh>
    <rPh sb="17" eb="19">
      <t>カンスイ</t>
    </rPh>
    <phoneticPr fontId="4"/>
  </si>
  <si>
    <t xml:space="preserve">
培土は本圃と同じものを使用</t>
    <phoneticPr fontId="4"/>
  </si>
  <si>
    <t xml:space="preserve">
健康，安全，環境へ配慮する。</t>
    <phoneticPr fontId="4"/>
  </si>
  <si>
    <t xml:space="preserve">
培土はピートモス：粉砕モミガラ＝4：6
培土を更新しない場合は太陽熱消毒</t>
    <rPh sb="21" eb="23">
      <t>バイド</t>
    </rPh>
    <rPh sb="24" eb="26">
      <t>コウシン</t>
    </rPh>
    <rPh sb="29" eb="31">
      <t>バアイ</t>
    </rPh>
    <rPh sb="32" eb="35">
      <t>タイヨウネツ</t>
    </rPh>
    <rPh sb="35" eb="37">
      <t>ショウドク</t>
    </rPh>
    <phoneticPr fontId="4"/>
  </si>
  <si>
    <t xml:space="preserve">
9月に花芽分化状況を確認し，80%以上分化で定植
株間20㎝千鳥植え（約5850本/10a）
定植直後は少量多灌水で活着促進</t>
    <rPh sb="48" eb="50">
      <t>テイショク</t>
    </rPh>
    <rPh sb="50" eb="52">
      <t>チョクゴ</t>
    </rPh>
    <rPh sb="53" eb="55">
      <t>ショウリョウ</t>
    </rPh>
    <rPh sb="55" eb="56">
      <t>タ</t>
    </rPh>
    <rPh sb="56" eb="58">
      <t>カンスイ</t>
    </rPh>
    <rPh sb="59" eb="61">
      <t>カッチャク</t>
    </rPh>
    <rPh sb="61" eb="63">
      <t>ソクシン</t>
    </rPh>
    <phoneticPr fontId="4"/>
  </si>
  <si>
    <t xml:space="preserve">
日平均気温16℃以下で保温開始
出蕾はじめから電照開始（初めの1～2枚展葉まで，日長15時間，その後14時間程度）
厳寒期には日長を15～16時間とする
開花はじめ頃ミツバチ放飼</t>
    <rPh sb="78" eb="80">
      <t>カイカ</t>
    </rPh>
    <rPh sb="83" eb="84">
      <t>コロ</t>
    </rPh>
    <rPh sb="88" eb="90">
      <t>ホウシ</t>
    </rPh>
    <phoneticPr fontId="4"/>
  </si>
  <si>
    <t xml:space="preserve">
定植後2～3週は水のみの灌水
活着後，液肥を窒素成分100ppm</t>
    <rPh sb="1" eb="3">
      <t>テイショク</t>
    </rPh>
    <rPh sb="3" eb="4">
      <t>ゴ</t>
    </rPh>
    <rPh sb="7" eb="8">
      <t>シュウ</t>
    </rPh>
    <rPh sb="9" eb="10">
      <t>ミズ</t>
    </rPh>
    <rPh sb="13" eb="15">
      <t>カンスイ</t>
    </rPh>
    <rPh sb="16" eb="18">
      <t>カッチャク</t>
    </rPh>
    <rPh sb="18" eb="19">
      <t>ゴ</t>
    </rPh>
    <rPh sb="20" eb="22">
      <t>エキヒ</t>
    </rPh>
    <rPh sb="23" eb="25">
      <t>チッソ</t>
    </rPh>
    <rPh sb="25" eb="27">
      <t>セイブン</t>
    </rPh>
    <phoneticPr fontId="4"/>
  </si>
  <si>
    <t xml:space="preserve">
ミツバチ放飼中は影響を考慮する。
健康，安全，環境へ配慮する。
開花が多い時期は避ける。</t>
    <rPh sb="5" eb="7">
      <t>ホウシ</t>
    </rPh>
    <rPh sb="7" eb="8">
      <t>チュウ</t>
    </rPh>
    <rPh sb="9" eb="11">
      <t>エイキョウ</t>
    </rPh>
    <rPh sb="12" eb="14">
      <t>コウリョ</t>
    </rPh>
    <rPh sb="18" eb="20">
      <t>ケンコウ</t>
    </rPh>
    <rPh sb="21" eb="23">
      <t>アンゼン</t>
    </rPh>
    <rPh sb="24" eb="26">
      <t>カンキョウ</t>
    </rPh>
    <rPh sb="27" eb="29">
      <t>ハイリョ</t>
    </rPh>
    <rPh sb="33" eb="35">
      <t>カイカ</t>
    </rPh>
    <rPh sb="36" eb="37">
      <t>オオ</t>
    </rPh>
    <rPh sb="38" eb="40">
      <t>ジキ</t>
    </rPh>
    <rPh sb="41" eb="42">
      <t>サ</t>
    </rPh>
    <phoneticPr fontId="4"/>
  </si>
  <si>
    <t xml:space="preserve">
消毒は土壌を十分に湿らせておく</t>
    <rPh sb="1" eb="3">
      <t>ショウドク</t>
    </rPh>
    <rPh sb="4" eb="6">
      <t>ドジョウ</t>
    </rPh>
    <rPh sb="7" eb="9">
      <t>ジュウブン</t>
    </rPh>
    <rPh sb="10" eb="11">
      <t>シメ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</si>
  <si>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</si>
  <si>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</si>
  <si>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</si>
  <si>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</si>
  <si>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A</t>
    <phoneticPr fontId="4"/>
  </si>
  <si>
    <t>B</t>
    <phoneticPr fontId="4"/>
  </si>
  <si>
    <t>A</t>
    <phoneticPr fontId="4"/>
  </si>
  <si>
    <t>A</t>
    <phoneticPr fontId="4"/>
  </si>
  <si>
    <t>B</t>
    <phoneticPr fontId="3"/>
  </si>
  <si>
    <t>C</t>
    <phoneticPr fontId="4"/>
  </si>
  <si>
    <t>D</t>
    <phoneticPr fontId="3"/>
  </si>
  <si>
    <t>E</t>
    <phoneticPr fontId="3"/>
  </si>
  <si>
    <t>F</t>
    <phoneticPr fontId="3"/>
  </si>
  <si>
    <t>G</t>
    <phoneticPr fontId="4"/>
  </si>
  <si>
    <t>B</t>
    <phoneticPr fontId="4"/>
  </si>
  <si>
    <t>C</t>
    <phoneticPr fontId="3"/>
  </si>
  <si>
    <t>D</t>
    <phoneticPr fontId="4"/>
  </si>
  <si>
    <t>F</t>
    <phoneticPr fontId="4"/>
  </si>
  <si>
    <t>G</t>
    <phoneticPr fontId="4"/>
  </si>
  <si>
    <t>H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</si>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</sst>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;&quot;▲ &quot;#,##0.00"/>
    <numFmt numFmtId="187" formatCode="0&quot;a&quot;"/>
    <numFmt numFmtId="188" formatCode="#,##0.0;&quot;△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6"/>
      <color theme="0" tint="-0.14999847407452621"/>
      <name val="ＭＳ Ｐゴシック"/>
      <family val="3"/>
      <charset val="128"/>
    </font>
    <font>
      <sz val="11"/>
      <color theme="0" tint="-0.14999847407452621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bgColor theme="1"/>
      </patternFill>
    </fill>
  </fills>
  <borders count="24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8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7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110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7" xfId="2" applyFont="1" applyBorder="1" applyAlignment="1">
      <alignment vertical="center" wrapText="1"/>
    </xf>
    <xf numFmtId="0" fontId="8" fillId="0" borderId="74" xfId="2" applyFont="1" applyBorder="1" applyAlignment="1">
      <alignment vertical="center" wrapText="1"/>
    </xf>
    <xf numFmtId="0" fontId="1" fillId="0" borderId="87" xfId="2" applyFont="1" applyBorder="1" applyAlignment="1">
      <alignment horizontal="center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/>
    </xf>
    <xf numFmtId="0" fontId="8" fillId="0" borderId="87" xfId="2" applyFont="1" applyBorder="1" applyAlignment="1">
      <alignment horizontal="right" vertical="center" wrapText="1"/>
    </xf>
    <xf numFmtId="0" fontId="1" fillId="0" borderId="74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3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8" fontId="0" fillId="2" borderId="10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8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9" fontId="0" fillId="0" borderId="126" xfId="0" applyNumberFormat="1" applyFont="1" applyBorder="1" applyAlignment="1">
      <alignment horizontal="center" vertical="center" shrinkToFit="1"/>
    </xf>
    <xf numFmtId="176" fontId="0" fillId="6" borderId="112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1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9" xfId="0" applyNumberFormat="1" applyFill="1" applyBorder="1" applyAlignment="1">
      <alignment vertical="center"/>
    </xf>
    <xf numFmtId="177" fontId="0" fillId="6" borderId="140" xfId="0" applyNumberFormat="1" applyFont="1" applyFill="1" applyBorder="1" applyAlignment="1">
      <alignment vertical="center" shrinkToFit="1"/>
    </xf>
    <xf numFmtId="177" fontId="0" fillId="0" borderId="140" xfId="3" applyNumberFormat="1" applyFont="1" applyBorder="1" applyAlignment="1">
      <alignment vertical="center"/>
    </xf>
    <xf numFmtId="177" fontId="0" fillId="0" borderId="107" xfId="3" applyNumberFormat="1" applyFont="1" applyBorder="1" applyAlignment="1">
      <alignment horizontal="right" vertical="center"/>
    </xf>
    <xf numFmtId="177" fontId="0" fillId="0" borderId="107" xfId="3" applyNumberFormat="1" applyFont="1" applyBorder="1" applyAlignment="1">
      <alignment horizontal="left" vertical="center" shrinkToFit="1"/>
    </xf>
    <xf numFmtId="177" fontId="0" fillId="0" borderId="141" xfId="0" applyNumberFormat="1" applyFont="1" applyBorder="1" applyAlignment="1">
      <alignment vertical="center"/>
    </xf>
    <xf numFmtId="177" fontId="0" fillId="0" borderId="139" xfId="0" applyNumberFormat="1" applyFont="1" applyBorder="1" applyAlignment="1">
      <alignment vertical="center"/>
    </xf>
    <xf numFmtId="177" fontId="0" fillId="0" borderId="141" xfId="3" applyNumberFormat="1" applyFont="1" applyBorder="1" applyAlignment="1">
      <alignment vertical="center" shrinkToFit="1"/>
    </xf>
    <xf numFmtId="177" fontId="0" fillId="0" borderId="141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horizontal="center"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41" xfId="0" applyNumberFormat="1" applyFill="1" applyBorder="1" applyAlignment="1">
      <alignment vertical="center"/>
    </xf>
    <xf numFmtId="178" fontId="0" fillId="0" borderId="139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1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39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1" xfId="0" applyNumberFormat="1" applyFont="1" applyFill="1" applyBorder="1" applyAlignment="1">
      <alignment horizontal="left" vertical="center"/>
    </xf>
    <xf numFmtId="177" fontId="0" fillId="0" borderId="14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47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45" xfId="0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0" borderId="147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9" xfId="0" applyNumberFormat="1" applyFont="1" applyBorder="1" applyAlignment="1">
      <alignment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08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6" fontId="0" fillId="0" borderId="148" xfId="0" applyNumberFormat="1" applyFont="1" applyBorder="1" applyAlignment="1">
      <alignment vertical="center"/>
    </xf>
    <xf numFmtId="176" fontId="0" fillId="0" borderId="151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7" fontId="0" fillId="2" borderId="156" xfId="0" applyNumberFormat="1" applyFont="1" applyFill="1" applyBorder="1" applyAlignment="1">
      <alignment vertical="center" shrinkToFit="1"/>
    </xf>
    <xf numFmtId="177" fontId="0" fillId="0" borderId="160" xfId="0" applyNumberFormat="1" applyFont="1" applyFill="1" applyBorder="1" applyAlignment="1">
      <alignment vertical="center" shrinkToFit="1"/>
    </xf>
    <xf numFmtId="177" fontId="0" fillId="0" borderId="154" xfId="0" applyNumberForma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2" xfId="0" applyFont="1" applyBorder="1" applyAlignment="1">
      <alignment horizontal="center" vertical="center" shrinkToFit="1"/>
    </xf>
    <xf numFmtId="0" fontId="8" fillId="0" borderId="165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9" xfId="0" applyNumberFormat="1" applyFont="1" applyBorder="1" applyAlignment="1">
      <alignment vertical="center"/>
    </xf>
    <xf numFmtId="176" fontId="0" fillId="0" borderId="87" xfId="0" applyNumberFormat="1" applyBorder="1" applyAlignment="1">
      <alignment vertical="center"/>
    </xf>
    <xf numFmtId="176" fontId="0" fillId="0" borderId="87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6" fontId="0" fillId="0" borderId="77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73" xfId="0" applyNumberFormat="1" applyFont="1" applyBorder="1" applyAlignment="1">
      <alignment vertical="center" shrinkToFit="1"/>
    </xf>
    <xf numFmtId="179" fontId="0" fillId="0" borderId="139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23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57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2" xfId="0" applyNumberFormat="1" applyFont="1" applyBorder="1" applyAlignment="1">
      <alignment vertical="center" shrinkToFit="1"/>
    </xf>
    <xf numFmtId="184" fontId="13" fillId="0" borderId="172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7" xfId="0" applyNumberFormat="1" applyFont="1" applyBorder="1" applyAlignment="1">
      <alignment vertical="center" shrinkToFit="1"/>
    </xf>
    <xf numFmtId="9" fontId="0" fillId="0" borderId="87" xfId="0" applyNumberFormat="1" applyFont="1" applyBorder="1" applyAlignment="1">
      <alignment vertical="center" shrinkToFit="1"/>
    </xf>
    <xf numFmtId="182" fontId="0" fillId="0" borderId="87" xfId="4" applyNumberFormat="1" applyFont="1" applyBorder="1" applyAlignment="1">
      <alignment vertical="center" shrinkToFit="1"/>
    </xf>
    <xf numFmtId="176" fontId="0" fillId="0" borderId="87" xfId="0" applyNumberFormat="1" applyFont="1" applyBorder="1" applyAlignment="1">
      <alignment horizontal="right" vertical="center" shrinkToFit="1"/>
    </xf>
    <xf numFmtId="49" fontId="0" fillId="0" borderId="87" xfId="0" applyNumberFormat="1" applyFont="1" applyBorder="1" applyAlignment="1">
      <alignment vertical="center" shrinkToFit="1"/>
    </xf>
    <xf numFmtId="176" fontId="0" fillId="2" borderId="87" xfId="0" applyNumberFormat="1" applyFont="1" applyFill="1" applyBorder="1" applyAlignment="1">
      <alignment vertical="center" shrinkToFit="1"/>
    </xf>
    <xf numFmtId="176" fontId="0" fillId="2" borderId="87" xfId="0" applyNumberFormat="1" applyFont="1" applyFill="1" applyBorder="1" applyAlignment="1">
      <alignment horizontal="left" vertical="center" shrinkToFit="1"/>
    </xf>
    <xf numFmtId="179" fontId="0" fillId="2" borderId="87" xfId="0" applyNumberFormat="1" applyFont="1" applyFill="1" applyBorder="1" applyAlignment="1">
      <alignment vertical="center" shrinkToFit="1"/>
    </xf>
    <xf numFmtId="9" fontId="0" fillId="0" borderId="87" xfId="4" applyFont="1" applyBorder="1" applyAlignment="1">
      <alignment vertical="center" shrinkToFit="1"/>
    </xf>
    <xf numFmtId="177" fontId="0" fillId="0" borderId="87" xfId="0" applyNumberFormat="1" applyBorder="1" applyAlignment="1">
      <alignment horizontal="center" vertical="center" shrinkToFit="1"/>
    </xf>
    <xf numFmtId="176" fontId="0" fillId="0" borderId="87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4" xfId="0" applyNumberFormat="1" applyFont="1" applyFill="1" applyBorder="1" applyAlignment="1">
      <alignment vertical="center"/>
    </xf>
    <xf numFmtId="177" fontId="0" fillId="0" borderId="160" xfId="0" applyNumberFormat="1" applyFont="1" applyFill="1" applyBorder="1" applyAlignment="1">
      <alignment vertical="center"/>
    </xf>
    <xf numFmtId="177" fontId="0" fillId="0" borderId="154" xfId="0" applyNumberFormat="1" applyFont="1" applyBorder="1" applyAlignment="1">
      <alignment vertical="center" shrinkToFit="1"/>
    </xf>
    <xf numFmtId="176" fontId="0" fillId="0" borderId="139" xfId="0" applyNumberFormat="1" applyFont="1" applyBorder="1" applyAlignment="1">
      <alignment vertical="center" shrinkToFit="1"/>
    </xf>
    <xf numFmtId="185" fontId="0" fillId="0" borderId="76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39" xfId="3" applyNumberFormat="1" applyFont="1" applyFill="1" applyBorder="1" applyAlignment="1">
      <alignment vertical="center" shrinkToFit="1"/>
    </xf>
    <xf numFmtId="176" fontId="4" fillId="0" borderId="191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2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6" fontId="0" fillId="0" borderId="193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0" fontId="8" fillId="0" borderId="190" xfId="2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0" fillId="0" borderId="161" xfId="0" applyNumberFormat="1" applyFont="1" applyBorder="1" applyAlignment="1">
      <alignment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7" fontId="1" fillId="0" borderId="139" xfId="0" applyNumberFormat="1" applyFont="1" applyBorder="1">
      <alignment vertical="center"/>
    </xf>
    <xf numFmtId="176" fontId="1" fillId="0" borderId="139" xfId="0" applyNumberFormat="1" applyFont="1" applyBorder="1">
      <alignment vertical="center"/>
    </xf>
    <xf numFmtId="176" fontId="1" fillId="0" borderId="139" xfId="0" applyNumberFormat="1" applyFont="1" applyBorder="1" applyAlignment="1">
      <alignment vertical="center"/>
    </xf>
    <xf numFmtId="179" fontId="1" fillId="0" borderId="24" xfId="0" applyNumberFormat="1" applyFont="1" applyBorder="1">
      <alignment vertical="center"/>
    </xf>
    <xf numFmtId="176" fontId="17" fillId="0" borderId="25" xfId="0" applyNumberFormat="1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142" xfId="0" applyNumberFormat="1" applyFont="1" applyBorder="1" applyAlignment="1">
      <alignment vertical="center"/>
    </xf>
    <xf numFmtId="179" fontId="0" fillId="0" borderId="142" xfId="0" applyNumberFormat="1" applyFont="1" applyBorder="1" applyAlignment="1">
      <alignment vertical="center" shrinkToFit="1"/>
    </xf>
    <xf numFmtId="176" fontId="17" fillId="0" borderId="205" xfId="0" applyNumberFormat="1" applyFont="1" applyBorder="1" applyAlignment="1">
      <alignment horizontal="center" vertical="center"/>
    </xf>
    <xf numFmtId="176" fontId="17" fillId="0" borderId="45" xfId="0" applyNumberFormat="1" applyFont="1" applyBorder="1" applyAlignment="1">
      <alignment horizontal="center" vertical="center"/>
    </xf>
    <xf numFmtId="176" fontId="0" fillId="0" borderId="207" xfId="0" applyNumberFormat="1" applyFont="1" applyBorder="1" applyAlignment="1">
      <alignment vertical="center"/>
    </xf>
    <xf numFmtId="179" fontId="0" fillId="0" borderId="208" xfId="0" applyNumberFormat="1" applyFont="1" applyBorder="1" applyAlignment="1">
      <alignment vertical="center" shrinkToFit="1"/>
    </xf>
    <xf numFmtId="176" fontId="0" fillId="6" borderId="1" xfId="0" applyNumberFormat="1" applyFont="1" applyFill="1" applyBorder="1" applyAlignment="1">
      <alignment horizontal="center" vertical="center" shrinkToFit="1"/>
    </xf>
    <xf numFmtId="176" fontId="0" fillId="6" borderId="1" xfId="0" applyNumberFormat="1" applyFont="1" applyFill="1" applyBorder="1" applyAlignment="1">
      <alignment vertical="center" shrinkToFit="1"/>
    </xf>
    <xf numFmtId="177" fontId="1" fillId="0" borderId="139" xfId="0" applyNumberFormat="1" applyFont="1" applyFill="1" applyBorder="1">
      <alignment vertical="center"/>
    </xf>
    <xf numFmtId="186" fontId="0" fillId="0" borderId="87" xfId="0" applyNumberFormat="1" applyFont="1" applyBorder="1" applyAlignment="1">
      <alignment vertical="center" shrinkToFit="1"/>
    </xf>
    <xf numFmtId="0" fontId="0" fillId="0" borderId="87" xfId="2" applyFont="1" applyBorder="1" applyAlignment="1">
      <alignment horizontal="center" vertical="center" wrapText="1"/>
    </xf>
    <xf numFmtId="0" fontId="0" fillId="0" borderId="87" xfId="2" applyFont="1" applyBorder="1" applyAlignment="1">
      <alignment vertical="center" wrapText="1"/>
    </xf>
    <xf numFmtId="0" fontId="8" fillId="0" borderId="87" xfId="2" applyFont="1" applyBorder="1" applyAlignment="1">
      <alignment vertical="top" wrapText="1"/>
    </xf>
    <xf numFmtId="0" fontId="8" fillId="0" borderId="74" xfId="2" applyFont="1" applyBorder="1" applyAlignment="1">
      <alignment vertical="top" wrapText="1"/>
    </xf>
    <xf numFmtId="0" fontId="8" fillId="0" borderId="111" xfId="2" applyFont="1" applyBorder="1" applyAlignment="1">
      <alignment vertical="top" wrapText="1"/>
    </xf>
    <xf numFmtId="0" fontId="0" fillId="0" borderId="111" xfId="2" applyFont="1" applyBorder="1" applyAlignment="1">
      <alignment vertical="top" wrapText="1"/>
    </xf>
    <xf numFmtId="0" fontId="1" fillId="0" borderId="111" xfId="2" applyFont="1" applyBorder="1" applyAlignment="1">
      <alignment vertical="top" wrapText="1"/>
    </xf>
    <xf numFmtId="176" fontId="0" fillId="0" borderId="24" xfId="0" applyNumberFormat="1" applyFont="1" applyBorder="1" applyAlignment="1">
      <alignment vertical="center"/>
    </xf>
    <xf numFmtId="0" fontId="0" fillId="0" borderId="112" xfId="2" applyFont="1" applyBorder="1" applyAlignment="1">
      <alignment vertical="top" wrapText="1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79" fontId="1" fillId="0" borderId="209" xfId="0" applyNumberFormat="1" applyFont="1" applyBorder="1">
      <alignment vertical="center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6" fontId="0" fillId="6" borderId="122" xfId="0" applyNumberFormat="1" applyFont="1" applyFill="1" applyBorder="1" applyAlignment="1">
      <alignment vertical="center" shrinkToFit="1"/>
    </xf>
    <xf numFmtId="176" fontId="0" fillId="0" borderId="210" xfId="0" applyNumberFormat="1" applyFont="1" applyFill="1" applyBorder="1" applyAlignment="1">
      <alignment vertical="center"/>
    </xf>
    <xf numFmtId="0" fontId="0" fillId="0" borderId="87" xfId="2" applyFont="1" applyBorder="1" applyAlignment="1">
      <alignment horizontal="left" vertical="center" wrapText="1"/>
    </xf>
    <xf numFmtId="176" fontId="17" fillId="8" borderId="154" xfId="0" applyNumberFormat="1" applyFont="1" applyFill="1" applyBorder="1" applyAlignment="1">
      <alignment horizontal="center" vertical="center"/>
    </xf>
    <xf numFmtId="176" fontId="17" fillId="8" borderId="160" xfId="0" applyNumberFormat="1" applyFont="1" applyFill="1" applyBorder="1" applyAlignment="1">
      <alignment horizontal="center" vertical="center"/>
    </xf>
    <xf numFmtId="176" fontId="17" fillId="8" borderId="52" xfId="0" applyNumberFormat="1" applyFont="1" applyFill="1" applyBorder="1" applyAlignment="1">
      <alignment horizontal="center" vertical="center"/>
    </xf>
    <xf numFmtId="176" fontId="17" fillId="8" borderId="206" xfId="0" applyNumberFormat="1" applyFont="1" applyFill="1" applyBorder="1" applyAlignment="1">
      <alignment horizontal="center" vertical="center"/>
    </xf>
    <xf numFmtId="179" fontId="0" fillId="0" borderId="24" xfId="0" applyNumberFormat="1" applyFont="1" applyBorder="1" applyAlignment="1">
      <alignment vertical="center"/>
    </xf>
    <xf numFmtId="188" fontId="0" fillId="0" borderId="24" xfId="0" applyNumberFormat="1" applyFont="1" applyFill="1" applyBorder="1" applyAlignment="1">
      <alignment vertical="center" shrinkToFit="1"/>
    </xf>
    <xf numFmtId="177" fontId="0" fillId="0" borderId="13" xfId="0" applyNumberFormat="1" applyFill="1" applyBorder="1" applyAlignment="1">
      <alignment horizontal="left" vertical="center"/>
    </xf>
    <xf numFmtId="0" fontId="1" fillId="0" borderId="160" xfId="2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vertical="center" shrinkToFit="1"/>
    </xf>
    <xf numFmtId="176" fontId="0" fillId="0" borderId="87" xfId="0" applyNumberFormat="1" applyFont="1" applyFill="1" applyBorder="1" applyAlignment="1">
      <alignment vertical="center" shrinkToFit="1"/>
    </xf>
    <xf numFmtId="176" fontId="0" fillId="0" borderId="87" xfId="0" applyNumberForma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vertical="center"/>
    </xf>
    <xf numFmtId="176" fontId="19" fillId="0" borderId="0" xfId="0" applyNumberFormat="1" applyFont="1" applyBorder="1" applyAlignment="1">
      <alignment vertical="center"/>
    </xf>
    <xf numFmtId="176" fontId="19" fillId="0" borderId="0" xfId="0" applyNumberFormat="1" applyFont="1" applyAlignment="1">
      <alignment vertical="center"/>
    </xf>
    <xf numFmtId="177" fontId="19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left" vertical="center" wrapText="1"/>
    </xf>
    <xf numFmtId="176" fontId="19" fillId="0" borderId="0" xfId="0" applyNumberFormat="1" applyFont="1" applyBorder="1" applyAlignment="1">
      <alignment horizontal="center" vertical="center" shrinkToFit="1"/>
    </xf>
    <xf numFmtId="176" fontId="19" fillId="0" borderId="0" xfId="0" applyNumberFormat="1" applyFont="1" applyBorder="1" applyAlignment="1">
      <alignment vertical="center" shrinkToFit="1"/>
    </xf>
    <xf numFmtId="177" fontId="0" fillId="0" borderId="10" xfId="0" applyNumberFormat="1" applyFill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41" xfId="0" applyNumberFormat="1" applyFont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215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center" vertical="center"/>
    </xf>
    <xf numFmtId="179" fontId="19" fillId="0" borderId="0" xfId="0" applyNumberFormat="1" applyFont="1" applyBorder="1" applyAlignment="1">
      <alignment horizontal="center" vertical="center"/>
    </xf>
    <xf numFmtId="176" fontId="19" fillId="0" borderId="0" xfId="0" applyNumberFormat="1" applyFont="1" applyBorder="1">
      <alignment vertical="center"/>
    </xf>
    <xf numFmtId="179" fontId="19" fillId="0" borderId="0" xfId="0" applyNumberFormat="1" applyFont="1" applyBorder="1">
      <alignment vertical="center"/>
    </xf>
    <xf numFmtId="179" fontId="19" fillId="0" borderId="0" xfId="0" applyNumberFormat="1" applyFont="1" applyBorder="1" applyAlignment="1">
      <alignment vertical="center"/>
    </xf>
    <xf numFmtId="176" fontId="19" fillId="0" borderId="0" xfId="0" quotePrefix="1" applyNumberFormat="1" applyFont="1" applyBorder="1" applyAlignment="1">
      <alignment vertical="center"/>
    </xf>
    <xf numFmtId="177" fontId="19" fillId="0" borderId="0" xfId="0" applyNumberFormat="1" applyFont="1" applyBorder="1">
      <alignment vertical="center"/>
    </xf>
    <xf numFmtId="177" fontId="19" fillId="0" borderId="0" xfId="0" applyNumberFormat="1" applyFont="1" applyFill="1" applyBorder="1">
      <alignment vertical="center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right" vertical="center" shrinkToFit="1"/>
    </xf>
    <xf numFmtId="38" fontId="21" fillId="0" borderId="0" xfId="7" applyFont="1" applyBorder="1" applyAlignment="1">
      <alignment horizontal="right" vertical="center" shrinkToFit="1"/>
    </xf>
    <xf numFmtId="176" fontId="19" fillId="0" borderId="0" xfId="0" applyNumberFormat="1" applyFont="1" applyBorder="1" applyAlignment="1">
      <alignment horizontal="right" vertical="center"/>
    </xf>
    <xf numFmtId="38" fontId="21" fillId="0" borderId="0" xfId="7" applyFont="1" applyBorder="1" applyAlignment="1">
      <alignment vertical="center"/>
    </xf>
    <xf numFmtId="0" fontId="21" fillId="0" borderId="0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160" xfId="0" applyNumberFormat="1" applyBorder="1" applyAlignment="1">
      <alignment vertical="center"/>
    </xf>
    <xf numFmtId="177" fontId="0" fillId="0" borderId="160" xfId="0" applyNumberFormat="1" applyFont="1" applyBorder="1" applyAlignment="1">
      <alignment vertical="center"/>
    </xf>
    <xf numFmtId="0" fontId="0" fillId="0" borderId="160" xfId="3" applyFont="1" applyFill="1" applyBorder="1" applyAlignment="1">
      <alignment vertical="center" shrinkToFit="1"/>
    </xf>
    <xf numFmtId="178" fontId="0" fillId="0" borderId="160" xfId="0" applyNumberFormat="1" applyFont="1" applyFill="1" applyBorder="1" applyAlignment="1">
      <alignment horizontal="left" vertical="center"/>
    </xf>
    <xf numFmtId="178" fontId="0" fillId="0" borderId="160" xfId="0" applyNumberFormat="1" applyFont="1" applyBorder="1" applyAlignment="1">
      <alignment horizontal="left" vertical="center"/>
    </xf>
    <xf numFmtId="177" fontId="0" fillId="0" borderId="213" xfId="0" applyNumberFormat="1" applyFont="1" applyBorder="1" applyAlignment="1">
      <alignment vertical="center"/>
    </xf>
    <xf numFmtId="177" fontId="0" fillId="0" borderId="186" xfId="0" applyNumberFormat="1" applyFill="1" applyBorder="1" applyAlignment="1">
      <alignment horizontal="center" vertical="center" shrinkToFit="1"/>
    </xf>
    <xf numFmtId="177" fontId="0" fillId="0" borderId="139" xfId="0" applyNumberFormat="1" applyFont="1" applyFill="1" applyBorder="1" applyAlignment="1">
      <alignment horizontal="center" vertical="center" shrinkToFit="1"/>
    </xf>
    <xf numFmtId="177" fontId="0" fillId="0" borderId="139" xfId="0" applyNumberFormat="1" applyFill="1" applyBorder="1" applyAlignment="1">
      <alignment horizontal="center" vertical="center" shrinkToFit="1"/>
    </xf>
    <xf numFmtId="177" fontId="0" fillId="0" borderId="97" xfId="0" applyNumberFormat="1" applyFont="1" applyBorder="1" applyAlignment="1">
      <alignment vertical="center"/>
    </xf>
    <xf numFmtId="177" fontId="0" fillId="0" borderId="139" xfId="0" applyNumberFormat="1" applyFont="1" applyFill="1" applyBorder="1" applyAlignment="1">
      <alignment vertical="center" shrinkToFit="1"/>
    </xf>
    <xf numFmtId="177" fontId="0" fillId="0" borderId="222" xfId="0" applyNumberFormat="1" applyFill="1" applyBorder="1" applyAlignment="1">
      <alignment vertical="center" shrinkToFit="1"/>
    </xf>
    <xf numFmtId="177" fontId="0" fillId="0" borderId="186" xfId="0" applyNumberFormat="1" applyFill="1" applyBorder="1" applyAlignment="1">
      <alignment vertical="center" shrinkToFit="1"/>
    </xf>
    <xf numFmtId="177" fontId="0" fillId="0" borderId="223" xfId="0" applyNumberFormat="1" applyFont="1" applyFill="1" applyBorder="1" applyAlignment="1">
      <alignment vertical="center" shrinkToFit="1"/>
    </xf>
    <xf numFmtId="177" fontId="0" fillId="0" borderId="222" xfId="0" applyNumberFormat="1" applyFont="1" applyFill="1" applyBorder="1" applyAlignment="1">
      <alignment vertical="center" shrinkToFit="1"/>
    </xf>
    <xf numFmtId="177" fontId="0" fillId="0" borderId="154" xfId="0" applyNumberFormat="1" applyFill="1" applyBorder="1" applyAlignment="1">
      <alignment vertical="center" shrinkToFit="1"/>
    </xf>
    <xf numFmtId="177" fontId="0" fillId="0" borderId="154" xfId="0" applyNumberFormat="1" applyFont="1" applyFill="1" applyBorder="1" applyAlignment="1">
      <alignment vertical="center" shrinkToFit="1"/>
    </xf>
    <xf numFmtId="9" fontId="0" fillId="0" borderId="160" xfId="0" applyNumberFormat="1" applyFont="1" applyFill="1" applyBorder="1" applyAlignment="1">
      <alignment vertical="center"/>
    </xf>
    <xf numFmtId="177" fontId="0" fillId="0" borderId="221" xfId="0" applyNumberFormat="1" applyFont="1" applyFill="1" applyBorder="1" applyAlignment="1">
      <alignment horizontal="left" vertical="center"/>
    </xf>
    <xf numFmtId="177" fontId="0" fillId="0" borderId="221" xfId="0" applyNumberFormat="1" applyFont="1" applyFill="1" applyBorder="1" applyAlignment="1">
      <alignment vertical="center"/>
    </xf>
    <xf numFmtId="177" fontId="0" fillId="2" borderId="140" xfId="0" applyNumberFormat="1" applyFont="1" applyFill="1" applyBorder="1" applyAlignment="1">
      <alignment vertical="center"/>
    </xf>
    <xf numFmtId="177" fontId="0" fillId="2" borderId="107" xfId="0" applyNumberFormat="1" applyFont="1" applyFill="1" applyBorder="1" applyAlignment="1">
      <alignment vertical="center"/>
    </xf>
    <xf numFmtId="177" fontId="0" fillId="0" borderId="227" xfId="3" applyNumberFormat="1" applyFont="1" applyBorder="1" applyAlignment="1">
      <alignment horizontal="center" vertical="center" shrinkToFit="1"/>
    </xf>
    <xf numFmtId="177" fontId="0" fillId="0" borderId="228" xfId="3" applyNumberFormat="1" applyFont="1" applyBorder="1" applyAlignment="1">
      <alignment horizontal="center" vertical="center" shrinkToFit="1"/>
    </xf>
    <xf numFmtId="177" fontId="0" fillId="0" borderId="228" xfId="0" applyNumberFormat="1" applyBorder="1" applyAlignment="1">
      <alignment horizontal="center" vertical="center" shrinkToFit="1"/>
    </xf>
    <xf numFmtId="177" fontId="0" fillId="0" borderId="231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vertical="center"/>
    </xf>
    <xf numFmtId="176" fontId="0" fillId="2" borderId="209" xfId="0" applyNumberFormat="1" applyFont="1" applyFill="1" applyBorder="1" applyAlignment="1">
      <alignment horizontal="center" vertical="center" shrinkToFit="1"/>
    </xf>
    <xf numFmtId="177" fontId="0" fillId="2" borderId="209" xfId="0" applyNumberFormat="1" applyFont="1" applyFill="1" applyBorder="1" applyAlignment="1">
      <alignment vertical="center" shrinkToFit="1"/>
    </xf>
    <xf numFmtId="176" fontId="0" fillId="2" borderId="232" xfId="0" applyNumberFormat="1" applyFont="1" applyFill="1" applyBorder="1" applyAlignment="1">
      <alignment vertical="center" shrinkToFit="1"/>
    </xf>
    <xf numFmtId="177" fontId="0" fillId="2" borderId="212" xfId="0" applyNumberFormat="1" applyFont="1" applyFill="1" applyBorder="1" applyAlignment="1">
      <alignment vertical="center" shrinkToFit="1"/>
    </xf>
    <xf numFmtId="176" fontId="0" fillId="2" borderId="235" xfId="0" applyNumberFormat="1" applyFont="1" applyFill="1" applyBorder="1" applyAlignment="1">
      <alignment vertical="center" shrinkToFit="1"/>
    </xf>
    <xf numFmtId="176" fontId="22" fillId="0" borderId="87" xfId="0" applyNumberFormat="1" applyFont="1" applyBorder="1" applyAlignment="1">
      <alignment vertical="center" shrinkToFit="1"/>
    </xf>
    <xf numFmtId="176" fontId="22" fillId="0" borderId="1" xfId="0" applyNumberFormat="1" applyFont="1" applyBorder="1" applyAlignment="1">
      <alignment vertical="center" shrinkToFit="1"/>
    </xf>
    <xf numFmtId="177" fontId="0" fillId="0" borderId="139" xfId="0" applyNumberFormat="1" applyFill="1" applyBorder="1" applyAlignment="1">
      <alignment horizontal="right" vertical="center"/>
    </xf>
    <xf numFmtId="182" fontId="0" fillId="0" borderId="141" xfId="0" applyNumberFormat="1" applyFont="1" applyFill="1" applyBorder="1" applyAlignment="1">
      <alignment horizontal="left" vertical="center"/>
    </xf>
    <xf numFmtId="179" fontId="0" fillId="0" borderId="131" xfId="0" applyNumberFormat="1" applyFont="1" applyBorder="1" applyAlignment="1">
      <alignment vertical="center" shrinkToFit="1"/>
    </xf>
    <xf numFmtId="179" fontId="0" fillId="0" borderId="236" xfId="0" applyNumberFormat="1" applyFont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2" borderId="155" xfId="0" applyNumberFormat="1" applyFont="1" applyFill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94" xfId="2" applyFont="1" applyBorder="1" applyAlignment="1">
      <alignment horizontal="center" vertical="center" wrapText="1"/>
    </xf>
    <xf numFmtId="0" fontId="8" fillId="0" borderId="195" xfId="2" applyFont="1" applyBorder="1" applyAlignment="1">
      <alignment horizontal="center" vertical="center" wrapText="1"/>
    </xf>
    <xf numFmtId="0" fontId="0" fillId="0" borderId="196" xfId="2" applyFont="1" applyBorder="1" applyAlignment="1">
      <alignment vertical="center" wrapText="1"/>
    </xf>
    <xf numFmtId="0" fontId="1" fillId="0" borderId="195" xfId="2" applyFont="1" applyBorder="1" applyAlignment="1">
      <alignment vertical="center" wrapText="1"/>
    </xf>
    <xf numFmtId="0" fontId="1" fillId="0" borderId="197" xfId="2" applyFont="1" applyBorder="1" applyAlignment="1">
      <alignment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1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98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199" xfId="2" applyFont="1" applyBorder="1" applyAlignment="1">
      <alignment horizontal="center" vertical="center" wrapText="1"/>
    </xf>
    <xf numFmtId="0" fontId="8" fillId="0" borderId="16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201" xfId="2" applyFont="1" applyBorder="1" applyAlignment="1">
      <alignment vertical="center" wrapText="1"/>
    </xf>
    <xf numFmtId="0" fontId="8" fillId="0" borderId="52" xfId="2" applyFont="1" applyBorder="1" applyAlignment="1">
      <alignment horizontal="center" vertical="center" wrapText="1"/>
    </xf>
    <xf numFmtId="187" fontId="8" fillId="0" borderId="25" xfId="2" applyNumberFormat="1" applyFont="1" applyBorder="1" applyAlignment="1">
      <alignment horizontal="center" vertical="center" wrapText="1"/>
    </xf>
    <xf numFmtId="187" fontId="8" fillId="0" borderId="26" xfId="2" applyNumberFormat="1" applyFont="1" applyBorder="1" applyAlignment="1">
      <alignment horizontal="center" vertical="center" wrapText="1"/>
    </xf>
    <xf numFmtId="187" fontId="8" fillId="0" borderId="113" xfId="2" applyNumberFormat="1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1" fillId="0" borderId="19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60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9" xfId="2" applyFont="1" applyBorder="1" applyAlignment="1">
      <alignment horizontal="center" vertical="center" wrapText="1"/>
    </xf>
    <xf numFmtId="0" fontId="8" fillId="0" borderId="141" xfId="2" applyFont="1" applyBorder="1" applyAlignment="1">
      <alignment horizontal="center" vertical="center" wrapText="1"/>
    </xf>
    <xf numFmtId="0" fontId="8" fillId="0" borderId="11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202" xfId="2" applyFont="1" applyBorder="1" applyAlignment="1">
      <alignment horizontal="center" vertical="center" wrapText="1"/>
    </xf>
    <xf numFmtId="0" fontId="8" fillId="0" borderId="203" xfId="2" applyFont="1" applyBorder="1" applyAlignment="1">
      <alignment horizontal="center" vertical="center" wrapText="1"/>
    </xf>
    <xf numFmtId="0" fontId="1" fillId="0" borderId="212" xfId="2" applyFont="1" applyBorder="1" applyAlignment="1">
      <alignment horizontal="left" vertical="center" wrapText="1"/>
    </xf>
    <xf numFmtId="0" fontId="1" fillId="0" borderId="213" xfId="2" applyFont="1" applyBorder="1" applyAlignment="1">
      <alignment horizontal="left" vertical="center" wrapText="1"/>
    </xf>
    <xf numFmtId="0" fontId="1" fillId="0" borderId="214" xfId="2" applyFont="1" applyBorder="1" applyAlignment="1">
      <alignment horizontal="left" vertical="center" wrapText="1"/>
    </xf>
    <xf numFmtId="0" fontId="8" fillId="0" borderId="18" xfId="2" applyFont="1" applyBorder="1" applyAlignment="1">
      <alignment vertical="center" wrapTex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4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1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97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163" xfId="0" applyFont="1" applyBorder="1" applyAlignment="1">
      <alignment horizontal="center" vertical="center" shrinkToFit="1"/>
    </xf>
    <xf numFmtId="0" fontId="0" fillId="0" borderId="164" xfId="0" applyFont="1" applyBorder="1" applyAlignment="1">
      <alignment horizontal="center"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center" vertical="center" shrinkToFit="1"/>
    </xf>
    <xf numFmtId="0" fontId="8" fillId="0" borderId="99" xfId="0" quotePrefix="1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8" fillId="0" borderId="86" xfId="2" applyFont="1" applyBorder="1" applyAlignment="1">
      <alignment horizontal="center" vertical="center" textRotation="255" wrapText="1"/>
    </xf>
    <xf numFmtId="0" fontId="8" fillId="0" borderId="109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1" fillId="0" borderId="82" xfId="2" applyFont="1" applyBorder="1" applyAlignment="1">
      <alignment horizontal="center" vertical="center"/>
    </xf>
    <xf numFmtId="0" fontId="1" fillId="0" borderId="83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3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29" xfId="0" applyFont="1" applyFill="1" applyBorder="1" applyAlignment="1">
      <alignment horizontal="center" vertical="center" textRotation="255" wrapText="1"/>
    </xf>
    <xf numFmtId="0" fontId="0" fillId="4" borderId="153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0" fontId="0" fillId="0" borderId="143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3" borderId="98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180" fontId="0" fillId="0" borderId="178" xfId="1" applyNumberFormat="1" applyFont="1" applyBorder="1" applyAlignment="1">
      <alignment horizontal="center" vertical="center"/>
    </xf>
    <xf numFmtId="180" fontId="0" fillId="0" borderId="106" xfId="1" applyNumberFormat="1" applyFont="1" applyBorder="1" applyAlignment="1">
      <alignment horizontal="center" vertical="center"/>
    </xf>
    <xf numFmtId="180" fontId="0" fillId="0" borderId="179" xfId="1" applyNumberFormat="1" applyFont="1" applyBorder="1" applyAlignment="1">
      <alignment horizontal="center" vertical="center"/>
    </xf>
    <xf numFmtId="180" fontId="0" fillId="0" borderId="135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0" xfId="1" applyNumberFormat="1" applyFont="1" applyBorder="1" applyAlignment="1">
      <alignment horizontal="center" vertical="center"/>
    </xf>
    <xf numFmtId="181" fontId="0" fillId="0" borderId="181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1" fontId="0" fillId="0" borderId="183" xfId="0" applyNumberFormat="1" applyFont="1" applyBorder="1" applyAlignment="1">
      <alignment vertical="center"/>
    </xf>
    <xf numFmtId="0" fontId="0" fillId="7" borderId="104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29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3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53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85" xfId="0" applyFont="1" applyFill="1" applyBorder="1" applyAlignment="1">
      <alignment horizontal="center" vertical="center"/>
    </xf>
    <xf numFmtId="0" fontId="0" fillId="3" borderId="116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87" xfId="0" applyFont="1" applyFill="1" applyBorder="1" applyAlignment="1">
      <alignment horizontal="center" vertical="center"/>
    </xf>
    <xf numFmtId="0" fontId="0" fillId="3" borderId="188" xfId="0" applyFont="1" applyFill="1" applyBorder="1" applyAlignment="1">
      <alignment horizontal="center" vertical="center"/>
    </xf>
    <xf numFmtId="176" fontId="0" fillId="0" borderId="167" xfId="0" applyNumberFormat="1" applyFont="1" applyBorder="1" applyAlignment="1">
      <alignment horizontal="center" vertical="center"/>
    </xf>
    <xf numFmtId="176" fontId="0" fillId="0" borderId="168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6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17" fillId="0" borderId="72" xfId="0" applyNumberFormat="1" applyFont="1" applyBorder="1" applyAlignment="1">
      <alignment horizontal="center" vertical="center"/>
    </xf>
    <xf numFmtId="176" fontId="17" fillId="0" borderId="52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82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76" xfId="0" applyNumberFormat="1" applyBorder="1" applyAlignment="1">
      <alignment horizontal="center" vertical="center"/>
    </xf>
    <xf numFmtId="176" fontId="0" fillId="0" borderId="124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4" xfId="0" applyNumberForma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7" fontId="0" fillId="0" borderId="154" xfId="0" applyNumberFormat="1" applyFill="1" applyBorder="1" applyAlignment="1">
      <alignment horizontal="left" vertical="center"/>
    </xf>
    <xf numFmtId="177" fontId="0" fillId="0" borderId="160" xfId="0" applyNumberFormat="1" applyFill="1" applyBorder="1" applyAlignment="1">
      <alignment horizontal="left" vertical="center"/>
    </xf>
    <xf numFmtId="177" fontId="0" fillId="0" borderId="221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60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60" xfId="0" applyNumberFormat="1" applyFill="1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2" xfId="0" applyFont="1" applyFill="1" applyBorder="1" applyAlignment="1">
      <alignment horizontal="left" vertical="center"/>
    </xf>
    <xf numFmtId="177" fontId="0" fillId="2" borderId="133" xfId="0" applyNumberFormat="1" applyFill="1" applyBorder="1" applyAlignment="1">
      <alignment horizontal="center" vertical="center" shrinkToFit="1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0" borderId="136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0" xfId="0" applyNumberFormat="1" applyFill="1" applyBorder="1" applyAlignment="1">
      <alignment horizontal="center" vertical="center" textRotation="255" shrinkToFit="1"/>
    </xf>
    <xf numFmtId="0" fontId="0" fillId="0" borderId="132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217" xfId="0" applyNumberFormat="1" applyFill="1" applyBorder="1" applyAlignment="1">
      <alignment horizontal="center" vertical="center"/>
    </xf>
    <xf numFmtId="177" fontId="0" fillId="0" borderId="218" xfId="0" applyNumberFormat="1" applyFont="1" applyFill="1" applyBorder="1" applyAlignment="1">
      <alignment horizontal="center" vertical="center"/>
    </xf>
    <xf numFmtId="177" fontId="0" fillId="0" borderId="219" xfId="0" applyNumberFormat="1" applyFont="1" applyFill="1" applyBorder="1" applyAlignment="1">
      <alignment horizontal="center" vertical="center"/>
    </xf>
    <xf numFmtId="177" fontId="0" fillId="0" borderId="154" xfId="0" applyNumberFormat="1" applyFont="1" applyFill="1" applyBorder="1" applyAlignment="1">
      <alignment vertical="center" shrinkToFit="1"/>
    </xf>
    <xf numFmtId="177" fontId="0" fillId="0" borderId="221" xfId="0" applyNumberFormat="1" applyFont="1" applyFill="1" applyBorder="1" applyAlignment="1">
      <alignment vertical="center" shrinkToFit="1"/>
    </xf>
    <xf numFmtId="177" fontId="0" fillId="0" borderId="154" xfId="0" applyNumberFormat="1" applyFill="1" applyBorder="1" applyAlignment="1">
      <alignment horizontal="center" vertical="center" shrinkToFit="1"/>
    </xf>
    <xf numFmtId="177" fontId="0" fillId="0" borderId="160" xfId="0" applyNumberFormat="1" applyFill="1" applyBorder="1" applyAlignment="1">
      <alignment horizontal="center" vertical="center" shrinkToFit="1"/>
    </xf>
    <xf numFmtId="177" fontId="0" fillId="0" borderId="154" xfId="0" applyNumberFormat="1" applyFont="1" applyFill="1" applyBorder="1" applyAlignment="1">
      <alignment vertical="center"/>
    </xf>
    <xf numFmtId="177" fontId="0" fillId="0" borderId="160" xfId="0" applyNumberFormat="1" applyFont="1" applyFill="1" applyBorder="1" applyAlignment="1">
      <alignment vertical="center"/>
    </xf>
    <xf numFmtId="177" fontId="0" fillId="0" borderId="22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226" xfId="0" applyNumberFormat="1" applyFont="1" applyFill="1" applyBorder="1" applyAlignment="1">
      <alignment horizontal="center" vertical="center"/>
    </xf>
    <xf numFmtId="177" fontId="0" fillId="0" borderId="154" xfId="0" applyNumberFormat="1" applyFont="1" applyFill="1" applyBorder="1" applyAlignment="1">
      <alignment horizontal="center" vertical="center"/>
    </xf>
    <xf numFmtId="177" fontId="0" fillId="0" borderId="160" xfId="0" applyNumberFormat="1" applyFont="1" applyFill="1" applyBorder="1" applyAlignment="1">
      <alignment horizontal="center" vertical="center"/>
    </xf>
    <xf numFmtId="177" fontId="0" fillId="0" borderId="221" xfId="0" applyNumberFormat="1" applyFont="1" applyFill="1" applyBorder="1" applyAlignment="1">
      <alignment horizontal="center" vertical="center"/>
    </xf>
    <xf numFmtId="177" fontId="0" fillId="0" borderId="139" xfId="0" applyNumberFormat="1" applyFont="1" applyFill="1" applyBorder="1" applyAlignment="1">
      <alignment horizontal="center" vertical="center" shrinkToFit="1"/>
    </xf>
    <xf numFmtId="177" fontId="0" fillId="0" borderId="220" xfId="0" applyNumberFormat="1" applyFont="1" applyFill="1" applyBorder="1" applyAlignment="1">
      <alignment horizontal="center" vertical="center" shrinkToFit="1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199" xfId="0" applyFont="1" applyFill="1" applyBorder="1" applyAlignment="1">
      <alignment vertical="center"/>
    </xf>
    <xf numFmtId="177" fontId="0" fillId="0" borderId="225" xfId="0" applyNumberFormat="1" applyBorder="1" applyAlignment="1">
      <alignment horizontal="center" vertical="center" textRotation="255" shrinkToFit="1"/>
    </xf>
    <xf numFmtId="177" fontId="0" fillId="0" borderId="200" xfId="0" applyNumberFormat="1" applyBorder="1" applyAlignment="1">
      <alignment horizontal="center" vertical="center" textRotation="255" shrinkToFit="1"/>
    </xf>
    <xf numFmtId="177" fontId="0" fillId="0" borderId="186" xfId="0" applyNumberFormat="1" applyBorder="1" applyAlignment="1">
      <alignment horizontal="center" vertical="center" textRotation="255" shrinkToFit="1"/>
    </xf>
    <xf numFmtId="177" fontId="0" fillId="0" borderId="202" xfId="0" applyNumberFormat="1" applyBorder="1" applyAlignment="1">
      <alignment horizontal="center" vertical="center" textRotation="255" shrinkToFit="1"/>
    </xf>
    <xf numFmtId="177" fontId="0" fillId="0" borderId="154" xfId="0" applyNumberFormat="1" applyFont="1" applyBorder="1" applyAlignment="1">
      <alignment vertical="center"/>
    </xf>
    <xf numFmtId="177" fontId="0" fillId="0" borderId="160" xfId="0" applyNumberFormat="1" applyFont="1" applyBorder="1" applyAlignment="1">
      <alignment vertical="center"/>
    </xf>
    <xf numFmtId="177" fontId="0" fillId="0" borderId="221" xfId="0" applyNumberFormat="1" applyFont="1" applyBorder="1" applyAlignment="1">
      <alignment vertical="center"/>
    </xf>
    <xf numFmtId="177" fontId="0" fillId="0" borderId="212" xfId="0" applyNumberFormat="1" applyFont="1" applyBorder="1" applyAlignment="1">
      <alignment vertical="center"/>
    </xf>
    <xf numFmtId="177" fontId="0" fillId="0" borderId="213" xfId="0" applyNumberFormat="1" applyFont="1" applyBorder="1" applyAlignment="1">
      <alignment vertical="center"/>
    </xf>
    <xf numFmtId="177" fontId="0" fillId="0" borderId="214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24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26" xfId="0" applyNumberFormat="1" applyFont="1" applyFill="1" applyBorder="1" applyAlignment="1">
      <alignment horizontal="center" vertical="center" shrinkToFit="1"/>
    </xf>
    <xf numFmtId="177" fontId="0" fillId="0" borderId="146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7" fontId="0" fillId="0" borderId="144" xfId="3" applyNumberFormat="1" applyFont="1" applyBorder="1" applyAlignment="1">
      <alignment horizontal="center" vertical="center" textRotation="255" shrinkToFit="1"/>
    </xf>
    <xf numFmtId="176" fontId="0" fillId="0" borderId="147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229" xfId="3" applyNumberFormat="1" applyFont="1" applyBorder="1" applyAlignment="1">
      <alignment horizontal="center" vertical="center" shrinkToFit="1"/>
    </xf>
    <xf numFmtId="177" fontId="0" fillId="0" borderId="230" xfId="3" applyNumberFormat="1" applyFont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7" fontId="0" fillId="2" borderId="233" xfId="0" applyNumberFormat="1" applyFont="1" applyFill="1" applyBorder="1" applyAlignment="1">
      <alignment horizontal="center" vertical="center" shrinkToFit="1"/>
    </xf>
    <xf numFmtId="177" fontId="0" fillId="2" borderId="234" xfId="0" applyNumberFormat="1" applyFont="1" applyFill="1" applyBorder="1" applyAlignment="1">
      <alignment horizontal="center" vertical="center" shrinkToFit="1"/>
    </xf>
    <xf numFmtId="177" fontId="0" fillId="0" borderId="143" xfId="3" applyNumberFormat="1" applyFont="1" applyBorder="1" applyAlignment="1">
      <alignment horizontal="center" vertical="center" textRotation="255" shrinkToFit="1"/>
    </xf>
    <xf numFmtId="0" fontId="0" fillId="0" borderId="104" xfId="0" applyFont="1" applyBorder="1">
      <alignment vertical="center"/>
    </xf>
    <xf numFmtId="0" fontId="0" fillId="0" borderId="152" xfId="0" applyFont="1" applyBorder="1">
      <alignment vertical="center"/>
    </xf>
    <xf numFmtId="176" fontId="0" fillId="2" borderId="212" xfId="0" applyNumberFormat="1" applyFont="1" applyFill="1" applyBorder="1" applyAlignment="1">
      <alignment horizontal="center" vertical="center" shrinkToFit="1"/>
    </xf>
    <xf numFmtId="176" fontId="0" fillId="2" borderId="234" xfId="0" applyNumberFormat="1" applyFont="1" applyFill="1" applyBorder="1" applyAlignment="1">
      <alignment horizontal="center" vertical="center" shrinkToFit="1"/>
    </xf>
    <xf numFmtId="176" fontId="1" fillId="0" borderId="149" xfId="3" applyNumberFormat="1" applyFont="1" applyFill="1" applyBorder="1" applyAlignment="1">
      <alignment vertical="center" shrinkToFit="1"/>
    </xf>
    <xf numFmtId="176" fontId="1" fillId="0" borderId="150" xfId="3" applyNumberFormat="1" applyFont="1" applyFill="1" applyBorder="1" applyAlignment="1">
      <alignment vertical="center" shrinkToFit="1"/>
    </xf>
    <xf numFmtId="176" fontId="1" fillId="0" borderId="34" xfId="3" applyNumberFormat="1" applyFont="1" applyFill="1" applyBorder="1" applyAlignment="1">
      <alignment vertical="center" shrinkToFit="1"/>
    </xf>
    <xf numFmtId="176" fontId="1" fillId="0" borderId="41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209" xfId="0" applyNumberFormat="1" applyFont="1" applyFill="1" applyBorder="1" applyAlignment="1">
      <alignment vertical="center" shrinkToFit="1"/>
    </xf>
    <xf numFmtId="176" fontId="0" fillId="0" borderId="209" xfId="0" applyNumberFormat="1" applyFont="1" applyBorder="1" applyAlignment="1">
      <alignment vertical="center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211" xfId="0" applyNumberFormat="1" applyFont="1" applyBorder="1" applyAlignment="1">
      <alignment horizontal="center" vertical="center" textRotation="255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138" xfId="0" applyNumberFormat="1" applyFont="1" applyBorder="1" applyAlignment="1">
      <alignment horizontal="center" vertical="center" textRotation="255" shrinkToFit="1"/>
    </xf>
    <xf numFmtId="0" fontId="21" fillId="3" borderId="0" xfId="0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59" xfId="3" applyNumberFormat="1" applyFont="1" applyBorder="1" applyAlignment="1">
      <alignment horizontal="center" vertical="center" shrinkToFit="1"/>
    </xf>
    <xf numFmtId="177" fontId="0" fillId="0" borderId="143" xfId="3" applyNumberFormat="1" applyFont="1" applyBorder="1" applyAlignment="1">
      <alignment horizontal="center" vertical="center" shrinkToFit="1"/>
    </xf>
    <xf numFmtId="177" fontId="0" fillId="0" borderId="152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237" xfId="0" applyNumberFormat="1" applyFont="1" applyBorder="1" applyAlignment="1">
      <alignment horizontal="center" vertical="center" shrinkToFit="1"/>
    </xf>
    <xf numFmtId="177" fontId="0" fillId="0" borderId="238" xfId="0" applyNumberFormat="1" applyFont="1" applyBorder="1" applyAlignment="1">
      <alignment horizontal="center" vertical="center" shrinkToFit="1"/>
    </xf>
    <xf numFmtId="177" fontId="0" fillId="0" borderId="216" xfId="0" applyNumberFormat="1" applyBorder="1" applyAlignment="1">
      <alignment horizontal="center" vertical="center" shrinkToFit="1"/>
    </xf>
    <xf numFmtId="177" fontId="0" fillId="0" borderId="239" xfId="0" applyNumberFormat="1" applyFont="1" applyBorder="1" applyAlignment="1">
      <alignment horizontal="center"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57" xfId="0" applyNumberFormat="1" applyFont="1" applyFill="1" applyBorder="1" applyAlignment="1">
      <alignment vertical="center" shrinkToFit="1"/>
    </xf>
    <xf numFmtId="177" fontId="0" fillId="0" borderId="240" xfId="0" applyNumberFormat="1" applyFont="1" applyBorder="1" applyAlignment="1">
      <alignment horizontal="center" vertical="center" shrinkToFit="1"/>
    </xf>
    <xf numFmtId="176" fontId="0" fillId="6" borderId="145" xfId="0" applyNumberFormat="1" applyFont="1" applyFill="1" applyBorder="1" applyAlignment="1">
      <alignment vertical="center"/>
    </xf>
    <xf numFmtId="176" fontId="0" fillId="0" borderId="61" xfId="0" applyNumberFormat="1" applyFont="1" applyBorder="1" applyAlignment="1">
      <alignment vertical="center" shrinkToFit="1"/>
    </xf>
    <xf numFmtId="177" fontId="0" fillId="2" borderId="209" xfId="3" applyNumberFormat="1" applyFont="1" applyFill="1" applyBorder="1" applyAlignment="1">
      <alignment horizontal="center" vertical="center" shrinkToFit="1"/>
    </xf>
    <xf numFmtId="177" fontId="0" fillId="2" borderId="209" xfId="3" applyNumberFormat="1" applyFont="1" applyFill="1" applyBorder="1" applyAlignment="1">
      <alignment vertical="center" shrinkToFit="1"/>
    </xf>
    <xf numFmtId="176" fontId="0" fillId="6" borderId="232" xfId="0" applyNumberFormat="1" applyFont="1" applyFill="1" applyBorder="1" applyAlignment="1">
      <alignment vertical="center"/>
    </xf>
    <xf numFmtId="177" fontId="0" fillId="2" borderId="241" xfId="0" applyNumberFormat="1" applyFont="1" applyFill="1" applyBorder="1" applyAlignment="1">
      <alignment horizontal="center" vertical="center" shrinkToFit="1"/>
    </xf>
    <xf numFmtId="177" fontId="0" fillId="2" borderId="242" xfId="0" applyNumberFormat="1" applyFont="1" applyFill="1" applyBorder="1" applyAlignment="1">
      <alignment horizontal="center" vertical="center" shrinkToFit="1"/>
    </xf>
    <xf numFmtId="177" fontId="0" fillId="2" borderId="242" xfId="0" applyNumberFormat="1" applyFont="1" applyFill="1" applyBorder="1" applyAlignment="1">
      <alignment vertical="center" shrinkToFit="1"/>
    </xf>
    <xf numFmtId="177" fontId="0" fillId="0" borderId="216" xfId="0" applyNumberFormat="1" applyFont="1" applyBorder="1" applyAlignment="1">
      <alignment horizontal="center" vertical="center" shrinkToFit="1"/>
    </xf>
    <xf numFmtId="177" fontId="0" fillId="0" borderId="243" xfId="0" applyNumberFormat="1" applyFont="1" applyBorder="1" applyAlignment="1">
      <alignment horizontal="center" vertical="center" shrinkToFit="1"/>
    </xf>
    <xf numFmtId="177" fontId="0" fillId="0" borderId="154" xfId="0" applyNumberFormat="1" applyFont="1" applyBorder="1" applyAlignment="1">
      <alignment horizontal="center" vertical="center" shrinkToFit="1"/>
    </xf>
    <xf numFmtId="177" fontId="0" fillId="2" borderId="155" xfId="0" applyNumberFormat="1" applyFont="1" applyFill="1" applyBorder="1" applyAlignment="1">
      <alignment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FFFFCC"/>
      <color rgb="FFC0C0C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183360</xdr:colOff>
      <xdr:row>12</xdr:row>
      <xdr:rowOff>133350</xdr:rowOff>
    </xdr:from>
    <xdr:to>
      <xdr:col>42</xdr:col>
      <xdr:colOff>2385</xdr:colOff>
      <xdr:row>12</xdr:row>
      <xdr:rowOff>133350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910891" y="3181350"/>
          <a:ext cx="19145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</xdr:row>
      <xdr:rowOff>137319</xdr:rowOff>
    </xdr:from>
    <xdr:to>
      <xdr:col>23</xdr:col>
      <xdr:colOff>35719</xdr:colOff>
      <xdr:row>13</xdr:row>
      <xdr:rowOff>137319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3357563" y="3435350"/>
          <a:ext cx="45243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59532</xdr:colOff>
      <xdr:row>14</xdr:row>
      <xdr:rowOff>150812</xdr:rowOff>
    </xdr:from>
    <xdr:to>
      <xdr:col>41</xdr:col>
      <xdr:colOff>83344</xdr:colOff>
      <xdr:row>14</xdr:row>
      <xdr:rowOff>150812</xdr:rowOff>
    </xdr:to>
    <xdr:sp macro="" textlink="">
      <xdr:nvSpPr>
        <xdr:cNvPr id="6" name="Line 27"/>
        <xdr:cNvSpPr>
          <a:spLocks noChangeShapeType="1"/>
        </xdr:cNvSpPr>
      </xdr:nvSpPr>
      <xdr:spPr bwMode="auto">
        <a:xfrm flipV="1">
          <a:off x="10263188" y="3698875"/>
          <a:ext cx="23812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21432</xdr:colOff>
      <xdr:row>13</xdr:row>
      <xdr:rowOff>146844</xdr:rowOff>
    </xdr:from>
    <xdr:to>
      <xdr:col>32</xdr:col>
      <xdr:colOff>11907</xdr:colOff>
      <xdr:row>13</xdr:row>
      <xdr:rowOff>146844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8129588" y="3444875"/>
          <a:ext cx="20859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33</xdr:col>
      <xdr:colOff>102394</xdr:colOff>
      <xdr:row>12</xdr:row>
      <xdr:rowOff>0</xdr:rowOff>
    </xdr:from>
    <xdr:to>
      <xdr:col>34</xdr:col>
      <xdr:colOff>97632</xdr:colOff>
      <xdr:row>12</xdr:row>
      <xdr:rowOff>209550</xdr:rowOff>
    </xdr:to>
    <xdr:pic>
      <xdr:nvPicPr>
        <xdr:cNvPr id="8" name="Picture 38" descr="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988" y="3048000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178594</xdr:colOff>
      <xdr:row>14</xdr:row>
      <xdr:rowOff>0</xdr:rowOff>
    </xdr:from>
    <xdr:to>
      <xdr:col>41</xdr:col>
      <xdr:colOff>251872</xdr:colOff>
      <xdr:row>15</xdr:row>
      <xdr:rowOff>4350</xdr:rowOff>
    </xdr:to>
    <xdr:sp macro="" textlink="">
      <xdr:nvSpPr>
        <xdr:cNvPr id="9" name="Rectangle 8" descr="10%"/>
        <xdr:cNvSpPr>
          <a:spLocks noChangeArrowheads="1"/>
        </xdr:cNvSpPr>
      </xdr:nvSpPr>
      <xdr:spPr bwMode="auto">
        <a:xfrm>
          <a:off x="12477750" y="3548063"/>
          <a:ext cx="335216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30</xdr:col>
      <xdr:colOff>4763</xdr:colOff>
      <xdr:row>14</xdr:row>
      <xdr:rowOff>19050</xdr:rowOff>
    </xdr:from>
    <xdr:to>
      <xdr:col>30</xdr:col>
      <xdr:colOff>257176</xdr:colOff>
      <xdr:row>14</xdr:row>
      <xdr:rowOff>228600</xdr:rowOff>
    </xdr:to>
    <xdr:pic>
      <xdr:nvPicPr>
        <xdr:cNvPr id="10" name="Picture 23" descr="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4544" y="3567113"/>
          <a:ext cx="252413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11906</xdr:colOff>
      <xdr:row>15</xdr:row>
      <xdr:rowOff>11906</xdr:rowOff>
    </xdr:from>
    <xdr:to>
      <xdr:col>22</xdr:col>
      <xdr:colOff>59532</xdr:colOff>
      <xdr:row>16</xdr:row>
      <xdr:rowOff>0</xdr:rowOff>
    </xdr:to>
    <xdr:sp macro="" textlink="">
      <xdr:nvSpPr>
        <xdr:cNvPr id="11" name="Rectangle 8" descr="10%"/>
        <xdr:cNvSpPr>
          <a:spLocks noChangeArrowheads="1"/>
        </xdr:cNvSpPr>
      </xdr:nvSpPr>
      <xdr:spPr bwMode="auto">
        <a:xfrm>
          <a:off x="3369469" y="3810000"/>
          <a:ext cx="4274344" cy="23812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</xdr:row>
      <xdr:rowOff>161925</xdr:rowOff>
    </xdr:from>
    <xdr:to>
      <xdr:col>38</xdr:col>
      <xdr:colOff>495300</xdr:colOff>
      <xdr:row>5</xdr:row>
      <xdr:rowOff>161925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 flipV="1">
          <a:off x="16192500" y="1457325"/>
          <a:ext cx="3762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</xdr:row>
      <xdr:rowOff>142875</xdr:rowOff>
    </xdr:from>
    <xdr:to>
      <xdr:col>38</xdr:col>
      <xdr:colOff>0</xdr:colOff>
      <xdr:row>7</xdr:row>
      <xdr:rowOff>142875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14830425" y="2085975"/>
          <a:ext cx="462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428625</xdr:colOff>
      <xdr:row>6</xdr:row>
      <xdr:rowOff>161925</xdr:rowOff>
    </xdr:from>
    <xdr:to>
      <xdr:col>28</xdr:col>
      <xdr:colOff>495300</xdr:colOff>
      <xdr:row>6</xdr:row>
      <xdr:rowOff>161925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11144250" y="1781175"/>
          <a:ext cx="366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142875</xdr:rowOff>
    </xdr:from>
    <xdr:to>
      <xdr:col>21</xdr:col>
      <xdr:colOff>0</xdr:colOff>
      <xdr:row>6</xdr:row>
      <xdr:rowOff>142875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 flipH="1">
          <a:off x="1457325" y="1762125"/>
          <a:ext cx="925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27</xdr:col>
      <xdr:colOff>142875</xdr:colOff>
      <xdr:row>7</xdr:row>
      <xdr:rowOff>28575</xdr:rowOff>
    </xdr:from>
    <xdr:to>
      <xdr:col>27</xdr:col>
      <xdr:colOff>447675</xdr:colOff>
      <xdr:row>8</xdr:row>
      <xdr:rowOff>71438</xdr:rowOff>
    </xdr:to>
    <xdr:pic>
      <xdr:nvPicPr>
        <xdr:cNvPr id="1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19716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76200</xdr:colOff>
      <xdr:row>5</xdr:row>
      <xdr:rowOff>28575</xdr:rowOff>
    </xdr:from>
    <xdr:to>
      <xdr:col>30</xdr:col>
      <xdr:colOff>381000</xdr:colOff>
      <xdr:row>6</xdr:row>
      <xdr:rowOff>71437</xdr:rowOff>
    </xdr:to>
    <xdr:pic>
      <xdr:nvPicPr>
        <xdr:cNvPr id="1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13239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357186</xdr:colOff>
      <xdr:row>5</xdr:row>
      <xdr:rowOff>95250</xdr:rowOff>
    </xdr:from>
    <xdr:to>
      <xdr:col>2</xdr:col>
      <xdr:colOff>869155</xdr:colOff>
      <xdr:row>7</xdr:row>
      <xdr:rowOff>35718</xdr:rowOff>
    </xdr:to>
    <xdr:sp macro="" textlink="">
      <xdr:nvSpPr>
        <xdr:cNvPr id="2" name="テキスト ボックス 1"/>
        <xdr:cNvSpPr txBox="1"/>
      </xdr:nvSpPr>
      <xdr:spPr>
        <a:xfrm>
          <a:off x="1357311" y="1333500"/>
          <a:ext cx="511969" cy="297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育苗</a:t>
          </a:r>
        </a:p>
      </xdr:txBody>
    </xdr:sp>
    <xdr:clientData/>
  </xdr:twoCellAnchor>
  <xdr:twoCellAnchor>
    <xdr:from>
      <xdr:col>2</xdr:col>
      <xdr:colOff>357187</xdr:colOff>
      <xdr:row>7</xdr:row>
      <xdr:rowOff>71437</xdr:rowOff>
    </xdr:from>
    <xdr:to>
      <xdr:col>2</xdr:col>
      <xdr:colOff>869156</xdr:colOff>
      <xdr:row>9</xdr:row>
      <xdr:rowOff>11906</xdr:rowOff>
    </xdr:to>
    <xdr:sp macro="" textlink="">
      <xdr:nvSpPr>
        <xdr:cNvPr id="15" name="テキスト ボックス 14"/>
        <xdr:cNvSpPr txBox="1"/>
      </xdr:nvSpPr>
      <xdr:spPr>
        <a:xfrm>
          <a:off x="1357312" y="1666875"/>
          <a:ext cx="511969" cy="297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66" customWidth="1"/>
    <col min="2" max="3" width="7.625" style="66" customWidth="1"/>
    <col min="4" max="6" width="9" style="66"/>
    <col min="7" max="7" width="3.5" style="66" customWidth="1"/>
    <col min="8" max="8" width="3.625" style="66" customWidth="1"/>
    <col min="9" max="9" width="3.75" style="66" customWidth="1"/>
    <col min="10" max="42" width="3.5" style="66" customWidth="1"/>
    <col min="43" max="43" width="1.375" style="66" customWidth="1"/>
    <col min="44" max="16384" width="9" style="66"/>
  </cols>
  <sheetData>
    <row r="1" spans="1:42" ht="9.9499999999999993" customHeight="1" thickBot="1" x14ac:dyDescent="0.2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42" ht="39.950000000000003" customHeight="1" thickBot="1" x14ac:dyDescent="0.2">
      <c r="A2" s="78"/>
      <c r="B2" s="232" t="s">
        <v>70</v>
      </c>
      <c r="C2" s="535" t="s">
        <v>524</v>
      </c>
      <c r="D2" s="536"/>
      <c r="E2" s="233" t="s">
        <v>55</v>
      </c>
      <c r="F2" s="537" t="s">
        <v>471</v>
      </c>
      <c r="G2" s="538"/>
      <c r="H2" s="538"/>
      <c r="I2" s="538"/>
      <c r="J2" s="538"/>
      <c r="K2" s="538"/>
      <c r="L2" s="538"/>
      <c r="M2" s="538"/>
      <c r="N2" s="539"/>
      <c r="O2" s="543" t="s">
        <v>56</v>
      </c>
      <c r="P2" s="544"/>
      <c r="Q2" s="545"/>
      <c r="R2" s="546" t="s">
        <v>472</v>
      </c>
      <c r="S2" s="547"/>
      <c r="T2" s="547"/>
      <c r="U2" s="547"/>
      <c r="V2" s="546" t="s">
        <v>57</v>
      </c>
      <c r="W2" s="547"/>
      <c r="X2" s="547"/>
      <c r="Y2" s="540" t="s">
        <v>473</v>
      </c>
      <c r="Z2" s="541"/>
      <c r="AA2" s="542"/>
      <c r="AB2" s="79"/>
      <c r="AC2" s="79"/>
      <c r="AD2" s="79"/>
    </row>
    <row r="3" spans="1:42" ht="9.9499999999999993" customHeight="1" x14ac:dyDescent="0.15">
      <c r="B3" s="80"/>
    </row>
    <row r="4" spans="1:42" ht="24.95" customHeight="1" thickBot="1" x14ac:dyDescent="0.2">
      <c r="B4" s="66" t="s">
        <v>93</v>
      </c>
    </row>
    <row r="5" spans="1:42" ht="20.100000000000001" customHeight="1" x14ac:dyDescent="0.15">
      <c r="B5" s="439" t="s">
        <v>94</v>
      </c>
      <c r="C5" s="440"/>
      <c r="D5" s="441" t="s">
        <v>563</v>
      </c>
      <c r="E5" s="442"/>
      <c r="F5" s="442"/>
      <c r="G5" s="443"/>
      <c r="H5" s="444" t="s">
        <v>58</v>
      </c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5"/>
      <c r="AD5" s="79"/>
      <c r="AE5" s="79"/>
      <c r="AF5" s="79"/>
      <c r="AG5" s="79"/>
      <c r="AH5" s="79"/>
      <c r="AI5" s="79"/>
      <c r="AJ5" s="79"/>
      <c r="AK5" s="79"/>
      <c r="AL5" s="79"/>
    </row>
    <row r="6" spans="1:42" ht="20.100000000000001" customHeight="1" x14ac:dyDescent="0.15">
      <c r="B6" s="451" t="s">
        <v>59</v>
      </c>
      <c r="C6" s="452"/>
      <c r="D6" s="452"/>
      <c r="E6" s="452"/>
      <c r="F6" s="452"/>
      <c r="G6" s="453"/>
      <c r="H6" s="454" t="s">
        <v>60</v>
      </c>
      <c r="I6" s="437"/>
      <c r="J6" s="437"/>
      <c r="K6" s="437"/>
      <c r="L6" s="437"/>
      <c r="M6" s="437"/>
      <c r="N6" s="455" t="s">
        <v>61</v>
      </c>
      <c r="O6" s="437"/>
      <c r="P6" s="437"/>
      <c r="Q6" s="455" t="s">
        <v>62</v>
      </c>
      <c r="R6" s="437"/>
      <c r="S6" s="437"/>
      <c r="T6" s="437"/>
      <c r="U6" s="437"/>
      <c r="V6" s="437"/>
      <c r="W6" s="437"/>
      <c r="X6" s="461"/>
      <c r="Y6" s="437" t="s">
        <v>63</v>
      </c>
      <c r="Z6" s="437"/>
      <c r="AA6" s="438"/>
    </row>
    <row r="7" spans="1:42" ht="20.100000000000001" customHeight="1" x14ac:dyDescent="0.15">
      <c r="B7" s="456" t="s">
        <v>64</v>
      </c>
      <c r="C7" s="457"/>
      <c r="D7" s="458" t="s">
        <v>520</v>
      </c>
      <c r="E7" s="459"/>
      <c r="F7" s="459"/>
      <c r="G7" s="460"/>
      <c r="H7" s="454" t="s">
        <v>516</v>
      </c>
      <c r="I7" s="437"/>
      <c r="J7" s="437"/>
      <c r="K7" s="437"/>
      <c r="L7" s="437"/>
      <c r="M7" s="461"/>
      <c r="N7" s="462">
        <v>52</v>
      </c>
      <c r="O7" s="463"/>
      <c r="P7" s="464"/>
      <c r="Q7" s="446"/>
      <c r="R7" s="447"/>
      <c r="S7" s="447"/>
      <c r="T7" s="447"/>
      <c r="U7" s="447"/>
      <c r="V7" s="447"/>
      <c r="W7" s="447"/>
      <c r="X7" s="448"/>
      <c r="Y7" s="449"/>
      <c r="Z7" s="449"/>
      <c r="AA7" s="450"/>
    </row>
    <row r="8" spans="1:42" ht="20.100000000000001" customHeight="1" x14ac:dyDescent="0.15">
      <c r="B8" s="451" t="s">
        <v>65</v>
      </c>
      <c r="C8" s="452"/>
      <c r="D8" s="465"/>
      <c r="E8" s="465"/>
      <c r="F8" s="465"/>
      <c r="G8" s="466"/>
      <c r="H8" s="454" t="s">
        <v>517</v>
      </c>
      <c r="I8" s="437"/>
      <c r="J8" s="437"/>
      <c r="K8" s="437"/>
      <c r="L8" s="437"/>
      <c r="M8" s="461"/>
      <c r="N8" s="455"/>
      <c r="O8" s="437"/>
      <c r="P8" s="461"/>
      <c r="Q8" s="467"/>
      <c r="R8" s="468"/>
      <c r="S8" s="468"/>
      <c r="T8" s="468"/>
      <c r="U8" s="468"/>
      <c r="V8" s="468"/>
      <c r="W8" s="468"/>
      <c r="X8" s="469"/>
      <c r="Y8" s="455"/>
      <c r="Z8" s="437"/>
      <c r="AA8" s="438"/>
    </row>
    <row r="9" spans="1:42" ht="20.100000000000001" customHeight="1" x14ac:dyDescent="0.15">
      <c r="B9" s="451" t="s">
        <v>66</v>
      </c>
      <c r="C9" s="452"/>
      <c r="D9" s="465"/>
      <c r="E9" s="465"/>
      <c r="F9" s="465"/>
      <c r="G9" s="466"/>
      <c r="H9" s="454"/>
      <c r="I9" s="437"/>
      <c r="J9" s="437"/>
      <c r="K9" s="437"/>
      <c r="L9" s="437"/>
      <c r="M9" s="461"/>
      <c r="N9" s="455"/>
      <c r="O9" s="437"/>
      <c r="P9" s="461"/>
      <c r="Q9" s="467"/>
      <c r="R9" s="468"/>
      <c r="S9" s="468"/>
      <c r="T9" s="468"/>
      <c r="U9" s="468"/>
      <c r="V9" s="468"/>
      <c r="W9" s="468"/>
      <c r="X9" s="469"/>
      <c r="Y9" s="455"/>
      <c r="Z9" s="437"/>
      <c r="AA9" s="438"/>
    </row>
    <row r="10" spans="1:42" ht="20.100000000000001" customHeight="1" x14ac:dyDescent="0.15">
      <c r="B10" s="451" t="s">
        <v>67</v>
      </c>
      <c r="C10" s="452"/>
      <c r="D10" s="465"/>
      <c r="E10" s="465"/>
      <c r="F10" s="465"/>
      <c r="G10" s="466"/>
      <c r="H10" s="470"/>
      <c r="I10" s="471"/>
      <c r="J10" s="471"/>
      <c r="K10" s="471"/>
      <c r="L10" s="471"/>
      <c r="M10" s="471"/>
      <c r="N10" s="455"/>
      <c r="O10" s="437"/>
      <c r="P10" s="461"/>
      <c r="Q10" s="467"/>
      <c r="R10" s="468"/>
      <c r="S10" s="468"/>
      <c r="T10" s="468"/>
      <c r="U10" s="468"/>
      <c r="V10" s="468"/>
      <c r="W10" s="468"/>
      <c r="X10" s="469"/>
      <c r="Y10" s="437"/>
      <c r="Z10" s="437"/>
      <c r="AA10" s="438"/>
    </row>
    <row r="11" spans="1:42" ht="20.100000000000001" customHeight="1" thickBot="1" x14ac:dyDescent="0.2">
      <c r="B11" s="478" t="s">
        <v>68</v>
      </c>
      <c r="C11" s="479"/>
      <c r="D11" s="480" t="s">
        <v>531</v>
      </c>
      <c r="E11" s="481"/>
      <c r="F11" s="481"/>
      <c r="G11" s="482"/>
      <c r="H11" s="483"/>
      <c r="I11" s="483"/>
      <c r="J11" s="483"/>
      <c r="K11" s="483"/>
      <c r="L11" s="483"/>
      <c r="M11" s="483"/>
      <c r="N11" s="496"/>
      <c r="O11" s="493"/>
      <c r="P11" s="493"/>
      <c r="Q11" s="490"/>
      <c r="R11" s="491"/>
      <c r="S11" s="491"/>
      <c r="T11" s="491"/>
      <c r="U11" s="491"/>
      <c r="V11" s="491"/>
      <c r="W11" s="491"/>
      <c r="X11" s="492"/>
      <c r="Y11" s="493"/>
      <c r="Z11" s="493"/>
      <c r="AA11" s="494"/>
    </row>
    <row r="12" spans="1:42" ht="20.100000000000001" customHeight="1" x14ac:dyDescent="0.15">
      <c r="B12" s="484" t="s">
        <v>91</v>
      </c>
      <c r="C12" s="472" t="s">
        <v>530</v>
      </c>
      <c r="D12" s="473"/>
      <c r="E12" s="474"/>
      <c r="F12" s="304" t="s">
        <v>92</v>
      </c>
      <c r="G12" s="472">
        <v>1</v>
      </c>
      <c r="H12" s="444"/>
      <c r="I12" s="444"/>
      <c r="J12" s="475">
        <v>2</v>
      </c>
      <c r="K12" s="444"/>
      <c r="L12" s="476"/>
      <c r="M12" s="444">
        <v>3</v>
      </c>
      <c r="N12" s="444"/>
      <c r="O12" s="477"/>
      <c r="P12" s="475">
        <v>4</v>
      </c>
      <c r="Q12" s="444"/>
      <c r="R12" s="476"/>
      <c r="S12" s="495">
        <v>5</v>
      </c>
      <c r="T12" s="444"/>
      <c r="U12" s="477"/>
      <c r="V12" s="475">
        <v>6</v>
      </c>
      <c r="W12" s="444"/>
      <c r="X12" s="476"/>
      <c r="Y12" s="495">
        <v>7</v>
      </c>
      <c r="Z12" s="444"/>
      <c r="AA12" s="477"/>
      <c r="AB12" s="475">
        <v>8</v>
      </c>
      <c r="AC12" s="444"/>
      <c r="AD12" s="476"/>
      <c r="AE12" s="495">
        <v>9</v>
      </c>
      <c r="AF12" s="444"/>
      <c r="AG12" s="477"/>
      <c r="AH12" s="475">
        <v>10</v>
      </c>
      <c r="AI12" s="444"/>
      <c r="AJ12" s="476"/>
      <c r="AK12" s="475">
        <v>11</v>
      </c>
      <c r="AL12" s="444"/>
      <c r="AM12" s="476"/>
      <c r="AN12" s="444">
        <v>12</v>
      </c>
      <c r="AO12" s="444"/>
      <c r="AP12" s="445"/>
    </row>
    <row r="13" spans="1:42" ht="20.100000000000001" customHeight="1" x14ac:dyDescent="0.15">
      <c r="B13" s="484"/>
      <c r="C13" s="486" t="s">
        <v>521</v>
      </c>
      <c r="D13" s="487"/>
      <c r="E13" s="487"/>
      <c r="F13" s="75" t="s">
        <v>515</v>
      </c>
      <c r="G13" s="82"/>
      <c r="H13" s="83"/>
      <c r="I13" s="83"/>
      <c r="J13" s="82"/>
      <c r="K13" s="83"/>
      <c r="L13" s="84"/>
      <c r="M13" s="83"/>
      <c r="N13" s="83"/>
      <c r="O13" s="85"/>
      <c r="P13" s="82"/>
      <c r="Q13" s="83"/>
      <c r="R13" s="84"/>
      <c r="S13" s="86"/>
      <c r="T13" s="83"/>
      <c r="U13" s="85"/>
      <c r="V13" s="82"/>
      <c r="W13" s="83"/>
      <c r="X13" s="84"/>
      <c r="Y13" s="86"/>
      <c r="Z13" s="83"/>
      <c r="AA13" s="85"/>
      <c r="AB13" s="82"/>
      <c r="AC13" s="83"/>
      <c r="AD13" s="84"/>
      <c r="AE13" s="82"/>
      <c r="AF13" s="83"/>
      <c r="AG13" s="84"/>
      <c r="AH13" s="82"/>
      <c r="AI13" s="83"/>
      <c r="AJ13" s="84"/>
      <c r="AK13" s="82"/>
      <c r="AL13" s="83"/>
      <c r="AM13" s="84"/>
      <c r="AN13" s="83"/>
      <c r="AO13" s="83"/>
      <c r="AP13" s="87"/>
    </row>
    <row r="14" spans="1:42" ht="20.100000000000001" customHeight="1" x14ac:dyDescent="0.15">
      <c r="B14" s="484"/>
      <c r="C14" s="486"/>
      <c r="D14" s="487"/>
      <c r="E14" s="487"/>
      <c r="F14" s="75"/>
      <c r="G14" s="88"/>
      <c r="H14" s="89"/>
      <c r="I14" s="89"/>
      <c r="J14" s="88"/>
      <c r="K14" s="89"/>
      <c r="L14" s="90"/>
      <c r="M14" s="89"/>
      <c r="N14" s="89"/>
      <c r="O14" s="91"/>
      <c r="P14" s="88"/>
      <c r="Q14" s="89"/>
      <c r="R14" s="90"/>
      <c r="S14" s="92"/>
      <c r="T14" s="89"/>
      <c r="U14" s="91"/>
      <c r="V14" s="88"/>
      <c r="W14" s="89"/>
      <c r="X14" s="353" t="s">
        <v>261</v>
      </c>
      <c r="Y14" s="352"/>
      <c r="Z14" s="89"/>
      <c r="AA14" s="91"/>
      <c r="AB14" s="88"/>
      <c r="AC14" s="89"/>
      <c r="AD14" s="90"/>
      <c r="AE14" s="88"/>
      <c r="AF14" s="89"/>
      <c r="AG14" s="90"/>
      <c r="AH14" s="88"/>
      <c r="AI14" s="89"/>
      <c r="AJ14" s="90"/>
      <c r="AK14" s="88"/>
      <c r="AL14" s="89"/>
      <c r="AM14" s="90"/>
      <c r="AN14" s="89"/>
      <c r="AO14" s="89"/>
      <c r="AP14" s="93"/>
    </row>
    <row r="15" spans="1:42" ht="20.100000000000001" customHeight="1" x14ac:dyDescent="0.15">
      <c r="B15" s="484"/>
      <c r="C15" s="486" t="s">
        <v>256</v>
      </c>
      <c r="D15" s="487"/>
      <c r="E15" s="487"/>
      <c r="F15" s="81" t="s">
        <v>514</v>
      </c>
      <c r="G15" s="88"/>
      <c r="H15" s="89"/>
      <c r="I15" s="89"/>
      <c r="J15" s="88"/>
      <c r="K15" s="89"/>
      <c r="L15" s="90"/>
      <c r="M15" s="89"/>
      <c r="N15" s="89"/>
      <c r="O15" s="91"/>
      <c r="P15" s="88"/>
      <c r="Q15" s="89"/>
      <c r="R15" s="90"/>
      <c r="S15" s="92"/>
      <c r="T15" s="89"/>
      <c r="U15" s="91"/>
      <c r="V15" s="88"/>
      <c r="W15" s="89"/>
      <c r="X15" s="90"/>
      <c r="Y15" s="92"/>
      <c r="Z15" s="89"/>
      <c r="AA15" s="91"/>
      <c r="AB15" s="88"/>
      <c r="AC15" s="89"/>
      <c r="AD15" s="90"/>
      <c r="AE15" s="88"/>
      <c r="AF15" s="305" t="s">
        <v>257</v>
      </c>
      <c r="AG15" s="90"/>
      <c r="AH15" s="88"/>
      <c r="AI15" s="89"/>
      <c r="AJ15" s="90"/>
      <c r="AK15" s="88"/>
      <c r="AL15" s="89"/>
      <c r="AM15" s="90"/>
      <c r="AN15" s="89"/>
      <c r="AO15" s="89"/>
      <c r="AP15" s="93"/>
    </row>
    <row r="16" spans="1:42" ht="20.100000000000001" customHeight="1" x14ac:dyDescent="0.15">
      <c r="B16" s="484"/>
      <c r="C16" s="486"/>
      <c r="D16" s="487"/>
      <c r="E16" s="487"/>
      <c r="F16" s="94"/>
      <c r="G16" s="88"/>
      <c r="H16" s="89"/>
      <c r="I16" s="89"/>
      <c r="J16" s="88"/>
      <c r="K16" s="89"/>
      <c r="L16" s="90"/>
      <c r="M16" s="89"/>
      <c r="N16" s="89"/>
      <c r="O16" s="91"/>
      <c r="P16" s="88"/>
      <c r="Q16" s="89"/>
      <c r="R16" s="90"/>
      <c r="S16" s="92"/>
      <c r="T16" s="89"/>
      <c r="U16" s="91"/>
      <c r="V16" s="88"/>
      <c r="W16" s="89"/>
      <c r="X16" s="90"/>
      <c r="Y16" s="92"/>
      <c r="Z16" s="89"/>
      <c r="AA16" s="91"/>
      <c r="AB16" s="88"/>
      <c r="AC16" s="89"/>
      <c r="AD16" s="90"/>
      <c r="AE16" s="88"/>
      <c r="AF16" s="89"/>
      <c r="AG16" s="90"/>
      <c r="AH16" s="88"/>
      <c r="AI16" s="89"/>
      <c r="AJ16" s="90"/>
      <c r="AK16" s="88"/>
      <c r="AL16" s="89"/>
      <c r="AM16" s="90"/>
      <c r="AN16" s="89"/>
      <c r="AO16" s="89"/>
      <c r="AP16" s="93"/>
    </row>
    <row r="17" spans="2:42" ht="20.100000000000001" customHeight="1" x14ac:dyDescent="0.15">
      <c r="B17" s="484"/>
      <c r="C17" s="486"/>
      <c r="D17" s="487"/>
      <c r="E17" s="487"/>
      <c r="F17" s="94"/>
      <c r="G17" s="88"/>
      <c r="H17" s="89"/>
      <c r="I17" s="89"/>
      <c r="J17" s="88"/>
      <c r="K17" s="89"/>
      <c r="L17" s="90"/>
      <c r="M17" s="89"/>
      <c r="N17" s="89"/>
      <c r="O17" s="91"/>
      <c r="P17" s="88"/>
      <c r="Q17" s="89"/>
      <c r="R17" s="90"/>
      <c r="S17" s="92"/>
      <c r="T17" s="89"/>
      <c r="U17" s="91"/>
      <c r="V17" s="88"/>
      <c r="W17" s="89"/>
      <c r="X17" s="90"/>
      <c r="Y17" s="92"/>
      <c r="Z17" s="89"/>
      <c r="AA17" s="91"/>
      <c r="AB17" s="88"/>
      <c r="AC17" s="89"/>
      <c r="AD17" s="90"/>
      <c r="AE17" s="88"/>
      <c r="AF17" s="89"/>
      <c r="AG17" s="90"/>
      <c r="AH17" s="88"/>
      <c r="AI17" s="89"/>
      <c r="AJ17" s="90"/>
      <c r="AK17" s="88"/>
      <c r="AL17" s="89"/>
      <c r="AM17" s="90"/>
      <c r="AN17" s="89"/>
      <c r="AO17" s="89"/>
      <c r="AP17" s="93"/>
    </row>
    <row r="18" spans="2:42" ht="20.100000000000001" customHeight="1" x14ac:dyDescent="0.15">
      <c r="B18" s="484"/>
      <c r="C18" s="486"/>
      <c r="D18" s="487"/>
      <c r="E18" s="487"/>
      <c r="F18" s="94"/>
      <c r="G18" s="88"/>
      <c r="H18" s="89"/>
      <c r="I18" s="89"/>
      <c r="J18" s="88"/>
      <c r="K18" s="89"/>
      <c r="L18" s="90"/>
      <c r="M18" s="89"/>
      <c r="N18" s="89"/>
      <c r="O18" s="91"/>
      <c r="P18" s="88"/>
      <c r="Q18" s="89"/>
      <c r="R18" s="90"/>
      <c r="S18" s="92"/>
      <c r="T18" s="89"/>
      <c r="U18" s="91"/>
      <c r="V18" s="88"/>
      <c r="W18" s="89"/>
      <c r="X18" s="90"/>
      <c r="Y18" s="92"/>
      <c r="Z18" s="89"/>
      <c r="AA18" s="91"/>
      <c r="AB18" s="88"/>
      <c r="AC18" s="89"/>
      <c r="AD18" s="90"/>
      <c r="AE18" s="88"/>
      <c r="AF18" s="89"/>
      <c r="AG18" s="90"/>
      <c r="AH18" s="88"/>
      <c r="AI18" s="89"/>
      <c r="AJ18" s="90"/>
      <c r="AK18" s="88"/>
      <c r="AL18" s="89"/>
      <c r="AM18" s="90"/>
      <c r="AN18" s="89"/>
      <c r="AO18" s="89"/>
      <c r="AP18" s="93"/>
    </row>
    <row r="19" spans="2:42" ht="20.100000000000001" customHeight="1" x14ac:dyDescent="0.15">
      <c r="B19" s="485"/>
      <c r="C19" s="488"/>
      <c r="D19" s="489"/>
      <c r="E19" s="489"/>
      <c r="F19" s="95"/>
      <c r="G19" s="96"/>
      <c r="H19" s="97"/>
      <c r="I19" s="97"/>
      <c r="J19" s="98"/>
      <c r="K19" s="99"/>
      <c r="L19" s="100"/>
      <c r="M19" s="97"/>
      <c r="N19" s="97"/>
      <c r="O19" s="101"/>
      <c r="P19" s="98"/>
      <c r="Q19" s="99"/>
      <c r="R19" s="100"/>
      <c r="S19" s="102"/>
      <c r="T19" s="97"/>
      <c r="U19" s="101"/>
      <c r="V19" s="98"/>
      <c r="W19" s="99"/>
      <c r="X19" s="100"/>
      <c r="Y19" s="102"/>
      <c r="Z19" s="97"/>
      <c r="AA19" s="101"/>
      <c r="AB19" s="98"/>
      <c r="AC19" s="99"/>
      <c r="AD19" s="100"/>
      <c r="AE19" s="98"/>
      <c r="AF19" s="99"/>
      <c r="AG19" s="100"/>
      <c r="AH19" s="98"/>
      <c r="AI19" s="99"/>
      <c r="AJ19" s="100"/>
      <c r="AK19" s="98"/>
      <c r="AL19" s="99"/>
      <c r="AM19" s="100"/>
      <c r="AN19" s="99"/>
      <c r="AO19" s="99"/>
      <c r="AP19" s="103"/>
    </row>
    <row r="20" spans="2:42" ht="20.100000000000001" customHeight="1" x14ac:dyDescent="0.15">
      <c r="B20" s="518" t="s">
        <v>69</v>
      </c>
      <c r="C20" s="502"/>
      <c r="D20" s="503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3"/>
      <c r="AC20" s="503"/>
      <c r="AD20" s="503"/>
      <c r="AE20" s="503"/>
      <c r="AF20" s="503"/>
      <c r="AG20" s="503"/>
      <c r="AH20" s="503"/>
      <c r="AI20" s="503"/>
      <c r="AJ20" s="503"/>
      <c r="AK20" s="503"/>
      <c r="AL20" s="503"/>
      <c r="AM20" s="503"/>
      <c r="AN20" s="503"/>
      <c r="AO20" s="503"/>
      <c r="AP20" s="504"/>
    </row>
    <row r="21" spans="2:42" ht="20.100000000000001" customHeight="1" x14ac:dyDescent="0.15">
      <c r="B21" s="519"/>
      <c r="C21" s="521" t="s">
        <v>536</v>
      </c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104"/>
      <c r="W21" s="104"/>
      <c r="Y21" s="459"/>
      <c r="Z21" s="459"/>
      <c r="AA21" s="459"/>
      <c r="AB21" s="459"/>
      <c r="AC21" s="104"/>
      <c r="AD21" s="104"/>
      <c r="AI21" s="104"/>
      <c r="AJ21" s="104"/>
      <c r="AK21" s="104"/>
      <c r="AL21" s="104"/>
      <c r="AM21" s="104"/>
      <c r="AN21" s="104"/>
      <c r="AO21" s="104"/>
      <c r="AP21" s="105"/>
    </row>
    <row r="22" spans="2:42" ht="20.100000000000001" customHeight="1" thickBot="1" x14ac:dyDescent="0.2">
      <c r="B22" s="520"/>
      <c r="C22" s="505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506"/>
      <c r="AB22" s="506"/>
      <c r="AC22" s="506"/>
      <c r="AD22" s="506"/>
      <c r="AE22" s="506"/>
      <c r="AF22" s="506"/>
      <c r="AG22" s="506"/>
      <c r="AH22" s="506"/>
      <c r="AI22" s="506"/>
      <c r="AJ22" s="506"/>
      <c r="AK22" s="506"/>
      <c r="AL22" s="506"/>
      <c r="AM22" s="506"/>
      <c r="AN22" s="506"/>
      <c r="AO22" s="506"/>
      <c r="AP22" s="507"/>
    </row>
    <row r="23" spans="2:42" ht="9.9499999999999993" customHeight="1" x14ac:dyDescent="0.1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2:42" ht="24.95" customHeight="1" thickBot="1" x14ac:dyDescent="0.2">
      <c r="B24" s="66" t="s">
        <v>95</v>
      </c>
    </row>
    <row r="25" spans="2:42" ht="20.100000000000001" customHeight="1" thickBot="1" x14ac:dyDescent="0.2">
      <c r="B25" s="508" t="s">
        <v>16</v>
      </c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10"/>
      <c r="O25" s="511" t="s">
        <v>15</v>
      </c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  <c r="AE25" s="512"/>
      <c r="AF25" s="512"/>
      <c r="AG25" s="512"/>
      <c r="AH25" s="512"/>
      <c r="AI25" s="512"/>
      <c r="AJ25" s="512"/>
      <c r="AK25" s="512"/>
      <c r="AL25" s="512"/>
      <c r="AM25" s="512"/>
      <c r="AN25" s="512"/>
      <c r="AO25" s="512"/>
      <c r="AP25" s="513"/>
    </row>
    <row r="26" spans="2:42" ht="39.950000000000003" customHeight="1" x14ac:dyDescent="0.15">
      <c r="B26" s="514" t="s">
        <v>11</v>
      </c>
      <c r="C26" s="498"/>
      <c r="D26" s="498"/>
      <c r="E26" s="515" t="s">
        <v>258</v>
      </c>
      <c r="F26" s="516"/>
      <c r="G26" s="516"/>
      <c r="H26" s="516"/>
      <c r="I26" s="516"/>
      <c r="J26" s="516"/>
      <c r="K26" s="516"/>
      <c r="L26" s="516"/>
      <c r="M26" s="516"/>
      <c r="N26" s="517"/>
      <c r="O26" s="497" t="s">
        <v>8</v>
      </c>
      <c r="P26" s="498"/>
      <c r="Q26" s="498"/>
      <c r="R26" s="498"/>
      <c r="S26" s="498"/>
      <c r="T26" s="499" t="s">
        <v>532</v>
      </c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0"/>
      <c r="AH26" s="500"/>
      <c r="AI26" s="500"/>
      <c r="AJ26" s="500"/>
      <c r="AK26" s="500"/>
      <c r="AL26" s="500"/>
      <c r="AM26" s="500"/>
      <c r="AN26" s="500"/>
      <c r="AO26" s="500"/>
      <c r="AP26" s="501"/>
    </row>
    <row r="27" spans="2:42" ht="39.950000000000003" customHeight="1" x14ac:dyDescent="0.15">
      <c r="B27" s="526" t="s">
        <v>12</v>
      </c>
      <c r="C27" s="527"/>
      <c r="D27" s="527"/>
      <c r="E27" s="528" t="s">
        <v>537</v>
      </c>
      <c r="F27" s="529"/>
      <c r="G27" s="529"/>
      <c r="H27" s="529"/>
      <c r="I27" s="529"/>
      <c r="J27" s="529"/>
      <c r="K27" s="529"/>
      <c r="L27" s="529"/>
      <c r="M27" s="529"/>
      <c r="N27" s="530"/>
      <c r="O27" s="531" t="s">
        <v>9</v>
      </c>
      <c r="P27" s="527"/>
      <c r="Q27" s="527"/>
      <c r="R27" s="527"/>
      <c r="S27" s="527"/>
      <c r="T27" s="528" t="s">
        <v>260</v>
      </c>
      <c r="U27" s="529"/>
      <c r="V27" s="529"/>
      <c r="W27" s="529"/>
      <c r="X27" s="529"/>
      <c r="Y27" s="529"/>
      <c r="Z27" s="529"/>
      <c r="AA27" s="529"/>
      <c r="AB27" s="529"/>
      <c r="AC27" s="529"/>
      <c r="AD27" s="529"/>
      <c r="AE27" s="529"/>
      <c r="AF27" s="529"/>
      <c r="AG27" s="529"/>
      <c r="AH27" s="529"/>
      <c r="AI27" s="529"/>
      <c r="AJ27" s="529"/>
      <c r="AK27" s="529"/>
      <c r="AL27" s="529"/>
      <c r="AM27" s="529"/>
      <c r="AN27" s="529"/>
      <c r="AO27" s="529"/>
      <c r="AP27" s="530"/>
    </row>
    <row r="28" spans="2:42" ht="39.950000000000003" customHeight="1" x14ac:dyDescent="0.15">
      <c r="B28" s="526" t="s">
        <v>13</v>
      </c>
      <c r="C28" s="527"/>
      <c r="D28" s="527"/>
      <c r="E28" s="528" t="s">
        <v>259</v>
      </c>
      <c r="F28" s="529"/>
      <c r="G28" s="529"/>
      <c r="H28" s="529"/>
      <c r="I28" s="529"/>
      <c r="J28" s="529"/>
      <c r="K28" s="529"/>
      <c r="L28" s="529"/>
      <c r="M28" s="529"/>
      <c r="N28" s="530"/>
      <c r="O28" s="531" t="s">
        <v>10</v>
      </c>
      <c r="P28" s="527"/>
      <c r="Q28" s="527"/>
      <c r="R28" s="527"/>
      <c r="S28" s="527"/>
      <c r="T28" s="528" t="s">
        <v>480</v>
      </c>
      <c r="U28" s="529"/>
      <c r="V28" s="529"/>
      <c r="W28" s="529"/>
      <c r="X28" s="529"/>
      <c r="Y28" s="529"/>
      <c r="Z28" s="529"/>
      <c r="AA28" s="529"/>
      <c r="AB28" s="529"/>
      <c r="AC28" s="529"/>
      <c r="AD28" s="529"/>
      <c r="AE28" s="529"/>
      <c r="AF28" s="529"/>
      <c r="AG28" s="529"/>
      <c r="AH28" s="529"/>
      <c r="AI28" s="529"/>
      <c r="AJ28" s="529"/>
      <c r="AK28" s="529"/>
      <c r="AL28" s="529"/>
      <c r="AM28" s="529"/>
      <c r="AN28" s="529"/>
      <c r="AO28" s="529"/>
      <c r="AP28" s="530"/>
    </row>
    <row r="29" spans="2:42" ht="39.950000000000003" customHeight="1" thickBot="1" x14ac:dyDescent="0.2">
      <c r="B29" s="534" t="s">
        <v>14</v>
      </c>
      <c r="C29" s="533"/>
      <c r="D29" s="533"/>
      <c r="E29" s="523" t="s">
        <v>535</v>
      </c>
      <c r="F29" s="524"/>
      <c r="G29" s="524"/>
      <c r="H29" s="524"/>
      <c r="I29" s="524"/>
      <c r="J29" s="524"/>
      <c r="K29" s="524"/>
      <c r="L29" s="524"/>
      <c r="M29" s="524"/>
      <c r="N29" s="525"/>
      <c r="O29" s="532"/>
      <c r="P29" s="533"/>
      <c r="Q29" s="533"/>
      <c r="R29" s="533"/>
      <c r="S29" s="533"/>
      <c r="T29" s="524"/>
      <c r="U29" s="524"/>
      <c r="V29" s="524"/>
      <c r="W29" s="524"/>
      <c r="X29" s="524"/>
      <c r="Y29" s="524"/>
      <c r="Z29" s="524"/>
      <c r="AA29" s="524"/>
      <c r="AB29" s="524"/>
      <c r="AC29" s="524"/>
      <c r="AD29" s="524"/>
      <c r="AE29" s="524"/>
      <c r="AF29" s="524"/>
      <c r="AG29" s="524"/>
      <c r="AH29" s="524"/>
      <c r="AI29" s="524"/>
      <c r="AJ29" s="524"/>
      <c r="AK29" s="524"/>
      <c r="AL29" s="524"/>
      <c r="AM29" s="524"/>
      <c r="AN29" s="524"/>
      <c r="AO29" s="524"/>
      <c r="AP29" s="525"/>
    </row>
    <row r="30" spans="2:42" ht="9.75" customHeight="1" x14ac:dyDescent="0.15">
      <c r="B30" s="77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5:E15"/>
    <mergeCell ref="C14:E14"/>
    <mergeCell ref="AB12:AD12"/>
    <mergeCell ref="AE12:AG12"/>
    <mergeCell ref="C13:E13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 x14ac:dyDescent="0.15"/>
  <cols>
    <col min="1" max="1" width="1.625" style="66" customWidth="1"/>
    <col min="2" max="2" width="7.625" style="66" customWidth="1"/>
    <col min="3" max="3" width="25.625" style="66" customWidth="1"/>
    <col min="4" max="13" width="15.625" style="66" customWidth="1"/>
    <col min="14" max="16384" width="9" style="66"/>
  </cols>
  <sheetData>
    <row r="1" spans="2:13" ht="9.9499999999999993" customHeight="1" x14ac:dyDescent="0.1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3" ht="24.95" customHeight="1" thickBot="1" x14ac:dyDescent="0.2">
      <c r="B2" s="231" t="s">
        <v>469</v>
      </c>
      <c r="F2" s="255" t="s">
        <v>193</v>
      </c>
      <c r="G2" s="231" t="s">
        <v>470</v>
      </c>
      <c r="I2" s="255" t="s">
        <v>194</v>
      </c>
      <c r="J2" s="231" t="s">
        <v>276</v>
      </c>
    </row>
    <row r="3" spans="2:13" ht="20.100000000000001" customHeight="1" x14ac:dyDescent="0.15">
      <c r="B3" s="549" t="s">
        <v>90</v>
      </c>
      <c r="C3" s="550"/>
      <c r="D3" s="67" t="s">
        <v>309</v>
      </c>
      <c r="E3" s="67" t="s">
        <v>310</v>
      </c>
      <c r="F3" s="67" t="s">
        <v>311</v>
      </c>
      <c r="G3" s="67" t="s">
        <v>312</v>
      </c>
      <c r="H3" s="67" t="s">
        <v>479</v>
      </c>
      <c r="I3" s="67" t="s">
        <v>314</v>
      </c>
      <c r="J3" s="67" t="s">
        <v>315</v>
      </c>
      <c r="K3" s="67" t="s">
        <v>316</v>
      </c>
      <c r="L3" s="67" t="s">
        <v>317</v>
      </c>
      <c r="M3" s="68" t="s">
        <v>318</v>
      </c>
    </row>
    <row r="4" spans="2:13" ht="148.5" customHeight="1" x14ac:dyDescent="0.15">
      <c r="B4" s="548" t="s">
        <v>81</v>
      </c>
      <c r="C4" s="69" t="s">
        <v>82</v>
      </c>
      <c r="D4" s="330" t="s">
        <v>541</v>
      </c>
      <c r="E4" s="330" t="s">
        <v>542</v>
      </c>
      <c r="F4" s="330" t="s">
        <v>543</v>
      </c>
      <c r="G4" s="330" t="s">
        <v>544</v>
      </c>
      <c r="H4" s="330" t="s">
        <v>545</v>
      </c>
      <c r="I4" s="330" t="s">
        <v>546</v>
      </c>
      <c r="J4" s="330" t="s">
        <v>547</v>
      </c>
      <c r="K4" s="330" t="s">
        <v>548</v>
      </c>
      <c r="L4" s="330" t="s">
        <v>549</v>
      </c>
      <c r="M4" s="331" t="s">
        <v>550</v>
      </c>
    </row>
    <row r="5" spans="2:13" ht="20.100000000000001" customHeight="1" x14ac:dyDescent="0.15">
      <c r="B5" s="548"/>
      <c r="C5" s="69" t="s">
        <v>83</v>
      </c>
      <c r="D5" s="328" t="s">
        <v>481</v>
      </c>
      <c r="E5" s="328" t="s">
        <v>482</v>
      </c>
      <c r="F5" s="328" t="s">
        <v>483</v>
      </c>
      <c r="G5" s="328" t="s">
        <v>484</v>
      </c>
      <c r="H5" s="69" t="s">
        <v>485</v>
      </c>
      <c r="I5" s="69" t="s">
        <v>486</v>
      </c>
      <c r="J5" s="69" t="s">
        <v>486</v>
      </c>
      <c r="K5" s="69" t="s">
        <v>487</v>
      </c>
      <c r="L5" s="69" t="s">
        <v>488</v>
      </c>
      <c r="M5" s="73" t="s">
        <v>489</v>
      </c>
    </row>
    <row r="6" spans="2:13" ht="129" customHeight="1" x14ac:dyDescent="0.15">
      <c r="B6" s="548"/>
      <c r="C6" s="69" t="s">
        <v>89</v>
      </c>
      <c r="D6" s="329" t="s">
        <v>492</v>
      </c>
      <c r="E6" s="329" t="s">
        <v>492</v>
      </c>
      <c r="F6" s="329" t="s">
        <v>493</v>
      </c>
      <c r="G6" s="329" t="s">
        <v>506</v>
      </c>
      <c r="H6" s="329" t="s">
        <v>506</v>
      </c>
      <c r="I6" s="329" t="s">
        <v>511</v>
      </c>
      <c r="J6" s="70" t="s">
        <v>505</v>
      </c>
      <c r="K6" s="70" t="s">
        <v>502</v>
      </c>
      <c r="L6" s="70" t="s">
        <v>518</v>
      </c>
      <c r="M6" s="71" t="s">
        <v>181</v>
      </c>
    </row>
    <row r="7" spans="2:13" ht="20.100000000000001" customHeight="1" x14ac:dyDescent="0.15">
      <c r="B7" s="548"/>
      <c r="C7" s="74" t="s">
        <v>86</v>
      </c>
      <c r="D7" s="72"/>
      <c r="E7" s="72"/>
      <c r="F7" s="72"/>
      <c r="G7" s="72"/>
      <c r="H7" s="69"/>
      <c r="I7" s="69"/>
      <c r="J7" s="69"/>
      <c r="K7" s="69"/>
      <c r="L7" s="69"/>
      <c r="M7" s="73"/>
    </row>
    <row r="8" spans="2:13" ht="20.100000000000001" customHeight="1" x14ac:dyDescent="0.15">
      <c r="B8" s="548"/>
      <c r="C8" s="72" t="s">
        <v>87</v>
      </c>
      <c r="D8" s="72">
        <v>36</v>
      </c>
      <c r="E8" s="72">
        <v>240</v>
      </c>
      <c r="F8" s="72">
        <v>28.5</v>
      </c>
      <c r="G8" s="72">
        <v>40</v>
      </c>
      <c r="H8" s="69">
        <v>55</v>
      </c>
      <c r="I8" s="69">
        <v>112</v>
      </c>
      <c r="J8" s="69">
        <v>64</v>
      </c>
      <c r="K8" s="69">
        <v>42</v>
      </c>
      <c r="L8" s="69">
        <v>1049</v>
      </c>
      <c r="M8" s="73">
        <v>35</v>
      </c>
    </row>
    <row r="9" spans="2:13" ht="20.100000000000001" customHeight="1" x14ac:dyDescent="0.15">
      <c r="B9" s="548"/>
      <c r="C9" s="69" t="s">
        <v>88</v>
      </c>
      <c r="D9" s="69"/>
      <c r="E9" s="69"/>
      <c r="F9" s="69"/>
      <c r="G9" s="69"/>
      <c r="H9" s="69"/>
      <c r="I9" s="69"/>
      <c r="J9" s="69"/>
      <c r="K9" s="69"/>
      <c r="L9" s="69"/>
      <c r="M9" s="73"/>
    </row>
    <row r="10" spans="2:13" ht="135.75" customHeight="1" x14ac:dyDescent="0.15">
      <c r="B10" s="553" t="s">
        <v>84</v>
      </c>
      <c r="C10" s="554"/>
      <c r="D10" s="70" t="s">
        <v>490</v>
      </c>
      <c r="E10" s="70" t="s">
        <v>507</v>
      </c>
      <c r="F10" s="94" t="s">
        <v>509</v>
      </c>
      <c r="G10" s="344" t="s">
        <v>510</v>
      </c>
      <c r="H10" s="72"/>
      <c r="I10" s="72"/>
      <c r="J10" s="329" t="s">
        <v>512</v>
      </c>
      <c r="K10" s="70" t="s">
        <v>509</v>
      </c>
      <c r="L10" s="72"/>
      <c r="M10" s="76"/>
    </row>
    <row r="11" spans="2:13" ht="204.75" customHeight="1" thickBot="1" x14ac:dyDescent="0.2">
      <c r="B11" s="551" t="s">
        <v>85</v>
      </c>
      <c r="C11" s="552"/>
      <c r="D11" s="332" t="s">
        <v>551</v>
      </c>
      <c r="E11" s="332" t="s">
        <v>552</v>
      </c>
      <c r="F11" s="332" t="s">
        <v>553</v>
      </c>
      <c r="G11" s="333" t="s">
        <v>554</v>
      </c>
      <c r="H11" s="333" t="s">
        <v>555</v>
      </c>
      <c r="I11" s="333" t="s">
        <v>556</v>
      </c>
      <c r="J11" s="333" t="s">
        <v>557</v>
      </c>
      <c r="K11" s="333" t="s">
        <v>558</v>
      </c>
      <c r="L11" s="334"/>
      <c r="M11" s="336" t="s">
        <v>559</v>
      </c>
    </row>
    <row r="12" spans="2:13" ht="9.75" customHeight="1" x14ac:dyDescent="0.15">
      <c r="B12" s="77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9" customWidth="1"/>
    <col min="2" max="2" width="7.625" style="9" customWidth="1"/>
    <col min="3" max="3" width="15.625" style="9" customWidth="1"/>
    <col min="4" max="7" width="20.625" style="9" customWidth="1"/>
    <col min="8" max="14" width="12.625" style="9" customWidth="1"/>
    <col min="15" max="16384" width="9" style="9"/>
  </cols>
  <sheetData>
    <row r="1" spans="2:14" ht="9.9499999999999993" customHeight="1" x14ac:dyDescent="0.15"/>
    <row r="2" spans="2:14" ht="24.95" customHeight="1" thickBot="1" x14ac:dyDescent="0.2">
      <c r="B2" s="10" t="s">
        <v>80</v>
      </c>
      <c r="C2" s="11"/>
      <c r="D2" s="11"/>
      <c r="M2" s="12"/>
      <c r="N2" s="12"/>
    </row>
    <row r="3" spans="2:14" ht="20.100000000000001" customHeight="1" x14ac:dyDescent="0.15">
      <c r="B3" s="591" t="s">
        <v>251</v>
      </c>
      <c r="C3" s="592"/>
      <c r="D3" s="592"/>
      <c r="E3" s="592"/>
      <c r="F3" s="13" t="s">
        <v>22</v>
      </c>
      <c r="G3" s="13" t="s">
        <v>474</v>
      </c>
      <c r="H3" s="572" t="s">
        <v>250</v>
      </c>
      <c r="I3" s="573"/>
      <c r="J3" s="573"/>
      <c r="K3" s="573"/>
      <c r="L3" s="573"/>
      <c r="M3" s="573"/>
      <c r="N3" s="574"/>
    </row>
    <row r="4" spans="2:14" ht="20.100000000000001" customHeight="1" thickBot="1" x14ac:dyDescent="0.2">
      <c r="B4" s="593"/>
      <c r="C4" s="594"/>
      <c r="D4" s="594"/>
      <c r="E4" s="594"/>
      <c r="F4" s="14"/>
      <c r="G4" s="280">
        <v>40</v>
      </c>
      <c r="H4" s="575"/>
      <c r="I4" s="576"/>
      <c r="J4" s="576"/>
      <c r="K4" s="576"/>
      <c r="L4" s="576"/>
      <c r="M4" s="576"/>
      <c r="N4" s="577"/>
    </row>
    <row r="5" spans="2:14" ht="20.100000000000001" customHeight="1" x14ac:dyDescent="0.15">
      <c r="B5" s="603" t="s">
        <v>45</v>
      </c>
      <c r="C5" s="604"/>
      <c r="D5" s="15" t="s">
        <v>157</v>
      </c>
      <c r="E5" s="16"/>
      <c r="F5" s="17">
        <f>SUM(G5:G5)</f>
        <v>21617640</v>
      </c>
      <c r="G5" s="230">
        <f>'７　イチゴ部門収支'!F4*G$4/10</f>
        <v>21617640</v>
      </c>
      <c r="H5" s="578"/>
      <c r="I5" s="579"/>
      <c r="J5" s="579"/>
      <c r="K5" s="579"/>
      <c r="L5" s="579"/>
      <c r="M5" s="579"/>
      <c r="N5" s="580"/>
    </row>
    <row r="6" spans="2:14" ht="20.100000000000001" customHeight="1" x14ac:dyDescent="0.15">
      <c r="B6" s="605"/>
      <c r="C6" s="606"/>
      <c r="D6" s="18" t="s">
        <v>72</v>
      </c>
      <c r="E6" s="19"/>
      <c r="F6" s="20">
        <f>SUM(G6:G6)</f>
        <v>0</v>
      </c>
      <c r="G6" s="23">
        <f>'７　イチゴ部門収支'!F5*G$4/10</f>
        <v>0</v>
      </c>
      <c r="H6" s="569"/>
      <c r="I6" s="570"/>
      <c r="J6" s="570"/>
      <c r="K6" s="570"/>
      <c r="L6" s="570"/>
      <c r="M6" s="570"/>
      <c r="N6" s="571"/>
    </row>
    <row r="7" spans="2:14" ht="20.100000000000001" customHeight="1" x14ac:dyDescent="0.15">
      <c r="B7" s="607"/>
      <c r="C7" s="608"/>
      <c r="D7" s="595" t="s">
        <v>153</v>
      </c>
      <c r="E7" s="596"/>
      <c r="F7" s="21">
        <f>SUM(G7,H7,M7)</f>
        <v>21617640</v>
      </c>
      <c r="G7" s="22">
        <f>G5+G6</f>
        <v>21617640</v>
      </c>
      <c r="H7" s="569"/>
      <c r="I7" s="570"/>
      <c r="J7" s="570"/>
      <c r="K7" s="570"/>
      <c r="L7" s="570"/>
      <c r="M7" s="570"/>
      <c r="N7" s="571"/>
    </row>
    <row r="8" spans="2:14" ht="20.100000000000001" customHeight="1" x14ac:dyDescent="0.15">
      <c r="B8" s="565" t="s">
        <v>237</v>
      </c>
      <c r="C8" s="557" t="s">
        <v>252</v>
      </c>
      <c r="D8" s="18" t="s">
        <v>46</v>
      </c>
      <c r="E8" s="19"/>
      <c r="F8" s="20">
        <f t="shared" ref="F8:F21" si="0">SUM(G8:G8)</f>
        <v>252000</v>
      </c>
      <c r="G8" s="23">
        <f>'７　イチゴ部門収支'!F6*G$4/10</f>
        <v>252000</v>
      </c>
      <c r="H8" s="569"/>
      <c r="I8" s="570"/>
      <c r="J8" s="570"/>
      <c r="K8" s="570"/>
      <c r="L8" s="570"/>
      <c r="M8" s="570"/>
      <c r="N8" s="571"/>
    </row>
    <row r="9" spans="2:14" ht="20.100000000000001" customHeight="1" x14ac:dyDescent="0.15">
      <c r="B9" s="566"/>
      <c r="C9" s="558"/>
      <c r="D9" s="18" t="s">
        <v>47</v>
      </c>
      <c r="E9" s="19"/>
      <c r="F9" s="20">
        <f t="shared" si="0"/>
        <v>147656</v>
      </c>
      <c r="G9" s="23">
        <f>'７　イチゴ部門収支'!F7*G$4/10</f>
        <v>147656</v>
      </c>
      <c r="H9" s="569"/>
      <c r="I9" s="570"/>
      <c r="J9" s="570"/>
      <c r="K9" s="570"/>
      <c r="L9" s="570"/>
      <c r="M9" s="570"/>
      <c r="N9" s="571"/>
    </row>
    <row r="10" spans="2:14" ht="20.100000000000001" customHeight="1" x14ac:dyDescent="0.15">
      <c r="B10" s="566"/>
      <c r="C10" s="558"/>
      <c r="D10" s="18" t="s">
        <v>48</v>
      </c>
      <c r="E10" s="19"/>
      <c r="F10" s="20">
        <f t="shared" si="0"/>
        <v>164853.20000000001</v>
      </c>
      <c r="G10" s="23">
        <f>'７　イチゴ部門収支'!F8*G$4/10</f>
        <v>164853.20000000001</v>
      </c>
      <c r="H10" s="569"/>
      <c r="I10" s="570"/>
      <c r="J10" s="570"/>
      <c r="K10" s="570"/>
      <c r="L10" s="570"/>
      <c r="M10" s="570"/>
      <c r="N10" s="571"/>
    </row>
    <row r="11" spans="2:14" ht="20.100000000000001" customHeight="1" x14ac:dyDescent="0.15">
      <c r="B11" s="566"/>
      <c r="C11" s="558"/>
      <c r="D11" s="18" t="s">
        <v>73</v>
      </c>
      <c r="E11" s="19"/>
      <c r="F11" s="20">
        <f t="shared" si="0"/>
        <v>326643.5968</v>
      </c>
      <c r="G11" s="23">
        <f>'７　イチゴ部門収支'!F9*G$4/10</f>
        <v>326643.5968</v>
      </c>
      <c r="H11" s="569"/>
      <c r="I11" s="570"/>
      <c r="J11" s="570"/>
      <c r="K11" s="570"/>
      <c r="L11" s="570"/>
      <c r="M11" s="570"/>
      <c r="N11" s="571"/>
    </row>
    <row r="12" spans="2:14" ht="20.100000000000001" customHeight="1" x14ac:dyDescent="0.15">
      <c r="B12" s="566"/>
      <c r="C12" s="558"/>
      <c r="D12" s="18" t="s">
        <v>49</v>
      </c>
      <c r="E12" s="19"/>
      <c r="F12" s="20">
        <f t="shared" si="0"/>
        <v>1162656</v>
      </c>
      <c r="G12" s="23">
        <f>'７　イチゴ部門収支'!F10*G$4/10</f>
        <v>1162656</v>
      </c>
      <c r="H12" s="569"/>
      <c r="I12" s="570"/>
      <c r="J12" s="570"/>
      <c r="K12" s="570"/>
      <c r="L12" s="570"/>
      <c r="M12" s="570"/>
      <c r="N12" s="571"/>
    </row>
    <row r="13" spans="2:14" ht="20.100000000000001" customHeight="1" x14ac:dyDescent="0.15">
      <c r="B13" s="566"/>
      <c r="C13" s="558"/>
      <c r="D13" s="18" t="s">
        <v>4</v>
      </c>
      <c r="E13" s="19"/>
      <c r="F13" s="20">
        <f t="shared" si="0"/>
        <v>118000</v>
      </c>
      <c r="G13" s="23">
        <f>'７　イチゴ部門収支'!F11*G$4/10</f>
        <v>118000</v>
      </c>
      <c r="H13" s="569"/>
      <c r="I13" s="570"/>
      <c r="J13" s="570"/>
      <c r="K13" s="570"/>
      <c r="L13" s="570"/>
      <c r="M13" s="570"/>
      <c r="N13" s="571"/>
    </row>
    <row r="14" spans="2:14" ht="20.100000000000001" customHeight="1" x14ac:dyDescent="0.15">
      <c r="B14" s="566"/>
      <c r="C14" s="558"/>
      <c r="D14" s="18" t="s">
        <v>5</v>
      </c>
      <c r="E14" s="19"/>
      <c r="F14" s="23">
        <f t="shared" si="0"/>
        <v>568000</v>
      </c>
      <c r="G14" s="23">
        <f>'７　イチゴ部門収支'!F12*G$4/10</f>
        <v>568000</v>
      </c>
      <c r="H14" s="569"/>
      <c r="I14" s="570"/>
      <c r="J14" s="570"/>
      <c r="K14" s="570"/>
      <c r="L14" s="570"/>
      <c r="M14" s="570"/>
      <c r="N14" s="571"/>
    </row>
    <row r="15" spans="2:14" ht="20.100000000000001" customHeight="1" x14ac:dyDescent="0.15">
      <c r="B15" s="566"/>
      <c r="C15" s="558"/>
      <c r="D15" s="597" t="s">
        <v>50</v>
      </c>
      <c r="E15" s="274" t="s">
        <v>148</v>
      </c>
      <c r="F15" s="23">
        <f t="shared" si="0"/>
        <v>455200</v>
      </c>
      <c r="G15" s="23">
        <f>'７　イチゴ部門収支'!F13*G$4/10</f>
        <v>455200</v>
      </c>
      <c r="H15" s="569"/>
      <c r="I15" s="570"/>
      <c r="J15" s="570"/>
      <c r="K15" s="570"/>
      <c r="L15" s="570"/>
      <c r="M15" s="570"/>
      <c r="N15" s="571"/>
    </row>
    <row r="16" spans="2:14" ht="20.100000000000001" customHeight="1" x14ac:dyDescent="0.15">
      <c r="B16" s="566"/>
      <c r="C16" s="558"/>
      <c r="D16" s="598"/>
      <c r="E16" s="274" t="s">
        <v>149</v>
      </c>
      <c r="F16" s="23">
        <f t="shared" si="0"/>
        <v>461000</v>
      </c>
      <c r="G16" s="23">
        <f>'７　イチゴ部門収支'!F14*G$4/10</f>
        <v>461000</v>
      </c>
      <c r="H16" s="569"/>
      <c r="I16" s="570"/>
      <c r="J16" s="570"/>
      <c r="K16" s="570"/>
      <c r="L16" s="570"/>
      <c r="M16" s="570"/>
      <c r="N16" s="571"/>
    </row>
    <row r="17" spans="2:14" ht="20.100000000000001" customHeight="1" x14ac:dyDescent="0.15">
      <c r="B17" s="566"/>
      <c r="C17" s="558"/>
      <c r="D17" s="599" t="s">
        <v>74</v>
      </c>
      <c r="E17" s="274" t="s">
        <v>148</v>
      </c>
      <c r="F17" s="23">
        <f t="shared" si="0"/>
        <v>4402857.1428571427</v>
      </c>
      <c r="G17" s="23">
        <f>'７　イチゴ部門収支'!F15*G$4/10</f>
        <v>4402857.1428571427</v>
      </c>
      <c r="H17" s="569"/>
      <c r="I17" s="570"/>
      <c r="J17" s="570"/>
      <c r="K17" s="570"/>
      <c r="L17" s="570"/>
      <c r="M17" s="570"/>
      <c r="N17" s="571"/>
    </row>
    <row r="18" spans="2:14" ht="20.100000000000001" customHeight="1" x14ac:dyDescent="0.15">
      <c r="B18" s="566"/>
      <c r="C18" s="558"/>
      <c r="D18" s="600"/>
      <c r="E18" s="274" t="s">
        <v>149</v>
      </c>
      <c r="F18" s="23">
        <f t="shared" si="0"/>
        <v>1415714.2857142859</v>
      </c>
      <c r="G18" s="23">
        <f>'７　イチゴ部門収支'!F16*G$4/10</f>
        <v>1415714.2857142859</v>
      </c>
      <c r="H18" s="569"/>
      <c r="I18" s="570"/>
      <c r="J18" s="570"/>
      <c r="K18" s="570"/>
      <c r="L18" s="570"/>
      <c r="M18" s="570"/>
      <c r="N18" s="571"/>
    </row>
    <row r="19" spans="2:14" ht="20.100000000000001" customHeight="1" x14ac:dyDescent="0.15">
      <c r="B19" s="566"/>
      <c r="C19" s="558"/>
      <c r="D19" s="598"/>
      <c r="E19" s="275" t="s">
        <v>51</v>
      </c>
      <c r="F19" s="23">
        <f t="shared" si="0"/>
        <v>0</v>
      </c>
      <c r="G19" s="23">
        <f>'７　イチゴ部門収支'!F17*G$4/10</f>
        <v>0</v>
      </c>
      <c r="H19" s="569"/>
      <c r="I19" s="570"/>
      <c r="J19" s="570"/>
      <c r="K19" s="570"/>
      <c r="L19" s="570"/>
      <c r="M19" s="570"/>
      <c r="N19" s="571"/>
    </row>
    <row r="20" spans="2:14" ht="20.100000000000001" customHeight="1" x14ac:dyDescent="0.15">
      <c r="B20" s="566"/>
      <c r="C20" s="558"/>
      <c r="D20" s="18" t="s">
        <v>52</v>
      </c>
      <c r="E20" s="19"/>
      <c r="F20" s="20">
        <f t="shared" si="0"/>
        <v>0</v>
      </c>
      <c r="G20" s="23">
        <f>'７　イチゴ部門収支'!F18*G$4/10</f>
        <v>0</v>
      </c>
      <c r="H20" s="569"/>
      <c r="I20" s="570"/>
      <c r="J20" s="570"/>
      <c r="K20" s="570"/>
      <c r="L20" s="570"/>
      <c r="M20" s="570"/>
      <c r="N20" s="571"/>
    </row>
    <row r="21" spans="2:14" ht="20.100000000000001" customHeight="1" x14ac:dyDescent="0.15">
      <c r="B21" s="566"/>
      <c r="C21" s="558"/>
      <c r="D21" s="18" t="s">
        <v>128</v>
      </c>
      <c r="E21" s="19"/>
      <c r="F21" s="20">
        <f t="shared" si="0"/>
        <v>95702.830559307346</v>
      </c>
      <c r="G21" s="23">
        <f>'７　イチゴ部門収支'!F19*G$4/10</f>
        <v>95702.830559307346</v>
      </c>
      <c r="H21" s="569"/>
      <c r="I21" s="570"/>
      <c r="J21" s="570"/>
      <c r="K21" s="570"/>
      <c r="L21" s="570"/>
      <c r="M21" s="570"/>
      <c r="N21" s="571"/>
    </row>
    <row r="22" spans="2:14" ht="20.100000000000001" customHeight="1" x14ac:dyDescent="0.15">
      <c r="B22" s="566"/>
      <c r="C22" s="559"/>
      <c r="D22" s="601" t="s">
        <v>154</v>
      </c>
      <c r="E22" s="602"/>
      <c r="F22" s="283">
        <f>SUM(F8:F21)</f>
        <v>9570283.0559307355</v>
      </c>
      <c r="G22" s="283">
        <f>SUM(G8:G21)</f>
        <v>9570283.0559307355</v>
      </c>
      <c r="H22" s="569"/>
      <c r="I22" s="570"/>
      <c r="J22" s="570"/>
      <c r="K22" s="570"/>
      <c r="L22" s="570"/>
      <c r="M22" s="570"/>
      <c r="N22" s="571"/>
    </row>
    <row r="23" spans="2:14" ht="20.100000000000001" customHeight="1" x14ac:dyDescent="0.15">
      <c r="B23" s="566"/>
      <c r="C23" s="560" t="s">
        <v>152</v>
      </c>
      <c r="D23" s="583" t="s">
        <v>53</v>
      </c>
      <c r="E23" s="26" t="s">
        <v>1</v>
      </c>
      <c r="F23" s="23">
        <f t="shared" ref="F23:F31" si="1">SUM(G23:G23)</f>
        <v>893985.18518518505</v>
      </c>
      <c r="G23" s="23">
        <f>'７　イチゴ部門収支'!F21*G$4/10</f>
        <v>893985.18518518505</v>
      </c>
      <c r="H23" s="569"/>
      <c r="I23" s="570"/>
      <c r="J23" s="570"/>
      <c r="K23" s="570"/>
      <c r="L23" s="570"/>
      <c r="M23" s="570"/>
      <c r="N23" s="571"/>
    </row>
    <row r="24" spans="2:14" ht="20.100000000000001" customHeight="1" x14ac:dyDescent="0.15">
      <c r="B24" s="566"/>
      <c r="C24" s="561"/>
      <c r="D24" s="584"/>
      <c r="E24" s="26" t="s">
        <v>2</v>
      </c>
      <c r="F24" s="23">
        <f t="shared" si="1"/>
        <v>176444.44444444444</v>
      </c>
      <c r="G24" s="23">
        <f>'７　イチゴ部門収支'!F22*G$4/10</f>
        <v>176444.44444444444</v>
      </c>
      <c r="H24" s="569"/>
      <c r="I24" s="570"/>
      <c r="J24" s="570"/>
      <c r="K24" s="570"/>
      <c r="L24" s="570"/>
      <c r="M24" s="570"/>
      <c r="N24" s="571"/>
    </row>
    <row r="25" spans="2:14" ht="20.100000000000001" customHeight="1" x14ac:dyDescent="0.15">
      <c r="B25" s="566"/>
      <c r="C25" s="561"/>
      <c r="D25" s="585"/>
      <c r="E25" s="26" t="s">
        <v>6</v>
      </c>
      <c r="F25" s="23">
        <f t="shared" si="1"/>
        <v>2161764</v>
      </c>
      <c r="G25" s="23">
        <f>'７　イチゴ部門収支'!F23*G$4/10</f>
        <v>2161764</v>
      </c>
      <c r="H25" s="569"/>
      <c r="I25" s="570"/>
      <c r="J25" s="570"/>
      <c r="K25" s="570"/>
      <c r="L25" s="570"/>
      <c r="M25" s="570"/>
      <c r="N25" s="571"/>
    </row>
    <row r="26" spans="2:14" ht="20.100000000000001" customHeight="1" x14ac:dyDescent="0.15">
      <c r="B26" s="566"/>
      <c r="C26" s="561"/>
      <c r="D26" s="26" t="s">
        <v>235</v>
      </c>
      <c r="E26" s="27"/>
      <c r="F26" s="23">
        <f t="shared" si="1"/>
        <v>21617.64</v>
      </c>
      <c r="G26" s="23">
        <f>'７　イチゴ部門収支'!F24*G$4/10</f>
        <v>21617.64</v>
      </c>
      <c r="H26" s="569"/>
      <c r="I26" s="570"/>
      <c r="J26" s="570"/>
      <c r="K26" s="570"/>
      <c r="L26" s="570"/>
      <c r="M26" s="570"/>
      <c r="N26" s="571"/>
    </row>
    <row r="27" spans="2:14" ht="20.100000000000001" customHeight="1" x14ac:dyDescent="0.15">
      <c r="B27" s="566"/>
      <c r="C27" s="561"/>
      <c r="D27" s="26" t="s">
        <v>75</v>
      </c>
      <c r="E27" s="27"/>
      <c r="F27" s="23">
        <f t="shared" si="1"/>
        <v>21617.64</v>
      </c>
      <c r="G27" s="23">
        <f>'７　イチゴ部門収支'!F25*G$4/10</f>
        <v>21617.64</v>
      </c>
      <c r="H27" s="569"/>
      <c r="I27" s="570"/>
      <c r="J27" s="570"/>
      <c r="K27" s="570"/>
      <c r="L27" s="570"/>
      <c r="M27" s="570"/>
      <c r="N27" s="571"/>
    </row>
    <row r="28" spans="2:14" ht="20.100000000000001" customHeight="1" x14ac:dyDescent="0.15">
      <c r="B28" s="566"/>
      <c r="C28" s="561"/>
      <c r="D28" s="26" t="s">
        <v>96</v>
      </c>
      <c r="E28" s="27"/>
      <c r="F28" s="23">
        <f t="shared" si="1"/>
        <v>274426</v>
      </c>
      <c r="G28" s="23">
        <f>'７　イチゴ部門収支'!F26*G$4/10</f>
        <v>274426</v>
      </c>
      <c r="H28" s="569"/>
      <c r="I28" s="570"/>
      <c r="J28" s="570"/>
      <c r="K28" s="570"/>
      <c r="L28" s="570"/>
      <c r="M28" s="570"/>
      <c r="N28" s="571"/>
    </row>
    <row r="29" spans="2:14" ht="20.100000000000001" customHeight="1" x14ac:dyDescent="0.15">
      <c r="B29" s="566"/>
      <c r="C29" s="561"/>
      <c r="D29" s="26" t="s">
        <v>76</v>
      </c>
      <c r="E29" s="27"/>
      <c r="F29" s="23">
        <f t="shared" si="1"/>
        <v>3200</v>
      </c>
      <c r="G29" s="23">
        <f>'７　イチゴ部門収支'!F27*G$4/10</f>
        <v>3200</v>
      </c>
      <c r="H29" s="569"/>
      <c r="I29" s="570"/>
      <c r="J29" s="570"/>
      <c r="K29" s="570"/>
      <c r="L29" s="570"/>
      <c r="M29" s="570"/>
      <c r="N29" s="571"/>
    </row>
    <row r="30" spans="2:14" ht="20.100000000000001" customHeight="1" x14ac:dyDescent="0.15">
      <c r="B30" s="566"/>
      <c r="C30" s="561"/>
      <c r="D30" s="26" t="s">
        <v>54</v>
      </c>
      <c r="E30" s="27"/>
      <c r="F30" s="23">
        <f t="shared" si="1"/>
        <v>557567.36</v>
      </c>
      <c r="G30" s="23">
        <f>'７　イチゴ部門収支'!F28*G$4/10</f>
        <v>557567.36</v>
      </c>
      <c r="H30" s="569"/>
      <c r="I30" s="570"/>
      <c r="J30" s="570"/>
      <c r="K30" s="570"/>
      <c r="L30" s="570"/>
      <c r="M30" s="570"/>
      <c r="N30" s="571"/>
    </row>
    <row r="31" spans="2:14" ht="20.100000000000001" customHeight="1" x14ac:dyDescent="0.15">
      <c r="B31" s="566"/>
      <c r="C31" s="561"/>
      <c r="D31" s="26" t="s">
        <v>236</v>
      </c>
      <c r="E31" s="27"/>
      <c r="F31" s="23">
        <f t="shared" si="1"/>
        <v>41106.222696296296</v>
      </c>
      <c r="G31" s="23">
        <f>'７　イチゴ部門収支'!F29*G$4/10</f>
        <v>41106.222696296296</v>
      </c>
      <c r="H31" s="569"/>
      <c r="I31" s="570"/>
      <c r="J31" s="570"/>
      <c r="K31" s="570"/>
      <c r="L31" s="570"/>
      <c r="M31" s="570"/>
      <c r="N31" s="571"/>
    </row>
    <row r="32" spans="2:14" ht="20.100000000000001" customHeight="1" x14ac:dyDescent="0.15">
      <c r="B32" s="566"/>
      <c r="C32" s="561"/>
      <c r="D32" s="586" t="s">
        <v>238</v>
      </c>
      <c r="E32" s="587"/>
      <c r="F32" s="281">
        <f>SUM(F23:F31)</f>
        <v>4151728.4923259262</v>
      </c>
      <c r="G32" s="281">
        <f>SUM(G23:G31)</f>
        <v>4151728.4923259262</v>
      </c>
      <c r="H32" s="569"/>
      <c r="I32" s="570"/>
      <c r="J32" s="570"/>
      <c r="K32" s="570"/>
      <c r="L32" s="570"/>
      <c r="M32" s="570"/>
      <c r="N32" s="571"/>
    </row>
    <row r="33" spans="2:14" ht="20.100000000000001" customHeight="1" x14ac:dyDescent="0.15">
      <c r="B33" s="566"/>
      <c r="C33" s="588" t="s">
        <v>239</v>
      </c>
      <c r="D33" s="589"/>
      <c r="E33" s="590"/>
      <c r="F33" s="23">
        <f>SUM(G33:G33)</f>
        <v>1704600</v>
      </c>
      <c r="G33" s="282">
        <f>'５　イチゴ作業時間'!AN41*'４　経営収支'!I33</f>
        <v>1704600</v>
      </c>
      <c r="H33" s="24" t="s">
        <v>241</v>
      </c>
      <c r="I33" s="287">
        <v>900</v>
      </c>
      <c r="J33" s="285" t="s">
        <v>242</v>
      </c>
      <c r="K33" s="285"/>
      <c r="L33" s="285"/>
      <c r="M33" s="285"/>
      <c r="N33" s="286"/>
    </row>
    <row r="34" spans="2:14" ht="20.100000000000001" customHeight="1" x14ac:dyDescent="0.15">
      <c r="B34" s="581" t="s">
        <v>240</v>
      </c>
      <c r="C34" s="582"/>
      <c r="D34" s="582"/>
      <c r="E34" s="582"/>
      <c r="F34" s="284">
        <f>F22+F32+F33</f>
        <v>15426611.548256662</v>
      </c>
      <c r="G34" s="284">
        <f>G22+G32+G33</f>
        <v>15426611.548256662</v>
      </c>
      <c r="H34" s="569"/>
      <c r="I34" s="570"/>
      <c r="J34" s="570"/>
      <c r="K34" s="570"/>
      <c r="L34" s="570"/>
      <c r="M34" s="570"/>
      <c r="N34" s="571"/>
    </row>
    <row r="35" spans="2:14" ht="20.100000000000001" customHeight="1" x14ac:dyDescent="0.15">
      <c r="B35" s="555" t="s">
        <v>243</v>
      </c>
      <c r="C35" s="556"/>
      <c r="D35" s="556"/>
      <c r="E35" s="556"/>
      <c r="F35" s="288">
        <f>F7-F34</f>
        <v>6191028.4517433383</v>
      </c>
      <c r="G35" s="288">
        <f>G7-G34</f>
        <v>6191028.4517433383</v>
      </c>
      <c r="H35" s="569"/>
      <c r="I35" s="570"/>
      <c r="J35" s="570"/>
      <c r="K35" s="570"/>
      <c r="L35" s="570"/>
      <c r="M35" s="570"/>
      <c r="N35" s="571"/>
    </row>
    <row r="36" spans="2:14" ht="20.100000000000001" customHeight="1" x14ac:dyDescent="0.15">
      <c r="B36" s="555" t="s">
        <v>244</v>
      </c>
      <c r="C36" s="556"/>
      <c r="D36" s="556"/>
      <c r="E36" s="556"/>
      <c r="F36" s="290">
        <f>F35/F7</f>
        <v>0.28638780420727417</v>
      </c>
      <c r="G36" s="290">
        <f>G35/G7</f>
        <v>0.28638780420727417</v>
      </c>
      <c r="H36" s="569"/>
      <c r="I36" s="570"/>
      <c r="J36" s="570"/>
      <c r="K36" s="570"/>
      <c r="L36" s="570"/>
      <c r="M36" s="570"/>
      <c r="N36" s="571"/>
    </row>
    <row r="37" spans="2:14" ht="20.100000000000001" customHeight="1" x14ac:dyDescent="0.15">
      <c r="B37" s="555" t="s">
        <v>248</v>
      </c>
      <c r="C37" s="556"/>
      <c r="D37" s="556"/>
      <c r="E37" s="556"/>
      <c r="F37" s="288">
        <f>SUM(G37:G37)</f>
        <v>6806</v>
      </c>
      <c r="G37" s="288">
        <f>I37+L37</f>
        <v>6806</v>
      </c>
      <c r="H37" s="24" t="s">
        <v>245</v>
      </c>
      <c r="I37" s="287">
        <f>'５　イチゴ作業時間'!AN39</f>
        <v>4912</v>
      </c>
      <c r="J37" s="285" t="s">
        <v>246</v>
      </c>
      <c r="K37" s="289" t="s">
        <v>247</v>
      </c>
      <c r="L37" s="287">
        <f>'５　イチゴ作業時間'!AN41</f>
        <v>1894</v>
      </c>
      <c r="M37" s="285" t="s">
        <v>246</v>
      </c>
      <c r="N37" s="286"/>
    </row>
    <row r="38" spans="2:14" ht="20.100000000000001" customHeight="1" thickBot="1" x14ac:dyDescent="0.2">
      <c r="B38" s="567" t="s">
        <v>249</v>
      </c>
      <c r="C38" s="568"/>
      <c r="D38" s="568"/>
      <c r="E38" s="568"/>
      <c r="F38" s="291">
        <f>F35/I37</f>
        <v>1260.3885284493767</v>
      </c>
      <c r="G38" s="291">
        <f>G35/I37</f>
        <v>1260.3885284493767</v>
      </c>
      <c r="H38" s="562"/>
      <c r="I38" s="563"/>
      <c r="J38" s="563"/>
      <c r="K38" s="563"/>
      <c r="L38" s="563"/>
      <c r="M38" s="563"/>
      <c r="N38" s="564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1"/>
  <sheetViews>
    <sheetView showZeros="0" zoomScale="75" zoomScaleNormal="75" zoomScaleSheetLayoutView="80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2" t="s">
        <v>321</v>
      </c>
      <c r="C2" s="2"/>
      <c r="D2" s="5"/>
      <c r="E2" s="5"/>
      <c r="F2" s="5"/>
      <c r="G2" s="5"/>
      <c r="H2" s="5"/>
      <c r="I2" s="5"/>
      <c r="J2" s="5"/>
      <c r="K2" s="5"/>
      <c r="L2" s="255" t="s">
        <v>193</v>
      </c>
      <c r="M2" s="231" t="s">
        <v>320</v>
      </c>
      <c r="N2" s="66"/>
      <c r="O2" s="255" t="s">
        <v>194</v>
      </c>
      <c r="P2" s="231" t="s">
        <v>276</v>
      </c>
      <c r="Q2" s="5"/>
      <c r="R2" s="5"/>
      <c r="S2" s="5"/>
      <c r="T2" s="5"/>
      <c r="U2" s="5"/>
      <c r="V2" s="5"/>
      <c r="W2" s="3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197</v>
      </c>
      <c r="C3" s="2"/>
      <c r="D3" s="5"/>
      <c r="E3" s="5"/>
      <c r="F3" s="5"/>
      <c r="G3" s="5"/>
      <c r="H3" s="5"/>
      <c r="I3" s="5"/>
      <c r="J3" s="5"/>
      <c r="K3" s="5"/>
      <c r="L3" s="5"/>
      <c r="M3" s="31"/>
      <c r="N3" s="5"/>
      <c r="O3" s="5"/>
      <c r="P3" s="31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09" t="s">
        <v>97</v>
      </c>
      <c r="C4" s="610"/>
      <c r="D4" s="613">
        <v>1</v>
      </c>
      <c r="E4" s="614"/>
      <c r="F4" s="615"/>
      <c r="G4" s="613">
        <v>2</v>
      </c>
      <c r="H4" s="614"/>
      <c r="I4" s="615"/>
      <c r="J4" s="613">
        <v>3</v>
      </c>
      <c r="K4" s="614"/>
      <c r="L4" s="615"/>
      <c r="M4" s="613">
        <v>4</v>
      </c>
      <c r="N4" s="614"/>
      <c r="O4" s="615"/>
      <c r="P4" s="613">
        <v>5</v>
      </c>
      <c r="Q4" s="614"/>
      <c r="R4" s="615"/>
      <c r="S4" s="613">
        <v>6</v>
      </c>
      <c r="T4" s="614"/>
      <c r="U4" s="615"/>
      <c r="V4" s="613">
        <v>7</v>
      </c>
      <c r="W4" s="614"/>
      <c r="X4" s="615"/>
      <c r="Y4" s="613">
        <v>8</v>
      </c>
      <c r="Z4" s="614"/>
      <c r="AA4" s="615"/>
      <c r="AB4" s="613">
        <v>9</v>
      </c>
      <c r="AC4" s="614"/>
      <c r="AD4" s="615"/>
      <c r="AE4" s="613">
        <v>10</v>
      </c>
      <c r="AF4" s="614"/>
      <c r="AG4" s="615"/>
      <c r="AH4" s="613">
        <v>11</v>
      </c>
      <c r="AI4" s="614"/>
      <c r="AJ4" s="615"/>
      <c r="AK4" s="613">
        <v>12</v>
      </c>
      <c r="AL4" s="614"/>
      <c r="AM4" s="615"/>
      <c r="AN4" s="616" t="s">
        <v>30</v>
      </c>
    </row>
    <row r="5" spans="2:63" ht="20.100000000000001" customHeight="1" x14ac:dyDescent="0.15">
      <c r="B5" s="611"/>
      <c r="C5" s="612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617"/>
    </row>
    <row r="6" spans="2:63" ht="14.25" customHeight="1" x14ac:dyDescent="0.15">
      <c r="B6" s="618" t="s">
        <v>98</v>
      </c>
      <c r="C6" s="619"/>
      <c r="D6" s="312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 t="s">
        <v>322</v>
      </c>
      <c r="AG6" s="313"/>
      <c r="AH6" s="313"/>
      <c r="AI6" s="313"/>
      <c r="AJ6" s="313"/>
      <c r="AK6" s="313"/>
      <c r="AL6" s="313"/>
      <c r="AM6" s="320"/>
      <c r="AN6" s="317"/>
    </row>
    <row r="7" spans="2:63" ht="14.25" customHeight="1" x14ac:dyDescent="0.15">
      <c r="B7" s="620"/>
      <c r="C7" s="621"/>
      <c r="D7" s="314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 t="s">
        <v>323</v>
      </c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21"/>
      <c r="AN7" s="54"/>
    </row>
    <row r="8" spans="2:63" ht="14.25" customHeight="1" x14ac:dyDescent="0.15">
      <c r="B8" s="620"/>
      <c r="C8" s="621"/>
      <c r="D8" s="314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 t="s">
        <v>324</v>
      </c>
      <c r="AD8" s="316"/>
      <c r="AE8" s="315"/>
      <c r="AF8" s="315"/>
      <c r="AG8" s="315"/>
      <c r="AH8" s="315"/>
      <c r="AI8" s="315"/>
      <c r="AJ8" s="315"/>
      <c r="AK8" s="315"/>
      <c r="AL8" s="315"/>
      <c r="AM8" s="348"/>
      <c r="AN8" s="54"/>
    </row>
    <row r="9" spans="2:63" ht="14.25" customHeight="1" x14ac:dyDescent="0.15">
      <c r="B9" s="620"/>
      <c r="C9" s="621"/>
      <c r="D9" s="345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7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21"/>
      <c r="AN9" s="54"/>
    </row>
    <row r="10" spans="2:63" ht="14.25" customHeight="1" x14ac:dyDescent="0.15">
      <c r="B10" s="611"/>
      <c r="C10" s="612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322"/>
      <c r="AN10" s="318"/>
    </row>
    <row r="11" spans="2:63" ht="20.100000000000001" customHeight="1" x14ac:dyDescent="0.15">
      <c r="B11" s="622" t="s">
        <v>309</v>
      </c>
      <c r="C11" s="623"/>
      <c r="D11" s="57"/>
      <c r="E11" s="58"/>
      <c r="F11" s="58"/>
      <c r="G11" s="57"/>
      <c r="H11" s="58"/>
      <c r="I11" s="58"/>
      <c r="J11" s="57"/>
      <c r="K11" s="58">
        <v>1</v>
      </c>
      <c r="L11" s="58">
        <v>1</v>
      </c>
      <c r="M11" s="57">
        <v>1</v>
      </c>
      <c r="N11" s="58">
        <v>1</v>
      </c>
      <c r="O11" s="58">
        <v>1</v>
      </c>
      <c r="P11" s="57">
        <v>1</v>
      </c>
      <c r="Q11" s="58">
        <v>1</v>
      </c>
      <c r="R11" s="58">
        <v>1</v>
      </c>
      <c r="S11" s="57"/>
      <c r="T11" s="58"/>
      <c r="U11" s="58"/>
      <c r="V11" s="57"/>
      <c r="W11" s="58"/>
      <c r="X11" s="58"/>
      <c r="Y11" s="57"/>
      <c r="Z11" s="58"/>
      <c r="AA11" s="58"/>
      <c r="AB11" s="57"/>
      <c r="AC11" s="58"/>
      <c r="AD11" s="58"/>
      <c r="AE11" s="57"/>
      <c r="AF11" s="58">
        <v>8</v>
      </c>
      <c r="AG11" s="58">
        <v>20</v>
      </c>
      <c r="AH11" s="57"/>
      <c r="AI11" s="58"/>
      <c r="AJ11" s="58"/>
      <c r="AK11" s="57"/>
      <c r="AL11" s="58"/>
      <c r="AM11" s="323"/>
      <c r="AN11" s="319">
        <f>SUM(D11:AM11)</f>
        <v>36</v>
      </c>
    </row>
    <row r="12" spans="2:63" ht="20.100000000000001" customHeight="1" x14ac:dyDescent="0.15">
      <c r="B12" s="622" t="s">
        <v>310</v>
      </c>
      <c r="C12" s="623"/>
      <c r="D12" s="57"/>
      <c r="E12" s="58"/>
      <c r="F12" s="58"/>
      <c r="G12" s="57"/>
      <c r="H12" s="58"/>
      <c r="I12" s="58"/>
      <c r="J12" s="57"/>
      <c r="K12" s="58"/>
      <c r="L12" s="58"/>
      <c r="M12" s="57"/>
      <c r="N12" s="58"/>
      <c r="O12" s="58"/>
      <c r="P12" s="57"/>
      <c r="Q12" s="58"/>
      <c r="R12" s="58"/>
      <c r="S12" s="57"/>
      <c r="T12" s="58"/>
      <c r="U12" s="58">
        <v>50</v>
      </c>
      <c r="V12" s="57">
        <v>60</v>
      </c>
      <c r="W12" s="58">
        <v>20</v>
      </c>
      <c r="X12" s="58">
        <v>20</v>
      </c>
      <c r="Y12" s="57">
        <v>20</v>
      </c>
      <c r="Z12" s="58">
        <v>20</v>
      </c>
      <c r="AA12" s="58">
        <v>20</v>
      </c>
      <c r="AB12" s="57">
        <v>20</v>
      </c>
      <c r="AC12" s="58">
        <v>5</v>
      </c>
      <c r="AD12" s="58">
        <v>5</v>
      </c>
      <c r="AE12" s="57"/>
      <c r="AF12" s="58"/>
      <c r="AG12" s="58"/>
      <c r="AH12" s="57"/>
      <c r="AI12" s="58"/>
      <c r="AJ12" s="58"/>
      <c r="AK12" s="57"/>
      <c r="AL12" s="58"/>
      <c r="AM12" s="58"/>
      <c r="AN12" s="59">
        <f t="shared" ref="AN12:AN24" si="0">SUM(D12:AM12)</f>
        <v>240</v>
      </c>
    </row>
    <row r="13" spans="2:63" ht="20.100000000000001" customHeight="1" x14ac:dyDescent="0.15">
      <c r="B13" s="622" t="s">
        <v>311</v>
      </c>
      <c r="C13" s="623"/>
      <c r="D13" s="57"/>
      <c r="E13" s="58"/>
      <c r="F13" s="58"/>
      <c r="G13" s="57"/>
      <c r="H13" s="58"/>
      <c r="I13" s="58"/>
      <c r="J13" s="57"/>
      <c r="K13" s="58"/>
      <c r="L13" s="58">
        <v>1.5</v>
      </c>
      <c r="M13" s="57">
        <v>1.5</v>
      </c>
      <c r="N13" s="58">
        <v>1.5</v>
      </c>
      <c r="O13" s="58">
        <v>1.5</v>
      </c>
      <c r="P13" s="57">
        <v>1.5</v>
      </c>
      <c r="Q13" s="58">
        <v>1.5</v>
      </c>
      <c r="R13" s="58">
        <v>1.5</v>
      </c>
      <c r="S13" s="57">
        <v>1.5</v>
      </c>
      <c r="T13" s="58">
        <v>1.5</v>
      </c>
      <c r="U13" s="58">
        <v>1.5</v>
      </c>
      <c r="V13" s="57">
        <v>1.5</v>
      </c>
      <c r="W13" s="58">
        <v>1.5</v>
      </c>
      <c r="X13" s="58">
        <v>1.5</v>
      </c>
      <c r="Y13" s="57">
        <v>1.5</v>
      </c>
      <c r="Z13" s="58">
        <v>1.5</v>
      </c>
      <c r="AA13" s="58">
        <v>1.5</v>
      </c>
      <c r="AB13" s="57">
        <v>1.5</v>
      </c>
      <c r="AC13" s="58">
        <v>1.5</v>
      </c>
      <c r="AD13" s="58">
        <v>1.5</v>
      </c>
      <c r="AE13" s="57"/>
      <c r="AF13" s="58"/>
      <c r="AG13" s="58"/>
      <c r="AH13" s="57"/>
      <c r="AI13" s="58"/>
      <c r="AJ13" s="58"/>
      <c r="AK13" s="57"/>
      <c r="AL13" s="58"/>
      <c r="AM13" s="58"/>
      <c r="AN13" s="59">
        <f t="shared" si="0"/>
        <v>28.5</v>
      </c>
    </row>
    <row r="14" spans="2:63" ht="20.100000000000001" customHeight="1" x14ac:dyDescent="0.15">
      <c r="B14" s="622" t="s">
        <v>312</v>
      </c>
      <c r="C14" s="623"/>
      <c r="D14" s="57"/>
      <c r="E14" s="58"/>
      <c r="F14" s="58"/>
      <c r="G14" s="57"/>
      <c r="H14" s="58"/>
      <c r="I14" s="58"/>
      <c r="J14" s="57"/>
      <c r="K14" s="58"/>
      <c r="L14" s="58"/>
      <c r="M14" s="57"/>
      <c r="N14" s="58"/>
      <c r="O14" s="58"/>
      <c r="P14" s="57"/>
      <c r="Q14" s="58"/>
      <c r="R14" s="58"/>
      <c r="S14" s="57"/>
      <c r="T14" s="58"/>
      <c r="U14" s="58"/>
      <c r="V14" s="57"/>
      <c r="W14" s="58"/>
      <c r="X14" s="58"/>
      <c r="Y14" s="57"/>
      <c r="Z14" s="58"/>
      <c r="AA14" s="58">
        <v>10</v>
      </c>
      <c r="AB14" s="57"/>
      <c r="AC14" s="58">
        <v>30</v>
      </c>
      <c r="AD14" s="58"/>
      <c r="AE14" s="57"/>
      <c r="AF14" s="58"/>
      <c r="AG14" s="58"/>
      <c r="AH14" s="57"/>
      <c r="AI14" s="58"/>
      <c r="AJ14" s="58"/>
      <c r="AK14" s="57"/>
      <c r="AL14" s="58"/>
      <c r="AM14" s="58"/>
      <c r="AN14" s="59">
        <f t="shared" si="0"/>
        <v>40</v>
      </c>
    </row>
    <row r="15" spans="2:63" ht="20.100000000000001" customHeight="1" x14ac:dyDescent="0.15">
      <c r="B15" s="622" t="s">
        <v>313</v>
      </c>
      <c r="C15" s="623"/>
      <c r="D15" s="57"/>
      <c r="E15" s="58"/>
      <c r="F15" s="58"/>
      <c r="G15" s="57"/>
      <c r="H15" s="58"/>
      <c r="I15" s="58"/>
      <c r="J15" s="57"/>
      <c r="K15" s="58"/>
      <c r="L15" s="58"/>
      <c r="M15" s="57"/>
      <c r="N15" s="58"/>
      <c r="O15" s="58"/>
      <c r="P15" s="57"/>
      <c r="Q15" s="58"/>
      <c r="R15" s="58"/>
      <c r="S15" s="57"/>
      <c r="T15" s="58"/>
      <c r="U15" s="58"/>
      <c r="V15" s="57"/>
      <c r="W15" s="58"/>
      <c r="X15" s="58"/>
      <c r="Y15" s="57"/>
      <c r="Z15" s="58"/>
      <c r="AA15" s="58"/>
      <c r="AB15" s="57">
        <v>25</v>
      </c>
      <c r="AC15" s="58">
        <v>30</v>
      </c>
      <c r="AD15" s="58"/>
      <c r="AE15" s="57"/>
      <c r="AF15" s="58"/>
      <c r="AG15" s="58"/>
      <c r="AH15" s="57"/>
      <c r="AI15" s="58"/>
      <c r="AJ15" s="58"/>
      <c r="AK15" s="57"/>
      <c r="AL15" s="58"/>
      <c r="AM15" s="58"/>
      <c r="AN15" s="59">
        <f t="shared" si="0"/>
        <v>55</v>
      </c>
    </row>
    <row r="16" spans="2:63" ht="20.100000000000001" customHeight="1" x14ac:dyDescent="0.15">
      <c r="B16" s="622" t="s">
        <v>314</v>
      </c>
      <c r="C16" s="623"/>
      <c r="D16" s="57">
        <v>3</v>
      </c>
      <c r="E16" s="58">
        <v>4</v>
      </c>
      <c r="F16" s="58">
        <v>4</v>
      </c>
      <c r="G16" s="57">
        <v>4</v>
      </c>
      <c r="H16" s="58">
        <v>4</v>
      </c>
      <c r="I16" s="58">
        <v>3</v>
      </c>
      <c r="J16" s="57">
        <v>3</v>
      </c>
      <c r="K16" s="58">
        <v>2</v>
      </c>
      <c r="L16" s="58">
        <v>2</v>
      </c>
      <c r="M16" s="57">
        <v>1</v>
      </c>
      <c r="N16" s="58">
        <v>1</v>
      </c>
      <c r="O16" s="58"/>
      <c r="P16" s="57"/>
      <c r="Q16" s="58"/>
      <c r="R16" s="58"/>
      <c r="S16" s="57"/>
      <c r="T16" s="58"/>
      <c r="U16" s="58"/>
      <c r="V16" s="57"/>
      <c r="W16" s="58"/>
      <c r="X16" s="58"/>
      <c r="Y16" s="57"/>
      <c r="Z16" s="58"/>
      <c r="AA16" s="58"/>
      <c r="AB16" s="57">
        <v>2</v>
      </c>
      <c r="AC16" s="58">
        <v>7</v>
      </c>
      <c r="AD16" s="58">
        <v>7</v>
      </c>
      <c r="AE16" s="57">
        <v>7</v>
      </c>
      <c r="AF16" s="58">
        <v>26</v>
      </c>
      <c r="AG16" s="58">
        <v>9</v>
      </c>
      <c r="AH16" s="57">
        <v>5</v>
      </c>
      <c r="AI16" s="58">
        <v>4</v>
      </c>
      <c r="AJ16" s="58">
        <v>3</v>
      </c>
      <c r="AK16" s="57">
        <v>3</v>
      </c>
      <c r="AL16" s="58">
        <v>4</v>
      </c>
      <c r="AM16" s="58">
        <v>4</v>
      </c>
      <c r="AN16" s="59">
        <f t="shared" si="0"/>
        <v>112</v>
      </c>
    </row>
    <row r="17" spans="2:40" ht="20.100000000000001" customHeight="1" x14ac:dyDescent="0.15">
      <c r="B17" s="622" t="s">
        <v>315</v>
      </c>
      <c r="C17" s="623"/>
      <c r="D17" s="57">
        <v>2</v>
      </c>
      <c r="E17" s="58">
        <v>2</v>
      </c>
      <c r="F17" s="58">
        <v>2</v>
      </c>
      <c r="G17" s="57">
        <v>2</v>
      </c>
      <c r="H17" s="58">
        <v>2</v>
      </c>
      <c r="I17" s="58">
        <v>2</v>
      </c>
      <c r="J17" s="57">
        <v>2</v>
      </c>
      <c r="K17" s="58">
        <v>2</v>
      </c>
      <c r="L17" s="58">
        <v>2</v>
      </c>
      <c r="M17" s="57">
        <v>2</v>
      </c>
      <c r="N17" s="58">
        <v>1</v>
      </c>
      <c r="O17" s="58">
        <v>1</v>
      </c>
      <c r="P17" s="57">
        <v>1</v>
      </c>
      <c r="Q17" s="58">
        <v>1</v>
      </c>
      <c r="R17" s="58">
        <v>1</v>
      </c>
      <c r="S17" s="57">
        <v>1</v>
      </c>
      <c r="T17" s="58"/>
      <c r="U17" s="58"/>
      <c r="V17" s="57"/>
      <c r="W17" s="58"/>
      <c r="X17" s="58"/>
      <c r="Y17" s="57"/>
      <c r="Z17" s="58"/>
      <c r="AA17" s="58"/>
      <c r="AB17" s="57">
        <v>14</v>
      </c>
      <c r="AC17" s="58">
        <v>6</v>
      </c>
      <c r="AD17" s="58">
        <v>6</v>
      </c>
      <c r="AE17" s="57">
        <v>1</v>
      </c>
      <c r="AF17" s="58">
        <v>1</v>
      </c>
      <c r="AG17" s="58">
        <v>2</v>
      </c>
      <c r="AH17" s="57">
        <v>2</v>
      </c>
      <c r="AI17" s="58">
        <v>2</v>
      </c>
      <c r="AJ17" s="58">
        <v>1</v>
      </c>
      <c r="AK17" s="57">
        <v>1</v>
      </c>
      <c r="AL17" s="58">
        <v>1</v>
      </c>
      <c r="AM17" s="58">
        <v>1</v>
      </c>
      <c r="AN17" s="59">
        <f t="shared" si="0"/>
        <v>64</v>
      </c>
    </row>
    <row r="18" spans="2:40" ht="20.100000000000001" customHeight="1" x14ac:dyDescent="0.15">
      <c r="B18" s="622" t="s">
        <v>316</v>
      </c>
      <c r="C18" s="623"/>
      <c r="D18" s="57"/>
      <c r="E18" s="58"/>
      <c r="F18" s="58"/>
      <c r="G18" s="57">
        <v>3</v>
      </c>
      <c r="H18" s="58"/>
      <c r="I18" s="58"/>
      <c r="J18" s="57">
        <v>3</v>
      </c>
      <c r="K18" s="58"/>
      <c r="L18" s="58">
        <v>3</v>
      </c>
      <c r="M18" s="57">
        <v>3</v>
      </c>
      <c r="N18" s="58"/>
      <c r="O18" s="58">
        <v>3</v>
      </c>
      <c r="P18" s="57">
        <v>3</v>
      </c>
      <c r="Q18" s="58"/>
      <c r="R18" s="58">
        <v>3</v>
      </c>
      <c r="S18" s="57">
        <v>3</v>
      </c>
      <c r="T18" s="58"/>
      <c r="U18" s="58"/>
      <c r="V18" s="57"/>
      <c r="W18" s="58"/>
      <c r="X18" s="58"/>
      <c r="Y18" s="57"/>
      <c r="Z18" s="58"/>
      <c r="AA18" s="58"/>
      <c r="AB18" s="57"/>
      <c r="AC18" s="58"/>
      <c r="AD18" s="58"/>
      <c r="AE18" s="57">
        <v>3</v>
      </c>
      <c r="AF18" s="58">
        <v>3</v>
      </c>
      <c r="AG18" s="58">
        <v>3</v>
      </c>
      <c r="AH18" s="57">
        <v>3</v>
      </c>
      <c r="AI18" s="58">
        <v>3</v>
      </c>
      <c r="AJ18" s="58"/>
      <c r="AK18" s="57">
        <v>3</v>
      </c>
      <c r="AL18" s="58" t="s">
        <v>319</v>
      </c>
      <c r="AM18" s="58" t="s">
        <v>319</v>
      </c>
      <c r="AN18" s="59">
        <f t="shared" si="0"/>
        <v>42</v>
      </c>
    </row>
    <row r="19" spans="2:40" ht="20.100000000000001" customHeight="1" x14ac:dyDescent="0.15">
      <c r="B19" s="622" t="s">
        <v>317</v>
      </c>
      <c r="C19" s="623"/>
      <c r="D19" s="57">
        <v>38</v>
      </c>
      <c r="E19" s="58">
        <v>38</v>
      </c>
      <c r="F19" s="58">
        <v>38</v>
      </c>
      <c r="G19" s="57">
        <v>55</v>
      </c>
      <c r="H19" s="58">
        <v>55</v>
      </c>
      <c r="I19" s="58">
        <v>55</v>
      </c>
      <c r="J19" s="57">
        <v>114</v>
      </c>
      <c r="K19" s="58">
        <v>114</v>
      </c>
      <c r="L19" s="58">
        <v>114</v>
      </c>
      <c r="M19" s="57">
        <v>67</v>
      </c>
      <c r="N19" s="58">
        <v>67</v>
      </c>
      <c r="O19" s="58">
        <v>67</v>
      </c>
      <c r="P19" s="57">
        <v>43</v>
      </c>
      <c r="Q19" s="58">
        <v>43</v>
      </c>
      <c r="R19" s="58">
        <v>44</v>
      </c>
      <c r="S19" s="57">
        <v>44</v>
      </c>
      <c r="T19" s="58"/>
      <c r="U19" s="58"/>
      <c r="V19" s="57"/>
      <c r="W19" s="58"/>
      <c r="X19" s="58"/>
      <c r="Y19" s="57"/>
      <c r="Z19" s="58"/>
      <c r="AA19" s="58"/>
      <c r="AB19" s="57"/>
      <c r="AC19" s="58"/>
      <c r="AD19" s="58"/>
      <c r="AE19" s="57"/>
      <c r="AF19" s="58"/>
      <c r="AG19" s="58"/>
      <c r="AH19" s="57"/>
      <c r="AI19" s="58"/>
      <c r="AJ19" s="58"/>
      <c r="AK19" s="57"/>
      <c r="AL19" s="58"/>
      <c r="AM19" s="58">
        <v>53</v>
      </c>
      <c r="AN19" s="59">
        <f t="shared" si="0"/>
        <v>1049</v>
      </c>
    </row>
    <row r="20" spans="2:40" ht="20.100000000000001" customHeight="1" x14ac:dyDescent="0.15">
      <c r="B20" s="622" t="s">
        <v>318</v>
      </c>
      <c r="C20" s="623"/>
      <c r="D20" s="57"/>
      <c r="E20" s="58"/>
      <c r="F20" s="58"/>
      <c r="G20" s="57"/>
      <c r="H20" s="58"/>
      <c r="I20" s="58"/>
      <c r="J20" s="57"/>
      <c r="K20" s="58"/>
      <c r="L20" s="58"/>
      <c r="M20" s="57"/>
      <c r="N20" s="58"/>
      <c r="O20" s="58"/>
      <c r="P20" s="57"/>
      <c r="Q20" s="58"/>
      <c r="R20" s="58"/>
      <c r="S20" s="57"/>
      <c r="T20" s="58">
        <v>10</v>
      </c>
      <c r="U20" s="58">
        <v>15</v>
      </c>
      <c r="V20" s="57">
        <v>10</v>
      </c>
      <c r="W20" s="58"/>
      <c r="X20" s="58"/>
      <c r="Y20" s="57"/>
      <c r="Z20" s="58"/>
      <c r="AA20" s="58"/>
      <c r="AB20" s="57"/>
      <c r="AC20" s="58"/>
      <c r="AD20" s="58"/>
      <c r="AE20" s="57"/>
      <c r="AF20" s="58"/>
      <c r="AG20" s="58"/>
      <c r="AH20" s="57"/>
      <c r="AI20" s="58"/>
      <c r="AJ20" s="58"/>
      <c r="AK20" s="57"/>
      <c r="AL20" s="58"/>
      <c r="AM20" s="58"/>
      <c r="AN20" s="59">
        <f t="shared" si="0"/>
        <v>35</v>
      </c>
    </row>
    <row r="21" spans="2:40" ht="20.100000000000001" customHeight="1" x14ac:dyDescent="0.15">
      <c r="B21" s="624"/>
      <c r="C21" s="625"/>
      <c r="D21" s="57"/>
      <c r="E21" s="58"/>
      <c r="F21" s="58"/>
      <c r="G21" s="57"/>
      <c r="H21" s="58"/>
      <c r="I21" s="58"/>
      <c r="J21" s="57"/>
      <c r="K21" s="58"/>
      <c r="L21" s="58"/>
      <c r="M21" s="57"/>
      <c r="N21" s="58"/>
      <c r="O21" s="58"/>
      <c r="P21" s="57"/>
      <c r="Q21" s="58"/>
      <c r="R21" s="58"/>
      <c r="S21" s="57"/>
      <c r="T21" s="58"/>
      <c r="U21" s="58"/>
      <c r="V21" s="57"/>
      <c r="W21" s="58"/>
      <c r="X21" s="58"/>
      <c r="Y21" s="57"/>
      <c r="Z21" s="58"/>
      <c r="AA21" s="58"/>
      <c r="AB21" s="57"/>
      <c r="AC21" s="58"/>
      <c r="AD21" s="58"/>
      <c r="AE21" s="57"/>
      <c r="AF21" s="58"/>
      <c r="AG21" s="58"/>
      <c r="AH21" s="57"/>
      <c r="AI21" s="58"/>
      <c r="AJ21" s="58"/>
      <c r="AK21" s="57"/>
      <c r="AL21" s="58"/>
      <c r="AM21" s="58"/>
      <c r="AN21" s="59">
        <f t="shared" si="0"/>
        <v>0</v>
      </c>
    </row>
    <row r="22" spans="2:40" ht="20.100000000000001" customHeight="1" x14ac:dyDescent="0.15">
      <c r="B22" s="624"/>
      <c r="C22" s="625"/>
      <c r="D22" s="57"/>
      <c r="E22" s="58"/>
      <c r="F22" s="58"/>
      <c r="G22" s="57"/>
      <c r="H22" s="58"/>
      <c r="I22" s="58"/>
      <c r="J22" s="57"/>
      <c r="K22" s="58"/>
      <c r="L22" s="58"/>
      <c r="M22" s="57"/>
      <c r="N22" s="58"/>
      <c r="O22" s="58"/>
      <c r="P22" s="57"/>
      <c r="Q22" s="58"/>
      <c r="R22" s="58"/>
      <c r="S22" s="57"/>
      <c r="T22" s="58"/>
      <c r="U22" s="58"/>
      <c r="V22" s="57"/>
      <c r="W22" s="58"/>
      <c r="X22" s="58"/>
      <c r="Y22" s="57"/>
      <c r="Z22" s="58"/>
      <c r="AA22" s="58"/>
      <c r="AB22" s="57"/>
      <c r="AC22" s="58"/>
      <c r="AD22" s="58"/>
      <c r="AE22" s="57"/>
      <c r="AF22" s="58"/>
      <c r="AG22" s="58"/>
      <c r="AH22" s="57"/>
      <c r="AI22" s="58"/>
      <c r="AJ22" s="58"/>
      <c r="AK22" s="57"/>
      <c r="AL22" s="58"/>
      <c r="AM22" s="58"/>
      <c r="AN22" s="59">
        <f t="shared" si="0"/>
        <v>0</v>
      </c>
    </row>
    <row r="23" spans="2:40" ht="20.100000000000001" customHeight="1" x14ac:dyDescent="0.15">
      <c r="B23" s="624"/>
      <c r="C23" s="625"/>
      <c r="D23" s="57"/>
      <c r="E23" s="58"/>
      <c r="F23" s="58"/>
      <c r="G23" s="57"/>
      <c r="H23" s="58"/>
      <c r="I23" s="58"/>
      <c r="J23" s="57"/>
      <c r="K23" s="58"/>
      <c r="L23" s="58"/>
      <c r="M23" s="57"/>
      <c r="N23" s="58"/>
      <c r="O23" s="58"/>
      <c r="P23" s="57"/>
      <c r="Q23" s="58"/>
      <c r="R23" s="58"/>
      <c r="S23" s="57"/>
      <c r="T23" s="58"/>
      <c r="U23" s="58"/>
      <c r="V23" s="57"/>
      <c r="W23" s="58"/>
      <c r="X23" s="58"/>
      <c r="Y23" s="57"/>
      <c r="Z23" s="58"/>
      <c r="AA23" s="58"/>
      <c r="AB23" s="57"/>
      <c r="AC23" s="58"/>
      <c r="AD23" s="58"/>
      <c r="AE23" s="57"/>
      <c r="AF23" s="58"/>
      <c r="AG23" s="58"/>
      <c r="AH23" s="57"/>
      <c r="AI23" s="58"/>
      <c r="AJ23" s="58"/>
      <c r="AK23" s="57"/>
      <c r="AL23" s="58"/>
      <c r="AM23" s="58"/>
      <c r="AN23" s="59">
        <f t="shared" si="0"/>
        <v>0</v>
      </c>
    </row>
    <row r="24" spans="2:40" ht="20.100000000000001" customHeight="1" x14ac:dyDescent="0.15">
      <c r="B24" s="628" t="s">
        <v>99</v>
      </c>
      <c r="C24" s="629"/>
      <c r="D24" s="57">
        <f t="shared" ref="D24:AM24" si="1">SUM(D11:D23)</f>
        <v>43</v>
      </c>
      <c r="E24" s="60">
        <f t="shared" si="1"/>
        <v>44</v>
      </c>
      <c r="F24" s="61">
        <f t="shared" si="1"/>
        <v>44</v>
      </c>
      <c r="G24" s="57">
        <f t="shared" si="1"/>
        <v>64</v>
      </c>
      <c r="H24" s="60">
        <f t="shared" si="1"/>
        <v>61</v>
      </c>
      <c r="I24" s="61">
        <f t="shared" si="1"/>
        <v>60</v>
      </c>
      <c r="J24" s="57">
        <f t="shared" si="1"/>
        <v>122</v>
      </c>
      <c r="K24" s="60">
        <f t="shared" si="1"/>
        <v>119</v>
      </c>
      <c r="L24" s="61">
        <f t="shared" si="1"/>
        <v>123.5</v>
      </c>
      <c r="M24" s="57">
        <f t="shared" si="1"/>
        <v>75.5</v>
      </c>
      <c r="N24" s="60">
        <f t="shared" si="1"/>
        <v>71.5</v>
      </c>
      <c r="O24" s="61">
        <f t="shared" si="1"/>
        <v>73.5</v>
      </c>
      <c r="P24" s="57">
        <f t="shared" si="1"/>
        <v>49.5</v>
      </c>
      <c r="Q24" s="60">
        <f t="shared" si="1"/>
        <v>46.5</v>
      </c>
      <c r="R24" s="61">
        <f t="shared" si="1"/>
        <v>50.5</v>
      </c>
      <c r="S24" s="57">
        <f t="shared" si="1"/>
        <v>49.5</v>
      </c>
      <c r="T24" s="60">
        <f t="shared" si="1"/>
        <v>11.5</v>
      </c>
      <c r="U24" s="61">
        <f t="shared" si="1"/>
        <v>66.5</v>
      </c>
      <c r="V24" s="57">
        <f t="shared" si="1"/>
        <v>71.5</v>
      </c>
      <c r="W24" s="60">
        <f t="shared" si="1"/>
        <v>21.5</v>
      </c>
      <c r="X24" s="61">
        <f t="shared" si="1"/>
        <v>21.5</v>
      </c>
      <c r="Y24" s="57">
        <f t="shared" si="1"/>
        <v>21.5</v>
      </c>
      <c r="Z24" s="60">
        <f t="shared" si="1"/>
        <v>21.5</v>
      </c>
      <c r="AA24" s="61">
        <f t="shared" si="1"/>
        <v>31.5</v>
      </c>
      <c r="AB24" s="57">
        <f t="shared" si="1"/>
        <v>62.5</v>
      </c>
      <c r="AC24" s="60">
        <f t="shared" si="1"/>
        <v>79.5</v>
      </c>
      <c r="AD24" s="61">
        <f t="shared" si="1"/>
        <v>19.5</v>
      </c>
      <c r="AE24" s="57">
        <f t="shared" si="1"/>
        <v>11</v>
      </c>
      <c r="AF24" s="60">
        <f t="shared" si="1"/>
        <v>38</v>
      </c>
      <c r="AG24" s="61">
        <f t="shared" si="1"/>
        <v>34</v>
      </c>
      <c r="AH24" s="57">
        <f t="shared" si="1"/>
        <v>10</v>
      </c>
      <c r="AI24" s="60">
        <f t="shared" si="1"/>
        <v>9</v>
      </c>
      <c r="AJ24" s="61">
        <f t="shared" si="1"/>
        <v>4</v>
      </c>
      <c r="AK24" s="57">
        <f t="shared" si="1"/>
        <v>7</v>
      </c>
      <c r="AL24" s="60">
        <f t="shared" si="1"/>
        <v>5</v>
      </c>
      <c r="AM24" s="61">
        <f t="shared" si="1"/>
        <v>58</v>
      </c>
      <c r="AN24" s="59">
        <f t="shared" si="0"/>
        <v>1701.5</v>
      </c>
    </row>
    <row r="25" spans="2:40" ht="20.100000000000001" customHeight="1" thickBot="1" x14ac:dyDescent="0.2">
      <c r="B25" s="626" t="s">
        <v>100</v>
      </c>
      <c r="C25" s="627"/>
      <c r="D25" s="62"/>
      <c r="E25" s="63">
        <f>SUM(D24:F24)</f>
        <v>131</v>
      </c>
      <c r="F25" s="63"/>
      <c r="G25" s="62"/>
      <c r="H25" s="63">
        <f>SUM(G24:I24)</f>
        <v>185</v>
      </c>
      <c r="I25" s="63"/>
      <c r="J25" s="62"/>
      <c r="K25" s="63">
        <f>SUM(J24:L24)</f>
        <v>364.5</v>
      </c>
      <c r="L25" s="63"/>
      <c r="M25" s="62"/>
      <c r="N25" s="63">
        <f>SUM(M24:O24)</f>
        <v>220.5</v>
      </c>
      <c r="O25" s="63"/>
      <c r="P25" s="62"/>
      <c r="Q25" s="63">
        <f>SUM(P24:R24)</f>
        <v>146.5</v>
      </c>
      <c r="R25" s="63"/>
      <c r="S25" s="62"/>
      <c r="T25" s="63">
        <f>SUM(S24:U24)</f>
        <v>127.5</v>
      </c>
      <c r="U25" s="63"/>
      <c r="V25" s="62"/>
      <c r="W25" s="63">
        <f>SUM(V24:X24)</f>
        <v>114.5</v>
      </c>
      <c r="X25" s="63"/>
      <c r="Y25" s="62"/>
      <c r="Z25" s="63">
        <f>SUM(Y24:AA24)</f>
        <v>74.5</v>
      </c>
      <c r="AA25" s="63"/>
      <c r="AB25" s="62"/>
      <c r="AC25" s="63">
        <f>SUM(AB24:AD24)</f>
        <v>161.5</v>
      </c>
      <c r="AD25" s="63"/>
      <c r="AE25" s="62"/>
      <c r="AF25" s="63">
        <f>SUM(AE24:AG24)</f>
        <v>83</v>
      </c>
      <c r="AG25" s="63"/>
      <c r="AH25" s="62"/>
      <c r="AI25" s="63">
        <f>SUM(AH24:AJ24)</f>
        <v>23</v>
      </c>
      <c r="AJ25" s="63"/>
      <c r="AK25" s="62"/>
      <c r="AL25" s="63">
        <f>SUM(AK24:AM24)</f>
        <v>70</v>
      </c>
      <c r="AM25" s="63"/>
      <c r="AN25" s="64">
        <f>SUM(AN11:AN23)</f>
        <v>1701.5</v>
      </c>
    </row>
    <row r="26" spans="2:40" ht="9.9499999999999993" customHeight="1" x14ac:dyDescent="0.15"/>
    <row r="27" spans="2:40" ht="24.95" customHeight="1" x14ac:dyDescent="0.15">
      <c r="B27" s="2" t="s">
        <v>198</v>
      </c>
    </row>
    <row r="28" spans="2:40" ht="9.9499999999999993" customHeight="1" thickBot="1" x14ac:dyDescent="0.2"/>
    <row r="29" spans="2:40" ht="20.100000000000001" customHeight="1" thickBot="1" x14ac:dyDescent="0.2">
      <c r="B29" s="1" t="s">
        <v>195</v>
      </c>
      <c r="C29" s="235">
        <f>'４　経営収支'!G4</f>
        <v>40</v>
      </c>
      <c r="D29" s="1" t="s">
        <v>196</v>
      </c>
    </row>
    <row r="30" spans="2:40" ht="9.9499999999999993" customHeight="1" thickBot="1" x14ac:dyDescent="0.2"/>
    <row r="31" spans="2:40" ht="20.100000000000001" customHeight="1" x14ac:dyDescent="0.15">
      <c r="B31" s="609" t="s">
        <v>97</v>
      </c>
      <c r="C31" s="610"/>
      <c r="D31" s="613">
        <v>1</v>
      </c>
      <c r="E31" s="614"/>
      <c r="F31" s="615"/>
      <c r="G31" s="613">
        <v>2</v>
      </c>
      <c r="H31" s="614"/>
      <c r="I31" s="615"/>
      <c r="J31" s="613">
        <v>3</v>
      </c>
      <c r="K31" s="614"/>
      <c r="L31" s="615"/>
      <c r="M31" s="613">
        <v>4</v>
      </c>
      <c r="N31" s="614"/>
      <c r="O31" s="615"/>
      <c r="P31" s="613">
        <v>5</v>
      </c>
      <c r="Q31" s="614"/>
      <c r="R31" s="615"/>
      <c r="S31" s="613">
        <v>6</v>
      </c>
      <c r="T31" s="614"/>
      <c r="U31" s="615"/>
      <c r="V31" s="613">
        <v>7</v>
      </c>
      <c r="W31" s="614"/>
      <c r="X31" s="615"/>
      <c r="Y31" s="613">
        <v>8</v>
      </c>
      <c r="Z31" s="614"/>
      <c r="AA31" s="615"/>
      <c r="AB31" s="613">
        <v>9</v>
      </c>
      <c r="AC31" s="614"/>
      <c r="AD31" s="615"/>
      <c r="AE31" s="613">
        <v>10</v>
      </c>
      <c r="AF31" s="614"/>
      <c r="AG31" s="615"/>
      <c r="AH31" s="613">
        <v>11</v>
      </c>
      <c r="AI31" s="614"/>
      <c r="AJ31" s="615"/>
      <c r="AK31" s="613">
        <v>12</v>
      </c>
      <c r="AL31" s="614"/>
      <c r="AM31" s="615"/>
      <c r="AN31" s="616" t="s">
        <v>30</v>
      </c>
    </row>
    <row r="32" spans="2:40" ht="20.100000000000001" customHeight="1" x14ac:dyDescent="0.15">
      <c r="B32" s="611"/>
      <c r="C32" s="612"/>
      <c r="D32" s="50" t="s">
        <v>31</v>
      </c>
      <c r="E32" s="51" t="s">
        <v>32</v>
      </c>
      <c r="F32" s="52" t="s">
        <v>33</v>
      </c>
      <c r="G32" s="50" t="s">
        <v>31</v>
      </c>
      <c r="H32" s="52" t="s">
        <v>32</v>
      </c>
      <c r="I32" s="52" t="s">
        <v>33</v>
      </c>
      <c r="J32" s="50" t="s">
        <v>31</v>
      </c>
      <c r="K32" s="52" t="s">
        <v>32</v>
      </c>
      <c r="L32" s="52" t="s">
        <v>33</v>
      </c>
      <c r="M32" s="50" t="s">
        <v>31</v>
      </c>
      <c r="N32" s="52" t="s">
        <v>32</v>
      </c>
      <c r="O32" s="52" t="s">
        <v>33</v>
      </c>
      <c r="P32" s="50" t="s">
        <v>31</v>
      </c>
      <c r="Q32" s="52" t="s">
        <v>32</v>
      </c>
      <c r="R32" s="52" t="s">
        <v>33</v>
      </c>
      <c r="S32" s="50" t="s">
        <v>31</v>
      </c>
      <c r="T32" s="53" t="s">
        <v>32</v>
      </c>
      <c r="U32" s="53" t="s">
        <v>33</v>
      </c>
      <c r="V32" s="50" t="s">
        <v>31</v>
      </c>
      <c r="W32" s="52" t="s">
        <v>32</v>
      </c>
      <c r="X32" s="52" t="s">
        <v>33</v>
      </c>
      <c r="Y32" s="50" t="s">
        <v>31</v>
      </c>
      <c r="Z32" s="52" t="s">
        <v>32</v>
      </c>
      <c r="AA32" s="52" t="s">
        <v>33</v>
      </c>
      <c r="AB32" s="50" t="s">
        <v>31</v>
      </c>
      <c r="AC32" s="52" t="s">
        <v>32</v>
      </c>
      <c r="AD32" s="52" t="s">
        <v>33</v>
      </c>
      <c r="AE32" s="50" t="s">
        <v>31</v>
      </c>
      <c r="AF32" s="52" t="s">
        <v>32</v>
      </c>
      <c r="AG32" s="52" t="s">
        <v>33</v>
      </c>
      <c r="AH32" s="50" t="s">
        <v>31</v>
      </c>
      <c r="AI32" s="52" t="s">
        <v>32</v>
      </c>
      <c r="AJ32" s="52" t="s">
        <v>33</v>
      </c>
      <c r="AK32" s="50" t="s">
        <v>31</v>
      </c>
      <c r="AL32" s="52" t="s">
        <v>32</v>
      </c>
      <c r="AM32" s="52" t="s">
        <v>33</v>
      </c>
      <c r="AN32" s="617"/>
    </row>
    <row r="33" spans="2:40" ht="20.100000000000001" customHeight="1" x14ac:dyDescent="0.15">
      <c r="B33" s="634" t="s">
        <v>203</v>
      </c>
      <c r="C33" s="612"/>
      <c r="D33" s="57">
        <f>D24*$C$29/10</f>
        <v>172</v>
      </c>
      <c r="E33" s="60">
        <f t="shared" ref="E33:AM33" si="2">E24*$C$29/10</f>
        <v>176</v>
      </c>
      <c r="F33" s="61">
        <f t="shared" si="2"/>
        <v>176</v>
      </c>
      <c r="G33" s="57">
        <f t="shared" si="2"/>
        <v>256</v>
      </c>
      <c r="H33" s="60">
        <f t="shared" si="2"/>
        <v>244</v>
      </c>
      <c r="I33" s="61">
        <f t="shared" si="2"/>
        <v>240</v>
      </c>
      <c r="J33" s="57">
        <f t="shared" si="2"/>
        <v>488</v>
      </c>
      <c r="K33" s="60">
        <f t="shared" si="2"/>
        <v>476</v>
      </c>
      <c r="L33" s="61">
        <f t="shared" si="2"/>
        <v>494</v>
      </c>
      <c r="M33" s="57">
        <f t="shared" si="2"/>
        <v>302</v>
      </c>
      <c r="N33" s="60">
        <f t="shared" si="2"/>
        <v>286</v>
      </c>
      <c r="O33" s="61">
        <f t="shared" si="2"/>
        <v>294</v>
      </c>
      <c r="P33" s="57">
        <f t="shared" si="2"/>
        <v>198</v>
      </c>
      <c r="Q33" s="60">
        <f t="shared" si="2"/>
        <v>186</v>
      </c>
      <c r="R33" s="61">
        <f t="shared" si="2"/>
        <v>202</v>
      </c>
      <c r="S33" s="57">
        <f t="shared" si="2"/>
        <v>198</v>
      </c>
      <c r="T33" s="60">
        <f t="shared" si="2"/>
        <v>46</v>
      </c>
      <c r="U33" s="61">
        <f t="shared" si="2"/>
        <v>266</v>
      </c>
      <c r="V33" s="57">
        <f t="shared" si="2"/>
        <v>286</v>
      </c>
      <c r="W33" s="60">
        <f t="shared" si="2"/>
        <v>86</v>
      </c>
      <c r="X33" s="61">
        <f t="shared" si="2"/>
        <v>86</v>
      </c>
      <c r="Y33" s="57">
        <f t="shared" si="2"/>
        <v>86</v>
      </c>
      <c r="Z33" s="60">
        <f t="shared" si="2"/>
        <v>86</v>
      </c>
      <c r="AA33" s="61">
        <f t="shared" si="2"/>
        <v>126</v>
      </c>
      <c r="AB33" s="57">
        <f t="shared" si="2"/>
        <v>250</v>
      </c>
      <c r="AC33" s="60">
        <f t="shared" si="2"/>
        <v>318</v>
      </c>
      <c r="AD33" s="61">
        <f t="shared" si="2"/>
        <v>78</v>
      </c>
      <c r="AE33" s="57">
        <f t="shared" si="2"/>
        <v>44</v>
      </c>
      <c r="AF33" s="60">
        <f t="shared" si="2"/>
        <v>152</v>
      </c>
      <c r="AG33" s="61">
        <f t="shared" si="2"/>
        <v>136</v>
      </c>
      <c r="AH33" s="57">
        <f t="shared" si="2"/>
        <v>40</v>
      </c>
      <c r="AI33" s="60">
        <f t="shared" si="2"/>
        <v>36</v>
      </c>
      <c r="AJ33" s="61">
        <f t="shared" si="2"/>
        <v>16</v>
      </c>
      <c r="AK33" s="57">
        <f t="shared" si="2"/>
        <v>28</v>
      </c>
      <c r="AL33" s="60">
        <f t="shared" si="2"/>
        <v>20</v>
      </c>
      <c r="AM33" s="61">
        <f t="shared" si="2"/>
        <v>232</v>
      </c>
      <c r="AN33" s="59">
        <f t="shared" ref="AN33:AN37" si="3">SUM(D33:AM33)</f>
        <v>6806</v>
      </c>
    </row>
    <row r="34" spans="2:40" ht="20.100000000000001" customHeight="1" thickBot="1" x14ac:dyDescent="0.2">
      <c r="B34" s="618" t="s">
        <v>100</v>
      </c>
      <c r="C34" s="619"/>
      <c r="D34" s="238"/>
      <c r="E34" s="234">
        <f>SUM(D33:F33)</f>
        <v>524</v>
      </c>
      <c r="F34" s="234"/>
      <c r="G34" s="238"/>
      <c r="H34" s="234">
        <f>SUM(G33:I33)</f>
        <v>740</v>
      </c>
      <c r="I34" s="234"/>
      <c r="J34" s="238"/>
      <c r="K34" s="234">
        <f>SUM(J33:L33)</f>
        <v>1458</v>
      </c>
      <c r="L34" s="234"/>
      <c r="M34" s="238"/>
      <c r="N34" s="234">
        <f>SUM(M33:O33)</f>
        <v>882</v>
      </c>
      <c r="O34" s="234"/>
      <c r="P34" s="238"/>
      <c r="Q34" s="234">
        <f>SUM(P33:R33)</f>
        <v>586</v>
      </c>
      <c r="R34" s="234"/>
      <c r="S34" s="238"/>
      <c r="T34" s="234">
        <f>SUM(S33:U33)</f>
        <v>510</v>
      </c>
      <c r="U34" s="234"/>
      <c r="V34" s="238"/>
      <c r="W34" s="234">
        <f>SUM(V33:X33)</f>
        <v>458</v>
      </c>
      <c r="X34" s="234"/>
      <c r="Y34" s="238"/>
      <c r="Z34" s="234">
        <f>SUM(Y33:AA33)</f>
        <v>298</v>
      </c>
      <c r="AA34" s="234"/>
      <c r="AB34" s="238"/>
      <c r="AC34" s="234">
        <f>SUM(AB33:AD33)</f>
        <v>646</v>
      </c>
      <c r="AD34" s="234"/>
      <c r="AE34" s="238"/>
      <c r="AF34" s="234">
        <f>SUM(AE33:AG33)</f>
        <v>332</v>
      </c>
      <c r="AG34" s="234"/>
      <c r="AH34" s="238"/>
      <c r="AI34" s="234">
        <f>SUM(AH33:AJ33)</f>
        <v>92</v>
      </c>
      <c r="AJ34" s="234"/>
      <c r="AK34" s="238"/>
      <c r="AL34" s="234">
        <f>SUM(AK33:AM33)</f>
        <v>280</v>
      </c>
      <c r="AM34" s="234"/>
      <c r="AN34" s="239">
        <f>SUM(D34:AM34)</f>
        <v>6806</v>
      </c>
    </row>
    <row r="35" spans="2:40" ht="20.100000000000001" customHeight="1" thickTop="1" x14ac:dyDescent="0.15">
      <c r="B35" s="635" t="s">
        <v>201</v>
      </c>
      <c r="C35" s="240" t="s">
        <v>199</v>
      </c>
      <c r="D35" s="241">
        <v>70</v>
      </c>
      <c r="E35" s="242">
        <v>70</v>
      </c>
      <c r="F35" s="242">
        <v>70</v>
      </c>
      <c r="G35" s="241">
        <v>70</v>
      </c>
      <c r="H35" s="242">
        <v>70</v>
      </c>
      <c r="I35" s="242">
        <v>70</v>
      </c>
      <c r="J35" s="241">
        <v>80</v>
      </c>
      <c r="K35" s="242">
        <v>70</v>
      </c>
      <c r="L35" s="242">
        <v>80</v>
      </c>
      <c r="M35" s="241">
        <v>70</v>
      </c>
      <c r="N35" s="242">
        <v>70</v>
      </c>
      <c r="O35" s="242">
        <v>70</v>
      </c>
      <c r="P35" s="241">
        <v>70</v>
      </c>
      <c r="Q35" s="242">
        <v>70</v>
      </c>
      <c r="R35" s="242">
        <v>70</v>
      </c>
      <c r="S35" s="241">
        <v>70</v>
      </c>
      <c r="T35" s="242">
        <v>20</v>
      </c>
      <c r="U35" s="242">
        <v>70</v>
      </c>
      <c r="V35" s="241">
        <v>70</v>
      </c>
      <c r="W35" s="242">
        <v>40</v>
      </c>
      <c r="X35" s="242">
        <v>40</v>
      </c>
      <c r="Y35" s="241">
        <v>40</v>
      </c>
      <c r="Z35" s="242">
        <v>40</v>
      </c>
      <c r="AA35" s="242">
        <v>50</v>
      </c>
      <c r="AB35" s="241">
        <v>70</v>
      </c>
      <c r="AC35" s="242">
        <v>70</v>
      </c>
      <c r="AD35" s="242">
        <v>34</v>
      </c>
      <c r="AE35" s="241">
        <v>25</v>
      </c>
      <c r="AF35" s="242">
        <v>70</v>
      </c>
      <c r="AG35" s="242">
        <v>60</v>
      </c>
      <c r="AH35" s="241">
        <v>20</v>
      </c>
      <c r="AI35" s="242">
        <v>20</v>
      </c>
      <c r="AJ35" s="242">
        <v>6</v>
      </c>
      <c r="AK35" s="241">
        <v>10</v>
      </c>
      <c r="AL35" s="242">
        <v>5</v>
      </c>
      <c r="AM35" s="242">
        <v>80</v>
      </c>
      <c r="AN35" s="243">
        <f t="shared" si="3"/>
        <v>1980</v>
      </c>
    </row>
    <row r="36" spans="2:40" ht="20.100000000000001" customHeight="1" x14ac:dyDescent="0.15">
      <c r="B36" s="636"/>
      <c r="C36" s="236" t="s">
        <v>200</v>
      </c>
      <c r="D36" s="244">
        <v>70</v>
      </c>
      <c r="E36" s="58">
        <v>70</v>
      </c>
      <c r="F36" s="58">
        <v>70</v>
      </c>
      <c r="G36" s="244">
        <v>70</v>
      </c>
      <c r="H36" s="58">
        <v>70</v>
      </c>
      <c r="I36" s="58">
        <v>70</v>
      </c>
      <c r="J36" s="244">
        <v>80</v>
      </c>
      <c r="K36" s="58">
        <v>70</v>
      </c>
      <c r="L36" s="58">
        <v>80</v>
      </c>
      <c r="M36" s="244">
        <v>70</v>
      </c>
      <c r="N36" s="58">
        <v>70</v>
      </c>
      <c r="O36" s="58">
        <v>70</v>
      </c>
      <c r="P36" s="244">
        <v>70</v>
      </c>
      <c r="Q36" s="58">
        <v>70</v>
      </c>
      <c r="R36" s="58">
        <v>70</v>
      </c>
      <c r="S36" s="244">
        <v>65</v>
      </c>
      <c r="T36" s="58">
        <v>20</v>
      </c>
      <c r="U36" s="58">
        <v>70</v>
      </c>
      <c r="V36" s="244">
        <v>70</v>
      </c>
      <c r="W36" s="58">
        <v>40</v>
      </c>
      <c r="X36" s="58">
        <v>40</v>
      </c>
      <c r="Y36" s="244">
        <v>40</v>
      </c>
      <c r="Z36" s="58">
        <v>40</v>
      </c>
      <c r="AA36" s="58">
        <v>50</v>
      </c>
      <c r="AB36" s="244">
        <v>70</v>
      </c>
      <c r="AC36" s="58">
        <v>70</v>
      </c>
      <c r="AD36" s="58">
        <v>34</v>
      </c>
      <c r="AE36" s="244">
        <v>19</v>
      </c>
      <c r="AF36" s="58">
        <v>70</v>
      </c>
      <c r="AG36" s="58">
        <v>60</v>
      </c>
      <c r="AH36" s="244">
        <v>20</v>
      </c>
      <c r="AI36" s="58">
        <v>16</v>
      </c>
      <c r="AJ36" s="58">
        <v>5</v>
      </c>
      <c r="AK36" s="244">
        <v>10</v>
      </c>
      <c r="AL36" s="58">
        <v>10</v>
      </c>
      <c r="AM36" s="58">
        <v>80</v>
      </c>
      <c r="AN36" s="59">
        <f t="shared" si="3"/>
        <v>1969</v>
      </c>
    </row>
    <row r="37" spans="2:40" ht="20.100000000000001" customHeight="1" x14ac:dyDescent="0.15">
      <c r="B37" s="636"/>
      <c r="C37" s="236" t="s">
        <v>206</v>
      </c>
      <c r="D37" s="244">
        <v>32</v>
      </c>
      <c r="E37" s="58">
        <v>36</v>
      </c>
      <c r="F37" s="58">
        <v>36</v>
      </c>
      <c r="G37" s="244">
        <v>40</v>
      </c>
      <c r="H37" s="58">
        <v>40</v>
      </c>
      <c r="I37" s="58">
        <v>40</v>
      </c>
      <c r="J37" s="244">
        <v>50</v>
      </c>
      <c r="K37" s="58">
        <v>50</v>
      </c>
      <c r="L37" s="58">
        <v>50</v>
      </c>
      <c r="M37" s="244">
        <v>40</v>
      </c>
      <c r="N37" s="58">
        <v>40</v>
      </c>
      <c r="O37" s="58">
        <v>40</v>
      </c>
      <c r="P37" s="244">
        <v>40</v>
      </c>
      <c r="Q37" s="58">
        <v>40</v>
      </c>
      <c r="R37" s="58">
        <v>40</v>
      </c>
      <c r="S37" s="244">
        <v>35</v>
      </c>
      <c r="T37" s="58">
        <v>6</v>
      </c>
      <c r="U37" s="58">
        <v>40</v>
      </c>
      <c r="V37" s="244">
        <v>40</v>
      </c>
      <c r="W37" s="58">
        <v>6</v>
      </c>
      <c r="X37" s="58">
        <v>6</v>
      </c>
      <c r="Y37" s="244">
        <v>6</v>
      </c>
      <c r="Z37" s="58">
        <v>6</v>
      </c>
      <c r="AA37" s="58">
        <v>26</v>
      </c>
      <c r="AB37" s="244">
        <v>25</v>
      </c>
      <c r="AC37" s="58">
        <v>25</v>
      </c>
      <c r="AD37" s="58">
        <v>10</v>
      </c>
      <c r="AE37" s="244">
        <v>0</v>
      </c>
      <c r="AF37" s="58">
        <v>12</v>
      </c>
      <c r="AG37" s="58">
        <v>16</v>
      </c>
      <c r="AH37" s="244">
        <v>0</v>
      </c>
      <c r="AI37" s="58">
        <v>0</v>
      </c>
      <c r="AJ37" s="58">
        <v>5</v>
      </c>
      <c r="AK37" s="244">
        <v>8</v>
      </c>
      <c r="AL37" s="58">
        <v>5</v>
      </c>
      <c r="AM37" s="58">
        <v>72</v>
      </c>
      <c r="AN37" s="59">
        <f t="shared" si="3"/>
        <v>963</v>
      </c>
    </row>
    <row r="38" spans="2:40" ht="20.100000000000001" customHeight="1" x14ac:dyDescent="0.15">
      <c r="B38" s="636"/>
      <c r="C38" s="237"/>
      <c r="D38" s="244"/>
      <c r="E38" s="58"/>
      <c r="F38" s="58"/>
      <c r="G38" s="244"/>
      <c r="H38" s="58"/>
      <c r="I38" s="58"/>
      <c r="J38" s="244"/>
      <c r="K38" s="58"/>
      <c r="L38" s="58"/>
      <c r="M38" s="244"/>
      <c r="N38" s="58"/>
      <c r="O38" s="58"/>
      <c r="P38" s="244"/>
      <c r="Q38" s="58"/>
      <c r="R38" s="58"/>
      <c r="S38" s="244"/>
      <c r="T38" s="58"/>
      <c r="U38" s="58"/>
      <c r="V38" s="244"/>
      <c r="W38" s="58"/>
      <c r="X38" s="58"/>
      <c r="Y38" s="244"/>
      <c r="Z38" s="58"/>
      <c r="AA38" s="58"/>
      <c r="AB38" s="244"/>
      <c r="AC38" s="58"/>
      <c r="AD38" s="58"/>
      <c r="AE38" s="244"/>
      <c r="AF38" s="58"/>
      <c r="AG38" s="58"/>
      <c r="AH38" s="244"/>
      <c r="AI38" s="58"/>
      <c r="AJ38" s="58"/>
      <c r="AK38" s="244"/>
      <c r="AL38" s="58"/>
      <c r="AM38" s="58"/>
      <c r="AN38" s="59">
        <f t="shared" ref="AN38:AN41" si="4">SUM(D38:AM38)</f>
        <v>0</v>
      </c>
    </row>
    <row r="39" spans="2:40" ht="20.100000000000001" customHeight="1" thickBot="1" x14ac:dyDescent="0.2">
      <c r="B39" s="637"/>
      <c r="C39" s="251" t="s">
        <v>204</v>
      </c>
      <c r="D39" s="245">
        <f>SUM(D35:D38)</f>
        <v>172</v>
      </c>
      <c r="E39" s="246">
        <f t="shared" ref="E39:AM39" si="5">SUM(E35:E38)</f>
        <v>176</v>
      </c>
      <c r="F39" s="246">
        <f t="shared" si="5"/>
        <v>176</v>
      </c>
      <c r="G39" s="245">
        <f t="shared" si="5"/>
        <v>180</v>
      </c>
      <c r="H39" s="246">
        <f t="shared" si="5"/>
        <v>180</v>
      </c>
      <c r="I39" s="246">
        <f t="shared" si="5"/>
        <v>180</v>
      </c>
      <c r="J39" s="245">
        <f t="shared" si="5"/>
        <v>210</v>
      </c>
      <c r="K39" s="246">
        <f t="shared" si="5"/>
        <v>190</v>
      </c>
      <c r="L39" s="246">
        <f t="shared" si="5"/>
        <v>210</v>
      </c>
      <c r="M39" s="245">
        <f t="shared" si="5"/>
        <v>180</v>
      </c>
      <c r="N39" s="246">
        <f t="shared" si="5"/>
        <v>180</v>
      </c>
      <c r="O39" s="246">
        <f t="shared" si="5"/>
        <v>180</v>
      </c>
      <c r="P39" s="245">
        <f t="shared" si="5"/>
        <v>180</v>
      </c>
      <c r="Q39" s="246">
        <f t="shared" si="5"/>
        <v>180</v>
      </c>
      <c r="R39" s="246">
        <f t="shared" si="5"/>
        <v>180</v>
      </c>
      <c r="S39" s="245">
        <f t="shared" si="5"/>
        <v>170</v>
      </c>
      <c r="T39" s="246">
        <f t="shared" si="5"/>
        <v>46</v>
      </c>
      <c r="U39" s="246">
        <f t="shared" si="5"/>
        <v>180</v>
      </c>
      <c r="V39" s="245">
        <f t="shared" si="5"/>
        <v>180</v>
      </c>
      <c r="W39" s="246">
        <f t="shared" si="5"/>
        <v>86</v>
      </c>
      <c r="X39" s="246">
        <f t="shared" si="5"/>
        <v>86</v>
      </c>
      <c r="Y39" s="245">
        <f t="shared" si="5"/>
        <v>86</v>
      </c>
      <c r="Z39" s="246">
        <f t="shared" si="5"/>
        <v>86</v>
      </c>
      <c r="AA39" s="246">
        <f t="shared" si="5"/>
        <v>126</v>
      </c>
      <c r="AB39" s="245">
        <f t="shared" si="5"/>
        <v>165</v>
      </c>
      <c r="AC39" s="246">
        <f t="shared" si="5"/>
        <v>165</v>
      </c>
      <c r="AD39" s="246">
        <f t="shared" si="5"/>
        <v>78</v>
      </c>
      <c r="AE39" s="245">
        <f t="shared" si="5"/>
        <v>44</v>
      </c>
      <c r="AF39" s="246">
        <f t="shared" si="5"/>
        <v>152</v>
      </c>
      <c r="AG39" s="246">
        <f t="shared" si="5"/>
        <v>136</v>
      </c>
      <c r="AH39" s="245">
        <f t="shared" si="5"/>
        <v>40</v>
      </c>
      <c r="AI39" s="246">
        <f t="shared" si="5"/>
        <v>36</v>
      </c>
      <c r="AJ39" s="246">
        <f t="shared" si="5"/>
        <v>16</v>
      </c>
      <c r="AK39" s="245">
        <f t="shared" si="5"/>
        <v>28</v>
      </c>
      <c r="AL39" s="246">
        <f t="shared" si="5"/>
        <v>20</v>
      </c>
      <c r="AM39" s="246">
        <f t="shared" si="5"/>
        <v>232</v>
      </c>
      <c r="AN39" s="247">
        <f t="shared" si="4"/>
        <v>4912</v>
      </c>
    </row>
    <row r="40" spans="2:40" ht="20.100000000000001" customHeight="1" thickTop="1" x14ac:dyDescent="0.15">
      <c r="B40" s="630" t="s">
        <v>205</v>
      </c>
      <c r="C40" s="631"/>
      <c r="D40" s="252">
        <f>D39-D33</f>
        <v>0</v>
      </c>
      <c r="E40" s="253">
        <f t="shared" ref="E40:AM40" si="6">E39-E33</f>
        <v>0</v>
      </c>
      <c r="F40" s="253">
        <f t="shared" si="6"/>
        <v>0</v>
      </c>
      <c r="G40" s="252">
        <f t="shared" si="6"/>
        <v>-76</v>
      </c>
      <c r="H40" s="253">
        <f t="shared" si="6"/>
        <v>-64</v>
      </c>
      <c r="I40" s="253">
        <f t="shared" si="6"/>
        <v>-60</v>
      </c>
      <c r="J40" s="252">
        <f t="shared" si="6"/>
        <v>-278</v>
      </c>
      <c r="K40" s="253">
        <f t="shared" si="6"/>
        <v>-286</v>
      </c>
      <c r="L40" s="253">
        <f t="shared" si="6"/>
        <v>-284</v>
      </c>
      <c r="M40" s="252">
        <f t="shared" si="6"/>
        <v>-122</v>
      </c>
      <c r="N40" s="253">
        <f t="shared" si="6"/>
        <v>-106</v>
      </c>
      <c r="O40" s="253">
        <f t="shared" si="6"/>
        <v>-114</v>
      </c>
      <c r="P40" s="252">
        <f t="shared" si="6"/>
        <v>-18</v>
      </c>
      <c r="Q40" s="253">
        <f t="shared" si="6"/>
        <v>-6</v>
      </c>
      <c r="R40" s="253">
        <f t="shared" si="6"/>
        <v>-22</v>
      </c>
      <c r="S40" s="252">
        <f t="shared" si="6"/>
        <v>-28</v>
      </c>
      <c r="T40" s="253">
        <f t="shared" si="6"/>
        <v>0</v>
      </c>
      <c r="U40" s="253">
        <f t="shared" si="6"/>
        <v>-86</v>
      </c>
      <c r="V40" s="252">
        <f t="shared" si="6"/>
        <v>-106</v>
      </c>
      <c r="W40" s="253">
        <f t="shared" si="6"/>
        <v>0</v>
      </c>
      <c r="X40" s="253">
        <f t="shared" si="6"/>
        <v>0</v>
      </c>
      <c r="Y40" s="252">
        <f t="shared" si="6"/>
        <v>0</v>
      </c>
      <c r="Z40" s="253">
        <f t="shared" si="6"/>
        <v>0</v>
      </c>
      <c r="AA40" s="253">
        <f t="shared" si="6"/>
        <v>0</v>
      </c>
      <c r="AB40" s="252">
        <f t="shared" si="6"/>
        <v>-85</v>
      </c>
      <c r="AC40" s="253">
        <f t="shared" si="6"/>
        <v>-153</v>
      </c>
      <c r="AD40" s="253">
        <f t="shared" si="6"/>
        <v>0</v>
      </c>
      <c r="AE40" s="252">
        <f t="shared" si="6"/>
        <v>0</v>
      </c>
      <c r="AF40" s="253">
        <f t="shared" si="6"/>
        <v>0</v>
      </c>
      <c r="AG40" s="253">
        <f t="shared" si="6"/>
        <v>0</v>
      </c>
      <c r="AH40" s="252">
        <f t="shared" si="6"/>
        <v>0</v>
      </c>
      <c r="AI40" s="254">
        <f t="shared" si="6"/>
        <v>0</v>
      </c>
      <c r="AJ40" s="253">
        <f t="shared" si="6"/>
        <v>0</v>
      </c>
      <c r="AK40" s="252">
        <f t="shared" si="6"/>
        <v>0</v>
      </c>
      <c r="AL40" s="253">
        <f t="shared" si="6"/>
        <v>0</v>
      </c>
      <c r="AM40" s="253">
        <f t="shared" si="6"/>
        <v>0</v>
      </c>
      <c r="AN40" s="243">
        <f t="shared" si="4"/>
        <v>-1894</v>
      </c>
    </row>
    <row r="41" spans="2:40" ht="20.100000000000001" customHeight="1" thickBot="1" x14ac:dyDescent="0.2">
      <c r="B41" s="632" t="s">
        <v>202</v>
      </c>
      <c r="C41" s="633"/>
      <c r="D41" s="433">
        <f>IF(D40&gt;=0,0,D40*(-1))</f>
        <v>0</v>
      </c>
      <c r="E41" s="432">
        <f>IF(E40&gt;=0,0,E40*(-1))</f>
        <v>0</v>
      </c>
      <c r="F41" s="249">
        <f t="shared" ref="F41:AM41" si="7">IF(F40&gt;=0,0,F40*(-1))</f>
        <v>0</v>
      </c>
      <c r="G41" s="248">
        <f t="shared" si="7"/>
        <v>76</v>
      </c>
      <c r="H41" s="249">
        <f t="shared" si="7"/>
        <v>64</v>
      </c>
      <c r="I41" s="249">
        <f t="shared" si="7"/>
        <v>60</v>
      </c>
      <c r="J41" s="248">
        <f t="shared" si="7"/>
        <v>278</v>
      </c>
      <c r="K41" s="249">
        <f t="shared" si="7"/>
        <v>286</v>
      </c>
      <c r="L41" s="249">
        <f t="shared" si="7"/>
        <v>284</v>
      </c>
      <c r="M41" s="248">
        <f t="shared" si="7"/>
        <v>122</v>
      </c>
      <c r="N41" s="249">
        <f t="shared" si="7"/>
        <v>106</v>
      </c>
      <c r="O41" s="249">
        <f t="shared" si="7"/>
        <v>114</v>
      </c>
      <c r="P41" s="248">
        <f t="shared" si="7"/>
        <v>18</v>
      </c>
      <c r="Q41" s="249">
        <f t="shared" si="7"/>
        <v>6</v>
      </c>
      <c r="R41" s="249">
        <f t="shared" si="7"/>
        <v>22</v>
      </c>
      <c r="S41" s="248">
        <f t="shared" si="7"/>
        <v>28</v>
      </c>
      <c r="T41" s="249">
        <f t="shared" si="7"/>
        <v>0</v>
      </c>
      <c r="U41" s="249">
        <f t="shared" si="7"/>
        <v>86</v>
      </c>
      <c r="V41" s="248">
        <f t="shared" si="7"/>
        <v>106</v>
      </c>
      <c r="W41" s="249">
        <f t="shared" si="7"/>
        <v>0</v>
      </c>
      <c r="X41" s="249">
        <f t="shared" si="7"/>
        <v>0</v>
      </c>
      <c r="Y41" s="248">
        <f t="shared" si="7"/>
        <v>0</v>
      </c>
      <c r="Z41" s="249">
        <f t="shared" si="7"/>
        <v>0</v>
      </c>
      <c r="AA41" s="249">
        <f t="shared" si="7"/>
        <v>0</v>
      </c>
      <c r="AB41" s="248">
        <f t="shared" si="7"/>
        <v>85</v>
      </c>
      <c r="AC41" s="249">
        <f t="shared" si="7"/>
        <v>153</v>
      </c>
      <c r="AD41" s="249">
        <f t="shared" si="7"/>
        <v>0</v>
      </c>
      <c r="AE41" s="248">
        <f t="shared" si="7"/>
        <v>0</v>
      </c>
      <c r="AF41" s="249">
        <f t="shared" si="7"/>
        <v>0</v>
      </c>
      <c r="AG41" s="249">
        <f t="shared" si="7"/>
        <v>0</v>
      </c>
      <c r="AH41" s="248">
        <f t="shared" si="7"/>
        <v>0</v>
      </c>
      <c r="AI41" s="249">
        <f t="shared" si="7"/>
        <v>0</v>
      </c>
      <c r="AJ41" s="249">
        <f t="shared" si="7"/>
        <v>0</v>
      </c>
      <c r="AK41" s="248">
        <f t="shared" si="7"/>
        <v>0</v>
      </c>
      <c r="AL41" s="249">
        <f t="shared" si="7"/>
        <v>0</v>
      </c>
      <c r="AM41" s="249">
        <f t="shared" si="7"/>
        <v>0</v>
      </c>
      <c r="AN41" s="250">
        <f t="shared" si="4"/>
        <v>1894</v>
      </c>
    </row>
  </sheetData>
  <mergeCells count="49">
    <mergeCell ref="B40:C40"/>
    <mergeCell ref="B41:C41"/>
    <mergeCell ref="AK31:AM31"/>
    <mergeCell ref="AN31:AN32"/>
    <mergeCell ref="B33:C33"/>
    <mergeCell ref="B34:C34"/>
    <mergeCell ref="B35:B39"/>
    <mergeCell ref="V31:X31"/>
    <mergeCell ref="Y31:AA31"/>
    <mergeCell ref="AB31:AD31"/>
    <mergeCell ref="AE31:AG31"/>
    <mergeCell ref="AH31:AJ31"/>
    <mergeCell ref="G31:I31"/>
    <mergeCell ref="J31:L31"/>
    <mergeCell ref="M31:O31"/>
    <mergeCell ref="P31:R31"/>
    <mergeCell ref="S31:U31"/>
    <mergeCell ref="B25:C25"/>
    <mergeCell ref="B31:C32"/>
    <mergeCell ref="D31:F31"/>
    <mergeCell ref="B22:C22"/>
    <mergeCell ref="B23:C23"/>
    <mergeCell ref="B24:C24"/>
    <mergeCell ref="B21:C21"/>
    <mergeCell ref="B20:C20"/>
    <mergeCell ref="B15:C15"/>
    <mergeCell ref="B16:C16"/>
    <mergeCell ref="B17:C17"/>
    <mergeCell ref="B18:C18"/>
    <mergeCell ref="B19:C19"/>
    <mergeCell ref="B6:C10"/>
    <mergeCell ref="B11:C11"/>
    <mergeCell ref="B12:C12"/>
    <mergeCell ref="B13:C13"/>
    <mergeCell ref="B14:C1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75" zoomScaleNormal="75" zoomScaleSheetLayoutView="80" workbookViewId="0"/>
  </sheetViews>
  <sheetFormatPr defaultRowHeight="13.5" x14ac:dyDescent="0.1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 x14ac:dyDescent="0.15"/>
    <row r="2" spans="2:16" ht="24.95" customHeight="1" thickBot="1" x14ac:dyDescent="0.2">
      <c r="B2" s="5" t="s">
        <v>219</v>
      </c>
      <c r="C2" s="5"/>
      <c r="D2" s="5"/>
      <c r="E2" s="31"/>
      <c r="F2" s="643"/>
      <c r="G2" s="644"/>
      <c r="H2" s="258" t="s">
        <v>193</v>
      </c>
      <c r="I2" s="231" t="s">
        <v>475</v>
      </c>
      <c r="J2" s="231"/>
      <c r="K2" s="258" t="s">
        <v>194</v>
      </c>
      <c r="L2" s="231" t="s">
        <v>276</v>
      </c>
      <c r="M2" s="32"/>
      <c r="P2" s="256"/>
    </row>
    <row r="3" spans="2:16" ht="20.100000000000001" customHeight="1" x14ac:dyDescent="0.15">
      <c r="B3" s="645" t="s">
        <v>71</v>
      </c>
      <c r="C3" s="638" t="s">
        <v>34</v>
      </c>
      <c r="D3" s="638" t="s">
        <v>101</v>
      </c>
      <c r="E3" s="647" t="s">
        <v>35</v>
      </c>
      <c r="F3" s="648"/>
      <c r="G3" s="257" t="s">
        <v>36</v>
      </c>
      <c r="H3" s="257" t="s">
        <v>103</v>
      </c>
      <c r="I3" s="257" t="s">
        <v>102</v>
      </c>
      <c r="J3" s="638" t="s">
        <v>77</v>
      </c>
      <c r="K3" s="33" t="s">
        <v>220</v>
      </c>
      <c r="L3" s="257" t="s">
        <v>37</v>
      </c>
      <c r="M3" s="257" t="s">
        <v>104</v>
      </c>
      <c r="N3" s="257" t="s">
        <v>38</v>
      </c>
      <c r="O3" s="257" t="s">
        <v>39</v>
      </c>
      <c r="P3" s="300" t="s">
        <v>40</v>
      </c>
    </row>
    <row r="4" spans="2:16" ht="20.100000000000001" customHeight="1" x14ac:dyDescent="0.15">
      <c r="B4" s="646"/>
      <c r="C4" s="639"/>
      <c r="D4" s="639"/>
      <c r="E4" s="6" t="s">
        <v>78</v>
      </c>
      <c r="F4" s="6" t="s">
        <v>7</v>
      </c>
      <c r="G4" s="7" t="s">
        <v>221</v>
      </c>
      <c r="H4" s="7" t="s">
        <v>222</v>
      </c>
      <c r="I4" s="7" t="s">
        <v>106</v>
      </c>
      <c r="J4" s="639"/>
      <c r="K4" s="8" t="s">
        <v>223</v>
      </c>
      <c r="L4" s="7" t="s">
        <v>538</v>
      </c>
      <c r="M4" s="7" t="s">
        <v>224</v>
      </c>
      <c r="N4" s="7" t="s">
        <v>539</v>
      </c>
      <c r="O4" s="7" t="s">
        <v>225</v>
      </c>
      <c r="P4" s="301" t="s">
        <v>540</v>
      </c>
    </row>
    <row r="5" spans="2:16" ht="20.100000000000001" customHeight="1" x14ac:dyDescent="0.15">
      <c r="B5" s="640" t="s">
        <v>148</v>
      </c>
      <c r="C5" s="355" t="s">
        <v>211</v>
      </c>
      <c r="D5" s="355" t="s">
        <v>508</v>
      </c>
      <c r="E5" s="259">
        <v>50</v>
      </c>
      <c r="F5" s="34" t="s">
        <v>212</v>
      </c>
      <c r="G5" s="259">
        <f>43200*E5</f>
        <v>2160000</v>
      </c>
      <c r="H5" s="260">
        <v>0</v>
      </c>
      <c r="I5" s="259">
        <f>G5*(1-H5)</f>
        <v>2160000</v>
      </c>
      <c r="J5" s="259" t="s">
        <v>437</v>
      </c>
      <c r="K5" s="261">
        <f>10/40</f>
        <v>0.25</v>
      </c>
      <c r="L5" s="28">
        <f>I5*K5</f>
        <v>540000</v>
      </c>
      <c r="M5" s="37">
        <v>0</v>
      </c>
      <c r="N5" s="28">
        <f t="shared" ref="N5:N11" si="0">L5*M5/100</f>
        <v>0</v>
      </c>
      <c r="O5" s="28">
        <v>24</v>
      </c>
      <c r="P5" s="142">
        <f>IF(O5="","",(L5-N5)/O5)</f>
        <v>22500</v>
      </c>
    </row>
    <row r="6" spans="2:16" ht="20.100000000000001" customHeight="1" x14ac:dyDescent="0.15">
      <c r="B6" s="641"/>
      <c r="C6" s="355" t="s">
        <v>213</v>
      </c>
      <c r="D6" s="355" t="s">
        <v>214</v>
      </c>
      <c r="E6" s="259">
        <v>50</v>
      </c>
      <c r="F6" s="34" t="s">
        <v>212</v>
      </c>
      <c r="G6" s="259">
        <f>43200*E6</f>
        <v>2160000</v>
      </c>
      <c r="H6" s="260">
        <v>0</v>
      </c>
      <c r="I6" s="259">
        <f t="shared" ref="I6:I7" si="1">G6*(1-H6)</f>
        <v>2160000</v>
      </c>
      <c r="J6" s="259" t="s">
        <v>437</v>
      </c>
      <c r="K6" s="261">
        <f t="shared" ref="K6:K17" si="2">10/40</f>
        <v>0.25</v>
      </c>
      <c r="L6" s="28">
        <f t="shared" ref="L6:L7" si="3">I6*K6</f>
        <v>540000</v>
      </c>
      <c r="M6" s="37">
        <v>0</v>
      </c>
      <c r="N6" s="28">
        <f t="shared" si="0"/>
        <v>0</v>
      </c>
      <c r="O6" s="28">
        <v>24</v>
      </c>
      <c r="P6" s="142">
        <f t="shared" ref="P6:P11" si="4">IF(O6="","",(L6-N6)/O6)</f>
        <v>22500</v>
      </c>
    </row>
    <row r="7" spans="2:16" ht="20.100000000000001" customHeight="1" x14ac:dyDescent="0.15">
      <c r="B7" s="641"/>
      <c r="C7" s="355" t="s">
        <v>386</v>
      </c>
      <c r="D7" s="356" t="s">
        <v>390</v>
      </c>
      <c r="E7" s="259">
        <v>4000</v>
      </c>
      <c r="F7" s="34" t="s">
        <v>212</v>
      </c>
      <c r="G7" s="259">
        <v>24000000</v>
      </c>
      <c r="H7" s="260">
        <v>0</v>
      </c>
      <c r="I7" s="259">
        <f t="shared" si="1"/>
        <v>24000000</v>
      </c>
      <c r="J7" s="259" t="s">
        <v>437</v>
      </c>
      <c r="K7" s="261">
        <f t="shared" si="2"/>
        <v>0.25</v>
      </c>
      <c r="L7" s="28">
        <f t="shared" si="3"/>
        <v>6000000</v>
      </c>
      <c r="M7" s="37">
        <v>0</v>
      </c>
      <c r="N7" s="28">
        <f t="shared" si="0"/>
        <v>0</v>
      </c>
      <c r="O7" s="28">
        <v>10</v>
      </c>
      <c r="P7" s="142">
        <f t="shared" si="4"/>
        <v>600000</v>
      </c>
    </row>
    <row r="8" spans="2:16" ht="20.100000000000001" customHeight="1" x14ac:dyDescent="0.15">
      <c r="B8" s="641"/>
      <c r="C8" s="355" t="s">
        <v>387</v>
      </c>
      <c r="D8" s="356" t="s">
        <v>391</v>
      </c>
      <c r="E8" s="262">
        <v>1200</v>
      </c>
      <c r="F8" s="34" t="s">
        <v>212</v>
      </c>
      <c r="G8" s="259">
        <v>7200000</v>
      </c>
      <c r="H8" s="260">
        <v>0</v>
      </c>
      <c r="I8" s="259">
        <f t="shared" ref="I8:I11" si="5">G8*(1-H8)</f>
        <v>7200000</v>
      </c>
      <c r="J8" s="259" t="s">
        <v>437</v>
      </c>
      <c r="K8" s="261">
        <f t="shared" si="2"/>
        <v>0.25</v>
      </c>
      <c r="L8" s="28">
        <f t="shared" ref="L8:L11" si="6">I8*K8</f>
        <v>1800000</v>
      </c>
      <c r="M8" s="37">
        <v>0</v>
      </c>
      <c r="N8" s="28">
        <f t="shared" si="0"/>
        <v>0</v>
      </c>
      <c r="O8" s="28">
        <v>10</v>
      </c>
      <c r="P8" s="142">
        <f t="shared" si="4"/>
        <v>180000</v>
      </c>
    </row>
    <row r="9" spans="2:16" ht="20.100000000000001" customHeight="1" x14ac:dyDescent="0.15">
      <c r="B9" s="641"/>
      <c r="C9" s="355" t="s">
        <v>388</v>
      </c>
      <c r="D9" s="355" t="s">
        <v>491</v>
      </c>
      <c r="E9" s="262">
        <v>1200</v>
      </c>
      <c r="F9" s="34" t="s">
        <v>212</v>
      </c>
      <c r="G9" s="259">
        <v>2400000</v>
      </c>
      <c r="H9" s="260">
        <v>0</v>
      </c>
      <c r="I9" s="259">
        <f t="shared" ref="I9:I10" si="7">G9*(1-H9)</f>
        <v>2400000</v>
      </c>
      <c r="J9" s="259" t="s">
        <v>437</v>
      </c>
      <c r="K9" s="261">
        <f t="shared" si="2"/>
        <v>0.25</v>
      </c>
      <c r="L9" s="28">
        <f t="shared" ref="L9:L10" si="8">I9*K9</f>
        <v>600000</v>
      </c>
      <c r="M9" s="37">
        <v>0</v>
      </c>
      <c r="N9" s="28">
        <f t="shared" ref="N9:N10" si="9">L9*M9/100</f>
        <v>0</v>
      </c>
      <c r="O9" s="28">
        <v>7</v>
      </c>
      <c r="P9" s="142">
        <f t="shared" ref="P9:P10" si="10">IF(O9="","",(L9-N9)/O9)</f>
        <v>85714.28571428571</v>
      </c>
    </row>
    <row r="10" spans="2:16" ht="20.100000000000001" customHeight="1" x14ac:dyDescent="0.15">
      <c r="B10" s="641"/>
      <c r="C10" s="355" t="s">
        <v>389</v>
      </c>
      <c r="D10" s="355" t="s">
        <v>393</v>
      </c>
      <c r="E10" s="262">
        <v>4000</v>
      </c>
      <c r="F10" s="34" t="s">
        <v>212</v>
      </c>
      <c r="G10" s="259">
        <v>7000000</v>
      </c>
      <c r="H10" s="260">
        <v>0</v>
      </c>
      <c r="I10" s="259">
        <f t="shared" si="7"/>
        <v>7000000</v>
      </c>
      <c r="J10" s="259" t="s">
        <v>437</v>
      </c>
      <c r="K10" s="261">
        <f t="shared" si="2"/>
        <v>0.25</v>
      </c>
      <c r="L10" s="28">
        <f t="shared" si="8"/>
        <v>1750000</v>
      </c>
      <c r="M10" s="37">
        <v>0</v>
      </c>
      <c r="N10" s="28">
        <f t="shared" si="9"/>
        <v>0</v>
      </c>
      <c r="O10" s="28">
        <v>10</v>
      </c>
      <c r="P10" s="142">
        <f t="shared" si="10"/>
        <v>175000</v>
      </c>
    </row>
    <row r="11" spans="2:16" ht="20.100000000000001" customHeight="1" x14ac:dyDescent="0.15">
      <c r="B11" s="641"/>
      <c r="C11" s="42" t="s">
        <v>392</v>
      </c>
      <c r="D11" s="42" t="s">
        <v>394</v>
      </c>
      <c r="E11" s="28">
        <v>4000</v>
      </c>
      <c r="F11" s="34" t="s">
        <v>212</v>
      </c>
      <c r="G11" s="28">
        <v>600000</v>
      </c>
      <c r="H11" s="37">
        <v>0</v>
      </c>
      <c r="I11" s="28">
        <f t="shared" si="5"/>
        <v>600000</v>
      </c>
      <c r="J11" s="259" t="s">
        <v>437</v>
      </c>
      <c r="K11" s="36">
        <f t="shared" si="2"/>
        <v>0.25</v>
      </c>
      <c r="L11" s="28">
        <f t="shared" si="6"/>
        <v>150000</v>
      </c>
      <c r="M11" s="37">
        <v>0</v>
      </c>
      <c r="N11" s="28">
        <f t="shared" si="0"/>
        <v>0</v>
      </c>
      <c r="O11" s="28">
        <v>10</v>
      </c>
      <c r="P11" s="142">
        <f t="shared" si="4"/>
        <v>15000</v>
      </c>
    </row>
    <row r="12" spans="2:16" ht="20.100000000000001" customHeight="1" x14ac:dyDescent="0.15">
      <c r="B12" s="642"/>
      <c r="C12" s="324" t="s">
        <v>41</v>
      </c>
      <c r="D12" s="325"/>
      <c r="E12" s="38"/>
      <c r="F12" s="39"/>
      <c r="G12" s="38">
        <f>SUM(G5:G11)</f>
        <v>45520000</v>
      </c>
      <c r="H12" s="38"/>
      <c r="I12" s="38">
        <f>SUM(I5:I11)</f>
        <v>45520000</v>
      </c>
      <c r="J12" s="38"/>
      <c r="K12" s="40"/>
      <c r="L12" s="38">
        <f>SUM(L5:L11)</f>
        <v>11380000</v>
      </c>
      <c r="M12" s="38"/>
      <c r="N12" s="38"/>
      <c r="O12" s="38"/>
      <c r="P12" s="302">
        <f>SUM(P5:P11)</f>
        <v>1100714.2857142857</v>
      </c>
    </row>
    <row r="13" spans="2:16" ht="20.100000000000001" customHeight="1" x14ac:dyDescent="0.15">
      <c r="B13" s="640" t="s">
        <v>149</v>
      </c>
      <c r="C13" s="355" t="s">
        <v>217</v>
      </c>
      <c r="D13" s="355" t="s">
        <v>218</v>
      </c>
      <c r="E13" s="259">
        <v>1</v>
      </c>
      <c r="F13" s="34" t="s">
        <v>44</v>
      </c>
      <c r="G13" s="259">
        <v>920000</v>
      </c>
      <c r="H13" s="260">
        <v>0</v>
      </c>
      <c r="I13" s="259">
        <f t="shared" ref="I13" si="11">G13*(1-H13)</f>
        <v>920000</v>
      </c>
      <c r="J13" s="259" t="s">
        <v>436</v>
      </c>
      <c r="K13" s="261">
        <f t="shared" si="2"/>
        <v>0.25</v>
      </c>
      <c r="L13" s="259">
        <f t="shared" ref="L13" si="12">I13*K13</f>
        <v>230000</v>
      </c>
      <c r="M13" s="41">
        <v>0</v>
      </c>
      <c r="N13" s="28">
        <f t="shared" ref="N13" si="13">L13*M13</f>
        <v>0</v>
      </c>
      <c r="O13" s="28">
        <v>4</v>
      </c>
      <c r="P13" s="142">
        <f t="shared" ref="P13" si="14">IF(O13="","",(L13-N13)/O13)</f>
        <v>57500</v>
      </c>
    </row>
    <row r="14" spans="2:16" ht="20.100000000000001" customHeight="1" x14ac:dyDescent="0.15">
      <c r="B14" s="641"/>
      <c r="C14" s="355" t="s">
        <v>215</v>
      </c>
      <c r="D14" s="355" t="s">
        <v>216</v>
      </c>
      <c r="E14" s="259">
        <v>1</v>
      </c>
      <c r="F14" s="34" t="s">
        <v>44</v>
      </c>
      <c r="G14" s="259">
        <v>300000</v>
      </c>
      <c r="H14" s="260">
        <v>0</v>
      </c>
      <c r="I14" s="259">
        <f>G14*(1-H14)</f>
        <v>300000</v>
      </c>
      <c r="J14" s="259" t="s">
        <v>436</v>
      </c>
      <c r="K14" s="261">
        <f t="shared" si="2"/>
        <v>0.25</v>
      </c>
      <c r="L14" s="259">
        <f t="shared" ref="L14:L37" si="15">I14*K14</f>
        <v>75000</v>
      </c>
      <c r="M14" s="41">
        <v>0</v>
      </c>
      <c r="N14" s="28">
        <f t="shared" ref="N14:N37" si="16">L14*M14</f>
        <v>0</v>
      </c>
      <c r="O14" s="42">
        <v>7</v>
      </c>
      <c r="P14" s="142">
        <f t="shared" ref="P14:P37" si="17">IF(O14="","",(L14-N14)/O14)</f>
        <v>10714.285714285714</v>
      </c>
    </row>
    <row r="15" spans="2:16" ht="20.100000000000001" customHeight="1" x14ac:dyDescent="0.15">
      <c r="B15" s="641"/>
      <c r="C15" s="355" t="s">
        <v>395</v>
      </c>
      <c r="D15" s="355" t="s">
        <v>396</v>
      </c>
      <c r="E15" s="259">
        <v>4</v>
      </c>
      <c r="F15" s="34" t="s">
        <v>44</v>
      </c>
      <c r="G15" s="259">
        <v>4000000</v>
      </c>
      <c r="H15" s="260">
        <v>0</v>
      </c>
      <c r="I15" s="259">
        <f t="shared" ref="I15:I16" si="18">G15*(1-H15)</f>
        <v>4000000</v>
      </c>
      <c r="J15" s="259" t="s">
        <v>436</v>
      </c>
      <c r="K15" s="261">
        <f t="shared" si="2"/>
        <v>0.25</v>
      </c>
      <c r="L15" s="259">
        <f t="shared" si="15"/>
        <v>1000000</v>
      </c>
      <c r="M15" s="41">
        <v>0</v>
      </c>
      <c r="N15" s="28">
        <f t="shared" ref="N15:N16" si="19">L15*M15</f>
        <v>0</v>
      </c>
      <c r="O15" s="28">
        <v>7</v>
      </c>
      <c r="P15" s="142">
        <f t="shared" ref="P15:P16" si="20">IF(O15="","",(L15-N15)/O15)</f>
        <v>142857.14285714287</v>
      </c>
    </row>
    <row r="16" spans="2:16" ht="20.100000000000001" customHeight="1" x14ac:dyDescent="0.15">
      <c r="B16" s="641"/>
      <c r="C16" s="356" t="s">
        <v>397</v>
      </c>
      <c r="D16" s="356" t="s">
        <v>398</v>
      </c>
      <c r="E16" s="259">
        <v>1</v>
      </c>
      <c r="F16" s="269" t="s">
        <v>231</v>
      </c>
      <c r="G16" s="259">
        <v>3000000</v>
      </c>
      <c r="H16" s="260">
        <v>0</v>
      </c>
      <c r="I16" s="259">
        <f t="shared" si="18"/>
        <v>3000000</v>
      </c>
      <c r="J16" s="259" t="s">
        <v>436</v>
      </c>
      <c r="K16" s="261">
        <f t="shared" si="2"/>
        <v>0.25</v>
      </c>
      <c r="L16" s="259">
        <f t="shared" si="15"/>
        <v>750000</v>
      </c>
      <c r="M16" s="41">
        <v>0</v>
      </c>
      <c r="N16" s="28">
        <f t="shared" si="19"/>
        <v>0</v>
      </c>
      <c r="O16" s="28">
        <v>7</v>
      </c>
      <c r="P16" s="142">
        <f t="shared" si="20"/>
        <v>107142.85714285714</v>
      </c>
    </row>
    <row r="17" spans="2:16" ht="20.100000000000001" customHeight="1" x14ac:dyDescent="0.15">
      <c r="B17" s="641"/>
      <c r="C17" s="355" t="s">
        <v>399</v>
      </c>
      <c r="D17" s="355" t="s">
        <v>400</v>
      </c>
      <c r="E17" s="259">
        <v>1</v>
      </c>
      <c r="F17" s="269" t="s">
        <v>79</v>
      </c>
      <c r="G17" s="310">
        <v>1000000</v>
      </c>
      <c r="H17" s="260">
        <v>0</v>
      </c>
      <c r="I17" s="259">
        <f t="shared" ref="I17:I42" si="21">G17*(1-H17)</f>
        <v>1000000</v>
      </c>
      <c r="J17" s="259" t="s">
        <v>436</v>
      </c>
      <c r="K17" s="261">
        <f t="shared" si="2"/>
        <v>0.25</v>
      </c>
      <c r="L17" s="259">
        <f t="shared" si="15"/>
        <v>250000</v>
      </c>
      <c r="M17" s="41">
        <v>0</v>
      </c>
      <c r="N17" s="28">
        <f t="shared" si="16"/>
        <v>0</v>
      </c>
      <c r="O17" s="354">
        <v>7</v>
      </c>
      <c r="P17" s="142">
        <f>IF(O17="","",(L17-N17)/O17)</f>
        <v>35714.285714285717</v>
      </c>
    </row>
    <row r="18" spans="2:16" ht="20.100000000000001" customHeight="1" x14ac:dyDescent="0.15">
      <c r="B18" s="641"/>
      <c r="C18" s="355"/>
      <c r="D18" s="355"/>
      <c r="E18" s="259"/>
      <c r="F18" s="34"/>
      <c r="G18" s="259"/>
      <c r="H18" s="260"/>
      <c r="I18" s="428">
        <f t="shared" ref="I18" si="22">G18*(1-H18)</f>
        <v>0</v>
      </c>
      <c r="J18" s="259"/>
      <c r="K18" s="261"/>
      <c r="L18" s="428">
        <f t="shared" si="15"/>
        <v>0</v>
      </c>
      <c r="M18" s="37"/>
      <c r="N18" s="429">
        <f t="shared" si="16"/>
        <v>0</v>
      </c>
      <c r="O18" s="28"/>
      <c r="P18" s="142" t="str">
        <f t="shared" si="17"/>
        <v/>
      </c>
    </row>
    <row r="19" spans="2:16" ht="20.100000000000001" customHeight="1" x14ac:dyDescent="0.15">
      <c r="B19" s="641"/>
      <c r="C19" s="259"/>
      <c r="D19" s="259"/>
      <c r="E19" s="259"/>
      <c r="F19" s="34"/>
      <c r="G19" s="259"/>
      <c r="H19" s="260"/>
      <c r="I19" s="428">
        <f t="shared" ref="I19:I20" si="23">G19*(1-H19)</f>
        <v>0</v>
      </c>
      <c r="J19" s="259"/>
      <c r="K19" s="261"/>
      <c r="L19" s="428">
        <f t="shared" si="15"/>
        <v>0</v>
      </c>
      <c r="M19" s="37"/>
      <c r="N19" s="429">
        <f t="shared" si="16"/>
        <v>0</v>
      </c>
      <c r="O19" s="28"/>
      <c r="P19" s="142" t="str">
        <f t="shared" si="17"/>
        <v/>
      </c>
    </row>
    <row r="20" spans="2:16" ht="20.100000000000001" customHeight="1" x14ac:dyDescent="0.15">
      <c r="B20" s="641"/>
      <c r="C20" s="259"/>
      <c r="D20" s="259"/>
      <c r="E20" s="259"/>
      <c r="F20" s="34"/>
      <c r="G20" s="259"/>
      <c r="H20" s="260"/>
      <c r="I20" s="428">
        <f t="shared" si="23"/>
        <v>0</v>
      </c>
      <c r="J20" s="259"/>
      <c r="K20" s="261"/>
      <c r="L20" s="428">
        <f t="shared" si="15"/>
        <v>0</v>
      </c>
      <c r="M20" s="37"/>
      <c r="N20" s="429">
        <f t="shared" si="16"/>
        <v>0</v>
      </c>
      <c r="O20" s="28"/>
      <c r="P20" s="142" t="str">
        <f t="shared" si="17"/>
        <v/>
      </c>
    </row>
    <row r="21" spans="2:16" ht="20.100000000000001" customHeight="1" x14ac:dyDescent="0.15">
      <c r="B21" s="641"/>
      <c r="C21" s="259"/>
      <c r="D21" s="259"/>
      <c r="E21" s="259"/>
      <c r="F21" s="34"/>
      <c r="G21" s="259"/>
      <c r="H21" s="260"/>
      <c r="I21" s="428">
        <f t="shared" si="21"/>
        <v>0</v>
      </c>
      <c r="J21" s="259"/>
      <c r="K21" s="261"/>
      <c r="L21" s="428">
        <f t="shared" si="15"/>
        <v>0</v>
      </c>
      <c r="M21" s="37"/>
      <c r="N21" s="429">
        <f t="shared" si="16"/>
        <v>0</v>
      </c>
      <c r="O21" s="28"/>
      <c r="P21" s="142" t="str">
        <f t="shared" si="17"/>
        <v/>
      </c>
    </row>
    <row r="22" spans="2:16" ht="20.100000000000001" customHeight="1" x14ac:dyDescent="0.15">
      <c r="B22" s="641"/>
      <c r="C22" s="259"/>
      <c r="D22" s="259"/>
      <c r="E22" s="259"/>
      <c r="F22" s="34"/>
      <c r="G22" s="259"/>
      <c r="H22" s="260"/>
      <c r="I22" s="428">
        <f t="shared" si="21"/>
        <v>0</v>
      </c>
      <c r="J22" s="259"/>
      <c r="K22" s="261"/>
      <c r="L22" s="428">
        <f t="shared" si="15"/>
        <v>0</v>
      </c>
      <c r="M22" s="37"/>
      <c r="N22" s="429">
        <f t="shared" si="16"/>
        <v>0</v>
      </c>
      <c r="O22" s="28"/>
      <c r="P22" s="142" t="str">
        <f t="shared" si="17"/>
        <v/>
      </c>
    </row>
    <row r="23" spans="2:16" ht="20.100000000000001" customHeight="1" x14ac:dyDescent="0.15">
      <c r="B23" s="641"/>
      <c r="C23" s="259"/>
      <c r="D23" s="259"/>
      <c r="E23" s="259"/>
      <c r="F23" s="34"/>
      <c r="G23" s="259"/>
      <c r="H23" s="260"/>
      <c r="I23" s="428">
        <f t="shared" ref="I23" si="24">G23*(1-H23)</f>
        <v>0</v>
      </c>
      <c r="J23" s="259"/>
      <c r="K23" s="261"/>
      <c r="L23" s="428">
        <f t="shared" si="15"/>
        <v>0</v>
      </c>
      <c r="M23" s="37"/>
      <c r="N23" s="429">
        <f t="shared" si="16"/>
        <v>0</v>
      </c>
      <c r="O23" s="28"/>
      <c r="P23" s="142" t="str">
        <f t="shared" si="17"/>
        <v/>
      </c>
    </row>
    <row r="24" spans="2:16" ht="20.100000000000001" customHeight="1" x14ac:dyDescent="0.15">
      <c r="B24" s="641"/>
      <c r="C24" s="259"/>
      <c r="D24" s="259"/>
      <c r="E24" s="259"/>
      <c r="F24" s="34"/>
      <c r="G24" s="259"/>
      <c r="H24" s="260"/>
      <c r="I24" s="428">
        <f t="shared" si="21"/>
        <v>0</v>
      </c>
      <c r="J24" s="259"/>
      <c r="K24" s="261"/>
      <c r="L24" s="428">
        <f t="shared" si="15"/>
        <v>0</v>
      </c>
      <c r="M24" s="37"/>
      <c r="N24" s="429">
        <f t="shared" si="16"/>
        <v>0</v>
      </c>
      <c r="O24" s="28"/>
      <c r="P24" s="142" t="str">
        <f t="shared" si="17"/>
        <v/>
      </c>
    </row>
    <row r="25" spans="2:16" ht="20.100000000000001" customHeight="1" x14ac:dyDescent="0.15">
      <c r="B25" s="641"/>
      <c r="C25" s="259"/>
      <c r="D25" s="259"/>
      <c r="E25" s="259"/>
      <c r="F25" s="34"/>
      <c r="G25" s="259"/>
      <c r="H25" s="260"/>
      <c r="I25" s="428">
        <f t="shared" si="21"/>
        <v>0</v>
      </c>
      <c r="J25" s="259"/>
      <c r="K25" s="261"/>
      <c r="L25" s="428">
        <f t="shared" si="15"/>
        <v>0</v>
      </c>
      <c r="M25" s="37"/>
      <c r="N25" s="429">
        <f t="shared" si="16"/>
        <v>0</v>
      </c>
      <c r="O25" s="28"/>
      <c r="P25" s="142" t="str">
        <f t="shared" si="17"/>
        <v/>
      </c>
    </row>
    <row r="26" spans="2:16" ht="20.100000000000001" customHeight="1" x14ac:dyDescent="0.15">
      <c r="B26" s="641"/>
      <c r="C26" s="259"/>
      <c r="D26" s="259"/>
      <c r="E26" s="259"/>
      <c r="F26" s="34"/>
      <c r="G26" s="259"/>
      <c r="H26" s="260"/>
      <c r="I26" s="428">
        <f t="shared" si="21"/>
        <v>0</v>
      </c>
      <c r="J26" s="259"/>
      <c r="K26" s="261"/>
      <c r="L26" s="428">
        <f t="shared" si="15"/>
        <v>0</v>
      </c>
      <c r="M26" s="37"/>
      <c r="N26" s="429">
        <f t="shared" ref="N26:N27" si="25">L26*M26</f>
        <v>0</v>
      </c>
      <c r="O26" s="28"/>
      <c r="P26" s="142" t="str">
        <f t="shared" ref="P26:P27" si="26">IF(O26="","",(L26-N26)/O26)</f>
        <v/>
      </c>
    </row>
    <row r="27" spans="2:16" ht="20.100000000000001" customHeight="1" x14ac:dyDescent="0.15">
      <c r="B27" s="641"/>
      <c r="C27" s="259"/>
      <c r="D27" s="259"/>
      <c r="E27" s="259"/>
      <c r="F27" s="34"/>
      <c r="G27" s="259"/>
      <c r="H27" s="260"/>
      <c r="I27" s="428">
        <f t="shared" si="21"/>
        <v>0</v>
      </c>
      <c r="J27" s="259"/>
      <c r="K27" s="261"/>
      <c r="L27" s="428">
        <f t="shared" si="15"/>
        <v>0</v>
      </c>
      <c r="M27" s="37"/>
      <c r="N27" s="429">
        <f t="shared" si="25"/>
        <v>0</v>
      </c>
      <c r="O27" s="28"/>
      <c r="P27" s="142" t="str">
        <f t="shared" si="26"/>
        <v/>
      </c>
    </row>
    <row r="28" spans="2:16" ht="20.100000000000001" customHeight="1" x14ac:dyDescent="0.15">
      <c r="B28" s="641"/>
      <c r="C28" s="259"/>
      <c r="D28" s="259"/>
      <c r="E28" s="259"/>
      <c r="F28" s="34"/>
      <c r="G28" s="259"/>
      <c r="H28" s="260"/>
      <c r="I28" s="428">
        <f t="shared" si="21"/>
        <v>0</v>
      </c>
      <c r="J28" s="259"/>
      <c r="K28" s="261"/>
      <c r="L28" s="428">
        <f t="shared" si="15"/>
        <v>0</v>
      </c>
      <c r="M28" s="37"/>
      <c r="N28" s="429">
        <f t="shared" si="16"/>
        <v>0</v>
      </c>
      <c r="O28" s="28"/>
      <c r="P28" s="142" t="str">
        <f t="shared" si="17"/>
        <v/>
      </c>
    </row>
    <row r="29" spans="2:16" ht="20.100000000000001" customHeight="1" x14ac:dyDescent="0.15">
      <c r="B29" s="641"/>
      <c r="C29" s="259"/>
      <c r="D29" s="259"/>
      <c r="E29" s="259"/>
      <c r="F29" s="34"/>
      <c r="G29" s="259"/>
      <c r="H29" s="260"/>
      <c r="I29" s="428">
        <f t="shared" si="21"/>
        <v>0</v>
      </c>
      <c r="J29" s="259"/>
      <c r="K29" s="261"/>
      <c r="L29" s="428">
        <f t="shared" si="15"/>
        <v>0</v>
      </c>
      <c r="M29" s="37"/>
      <c r="N29" s="429">
        <f t="shared" si="16"/>
        <v>0</v>
      </c>
      <c r="O29" s="28"/>
      <c r="P29" s="142" t="str">
        <f t="shared" si="17"/>
        <v/>
      </c>
    </row>
    <row r="30" spans="2:16" ht="20.100000000000001" customHeight="1" x14ac:dyDescent="0.15">
      <c r="B30" s="641"/>
      <c r="C30" s="259"/>
      <c r="D30" s="259"/>
      <c r="E30" s="263"/>
      <c r="F30" s="34"/>
      <c r="G30" s="259"/>
      <c r="H30" s="260"/>
      <c r="I30" s="428">
        <f t="shared" si="21"/>
        <v>0</v>
      </c>
      <c r="J30" s="259"/>
      <c r="K30" s="261"/>
      <c r="L30" s="428">
        <f t="shared" si="15"/>
        <v>0</v>
      </c>
      <c r="M30" s="37"/>
      <c r="N30" s="429">
        <f t="shared" si="16"/>
        <v>0</v>
      </c>
      <c r="O30" s="28"/>
      <c r="P30" s="142" t="str">
        <f t="shared" si="17"/>
        <v/>
      </c>
    </row>
    <row r="31" spans="2:16" ht="20.100000000000001" customHeight="1" x14ac:dyDescent="0.15">
      <c r="B31" s="641"/>
      <c r="C31" s="259"/>
      <c r="D31" s="259"/>
      <c r="E31" s="259"/>
      <c r="F31" s="34"/>
      <c r="G31" s="259"/>
      <c r="H31" s="260"/>
      <c r="I31" s="428">
        <f t="shared" si="21"/>
        <v>0</v>
      </c>
      <c r="J31" s="259"/>
      <c r="K31" s="261"/>
      <c r="L31" s="428">
        <f t="shared" si="15"/>
        <v>0</v>
      </c>
      <c r="M31" s="37"/>
      <c r="N31" s="429">
        <f t="shared" si="16"/>
        <v>0</v>
      </c>
      <c r="O31" s="28"/>
      <c r="P31" s="142" t="str">
        <f t="shared" si="17"/>
        <v/>
      </c>
    </row>
    <row r="32" spans="2:16" ht="20.100000000000001" customHeight="1" x14ac:dyDescent="0.15">
      <c r="B32" s="641"/>
      <c r="C32" s="259"/>
      <c r="D32" s="259"/>
      <c r="E32" s="259"/>
      <c r="F32" s="34"/>
      <c r="G32" s="259"/>
      <c r="H32" s="260"/>
      <c r="I32" s="428">
        <f t="shared" si="21"/>
        <v>0</v>
      </c>
      <c r="J32" s="259"/>
      <c r="K32" s="261"/>
      <c r="L32" s="428">
        <f t="shared" si="15"/>
        <v>0</v>
      </c>
      <c r="M32" s="37"/>
      <c r="N32" s="429">
        <f t="shared" si="16"/>
        <v>0</v>
      </c>
      <c r="O32" s="28"/>
      <c r="P32" s="142" t="str">
        <f t="shared" si="17"/>
        <v/>
      </c>
    </row>
    <row r="33" spans="2:16" ht="20.100000000000001" customHeight="1" x14ac:dyDescent="0.15">
      <c r="B33" s="641"/>
      <c r="C33" s="259"/>
      <c r="D33" s="259"/>
      <c r="E33" s="259"/>
      <c r="F33" s="34"/>
      <c r="G33" s="259"/>
      <c r="H33" s="260"/>
      <c r="I33" s="428">
        <f t="shared" si="21"/>
        <v>0</v>
      </c>
      <c r="J33" s="259"/>
      <c r="K33" s="261"/>
      <c r="L33" s="428">
        <f t="shared" si="15"/>
        <v>0</v>
      </c>
      <c r="M33" s="37"/>
      <c r="N33" s="429">
        <f t="shared" si="16"/>
        <v>0</v>
      </c>
      <c r="O33" s="28"/>
      <c r="P33" s="142" t="str">
        <f t="shared" si="17"/>
        <v/>
      </c>
    </row>
    <row r="34" spans="2:16" ht="20.100000000000001" customHeight="1" x14ac:dyDescent="0.15">
      <c r="B34" s="641"/>
      <c r="C34" s="259"/>
      <c r="D34" s="259"/>
      <c r="E34" s="259"/>
      <c r="F34" s="34"/>
      <c r="G34" s="259"/>
      <c r="H34" s="260"/>
      <c r="I34" s="428">
        <f t="shared" si="21"/>
        <v>0</v>
      </c>
      <c r="J34" s="259"/>
      <c r="K34" s="261"/>
      <c r="L34" s="428">
        <f t="shared" si="15"/>
        <v>0</v>
      </c>
      <c r="M34" s="37"/>
      <c r="N34" s="429">
        <f t="shared" si="16"/>
        <v>0</v>
      </c>
      <c r="O34" s="28"/>
      <c r="P34" s="142" t="str">
        <f t="shared" si="17"/>
        <v/>
      </c>
    </row>
    <row r="35" spans="2:16" ht="20.100000000000001" customHeight="1" x14ac:dyDescent="0.15">
      <c r="B35" s="641"/>
      <c r="C35" s="259"/>
      <c r="D35" s="259"/>
      <c r="E35" s="259"/>
      <c r="F35" s="34"/>
      <c r="G35" s="259"/>
      <c r="H35" s="260"/>
      <c r="I35" s="428">
        <f t="shared" si="21"/>
        <v>0</v>
      </c>
      <c r="J35" s="259"/>
      <c r="K35" s="261"/>
      <c r="L35" s="428">
        <f t="shared" si="15"/>
        <v>0</v>
      </c>
      <c r="M35" s="37"/>
      <c r="N35" s="429">
        <f t="shared" si="16"/>
        <v>0</v>
      </c>
      <c r="O35" s="28"/>
      <c r="P35" s="142" t="str">
        <f t="shared" si="17"/>
        <v/>
      </c>
    </row>
    <row r="36" spans="2:16" ht="20.100000000000001" customHeight="1" x14ac:dyDescent="0.15">
      <c r="B36" s="641"/>
      <c r="C36" s="259"/>
      <c r="D36" s="259"/>
      <c r="E36" s="259"/>
      <c r="F36" s="34"/>
      <c r="G36" s="259"/>
      <c r="H36" s="260"/>
      <c r="I36" s="428">
        <f t="shared" ref="I36" si="27">G36*(1-H36)</f>
        <v>0</v>
      </c>
      <c r="J36" s="259"/>
      <c r="K36" s="261"/>
      <c r="L36" s="428">
        <f t="shared" si="15"/>
        <v>0</v>
      </c>
      <c r="M36" s="37"/>
      <c r="N36" s="429">
        <f t="shared" ref="N36" si="28">L36*M36</f>
        <v>0</v>
      </c>
      <c r="O36" s="28"/>
      <c r="P36" s="142" t="str">
        <f t="shared" ref="P36" si="29">IF(O36="","",(L36-N36)/O36)</f>
        <v/>
      </c>
    </row>
    <row r="37" spans="2:16" ht="20.100000000000001" customHeight="1" x14ac:dyDescent="0.15">
      <c r="B37" s="641"/>
      <c r="C37" s="259"/>
      <c r="D37" s="259"/>
      <c r="E37" s="259"/>
      <c r="F37" s="34"/>
      <c r="G37" s="259"/>
      <c r="H37" s="260"/>
      <c r="I37" s="428">
        <f t="shared" ref="I37" si="30">G37*(1-H37)</f>
        <v>0</v>
      </c>
      <c r="J37" s="259"/>
      <c r="K37" s="261"/>
      <c r="L37" s="428">
        <f t="shared" si="15"/>
        <v>0</v>
      </c>
      <c r="M37" s="37"/>
      <c r="N37" s="429">
        <f t="shared" si="16"/>
        <v>0</v>
      </c>
      <c r="O37" s="28"/>
      <c r="P37" s="142" t="str">
        <f t="shared" si="17"/>
        <v/>
      </c>
    </row>
    <row r="38" spans="2:16" ht="20.100000000000001" customHeight="1" x14ac:dyDescent="0.15">
      <c r="B38" s="642"/>
      <c r="C38" s="264" t="s">
        <v>42</v>
      </c>
      <c r="D38" s="264"/>
      <c r="E38" s="264"/>
      <c r="F38" s="265"/>
      <c r="G38" s="264">
        <f>SUM(G13:G36)</f>
        <v>9220000</v>
      </c>
      <c r="H38" s="264"/>
      <c r="I38" s="264">
        <f>SUM(I13:I36)</f>
        <v>9220000</v>
      </c>
      <c r="J38" s="264"/>
      <c r="K38" s="266"/>
      <c r="L38" s="264">
        <f>SUM(L13:L36)</f>
        <v>2305000</v>
      </c>
      <c r="M38" s="38"/>
      <c r="N38" s="38"/>
      <c r="O38" s="38"/>
      <c r="P38" s="302">
        <f>SUM(P13:P36)</f>
        <v>353928.57142857148</v>
      </c>
    </row>
    <row r="39" spans="2:16" ht="20.100000000000001" customHeight="1" x14ac:dyDescent="0.15">
      <c r="B39" s="640" t="s">
        <v>105</v>
      </c>
      <c r="C39" s="259"/>
      <c r="D39" s="259"/>
      <c r="E39" s="259"/>
      <c r="F39" s="259"/>
      <c r="G39" s="259"/>
      <c r="H39" s="267"/>
      <c r="I39" s="428">
        <f t="shared" si="21"/>
        <v>0</v>
      </c>
      <c r="J39" s="259"/>
      <c r="K39" s="261"/>
      <c r="L39" s="428">
        <f>I39*K39</f>
        <v>0</v>
      </c>
      <c r="M39" s="43"/>
      <c r="N39" s="429">
        <f>L39*M39</f>
        <v>0</v>
      </c>
      <c r="O39" s="28"/>
      <c r="P39" s="142" t="str">
        <f>IF(O39="","",(L39-N39)/O39)</f>
        <v/>
      </c>
    </row>
    <row r="40" spans="2:16" ht="20.100000000000001" customHeight="1" x14ac:dyDescent="0.15">
      <c r="B40" s="641"/>
      <c r="C40" s="259"/>
      <c r="D40" s="259"/>
      <c r="E40" s="259"/>
      <c r="F40" s="259"/>
      <c r="G40" s="259"/>
      <c r="H40" s="267"/>
      <c r="I40" s="428">
        <f t="shared" si="21"/>
        <v>0</v>
      </c>
      <c r="J40" s="259"/>
      <c r="K40" s="261"/>
      <c r="L40" s="428">
        <f>I40*K40</f>
        <v>0</v>
      </c>
      <c r="M40" s="43"/>
      <c r="N40" s="429">
        <f>L40*M40</f>
        <v>0</v>
      </c>
      <c r="O40" s="28"/>
      <c r="P40" s="142" t="str">
        <f>IF(O40="","",(L40-N40)/O40)</f>
        <v/>
      </c>
    </row>
    <row r="41" spans="2:16" ht="20.100000000000001" customHeight="1" x14ac:dyDescent="0.15">
      <c r="B41" s="641"/>
      <c r="C41" s="28"/>
      <c r="D41" s="28"/>
      <c r="E41" s="28"/>
      <c r="F41" s="28"/>
      <c r="G41" s="28"/>
      <c r="H41" s="43"/>
      <c r="I41" s="429">
        <f t="shared" si="21"/>
        <v>0</v>
      </c>
      <c r="J41" s="28"/>
      <c r="K41" s="36"/>
      <c r="L41" s="429">
        <f>I41*K41</f>
        <v>0</v>
      </c>
      <c r="M41" s="43"/>
      <c r="N41" s="429">
        <f>L41*M41</f>
        <v>0</v>
      </c>
      <c r="O41" s="28"/>
      <c r="P41" s="142" t="str">
        <f>IF(O41="","",(L41-N41)/O41)</f>
        <v/>
      </c>
    </row>
    <row r="42" spans="2:16" ht="20.100000000000001" customHeight="1" x14ac:dyDescent="0.15">
      <c r="B42" s="641"/>
      <c r="C42" s="28"/>
      <c r="D42" s="28"/>
      <c r="E42" s="28"/>
      <c r="F42" s="28"/>
      <c r="G42" s="28"/>
      <c r="H42" s="43"/>
      <c r="I42" s="429">
        <f t="shared" si="21"/>
        <v>0</v>
      </c>
      <c r="J42" s="28"/>
      <c r="K42" s="36"/>
      <c r="L42" s="429">
        <f>I42*K42</f>
        <v>0</v>
      </c>
      <c r="M42" s="43"/>
      <c r="N42" s="429">
        <f>L42*M42</f>
        <v>0</v>
      </c>
      <c r="O42" s="28"/>
      <c r="P42" s="142" t="str">
        <f>IF(O42="","",(L42-N42)/O42)</f>
        <v/>
      </c>
    </row>
    <row r="43" spans="2:16" ht="20.100000000000001" customHeight="1" x14ac:dyDescent="0.15">
      <c r="B43" s="642"/>
      <c r="C43" s="44" t="s">
        <v>42</v>
      </c>
      <c r="D43" s="38"/>
      <c r="E43" s="38"/>
      <c r="F43" s="39"/>
      <c r="G43" s="38">
        <f>SUM(G39:G42)</f>
        <v>0</v>
      </c>
      <c r="H43" s="38"/>
      <c r="I43" s="38">
        <f>SUM(I39:I42)</f>
        <v>0</v>
      </c>
      <c r="J43" s="38"/>
      <c r="K43" s="40"/>
      <c r="L43" s="38">
        <f>SUM(L39:L42)</f>
        <v>0</v>
      </c>
      <c r="M43" s="38"/>
      <c r="N43" s="38"/>
      <c r="O43" s="38"/>
      <c r="P43" s="302">
        <f>SUM(P39:P42)</f>
        <v>0</v>
      </c>
    </row>
    <row r="44" spans="2:16" ht="20.100000000000001" customHeight="1" thickBot="1" x14ac:dyDescent="0.2">
      <c r="B44" s="45"/>
      <c r="C44" s="46" t="s">
        <v>226</v>
      </c>
      <c r="D44" s="47"/>
      <c r="E44" s="47"/>
      <c r="F44" s="48"/>
      <c r="G44" s="47">
        <f>G12+G38+G43</f>
        <v>54740000</v>
      </c>
      <c r="H44" s="47"/>
      <c r="I44" s="47">
        <f>I12+I38+I43</f>
        <v>54740000</v>
      </c>
      <c r="J44" s="47"/>
      <c r="K44" s="49"/>
      <c r="L44" s="47">
        <f>L12+L38+L43</f>
        <v>13685000</v>
      </c>
      <c r="M44" s="47"/>
      <c r="N44" s="47"/>
      <c r="O44" s="47"/>
      <c r="P44" s="303">
        <f>P12+P38+P43</f>
        <v>1454642.8571428573</v>
      </c>
    </row>
    <row r="45" spans="2:16" ht="11.25" customHeight="1" x14ac:dyDescent="0.15"/>
  </sheetData>
  <mergeCells count="9">
    <mergeCell ref="J3:J4"/>
    <mergeCell ref="B39:B43"/>
    <mergeCell ref="B13:B38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9"/>
  <sheetViews>
    <sheetView zoomScale="75" zoomScaleNormal="75" zoomScaleSheetLayoutView="80" workbookViewId="0">
      <selection activeCell="AM29" sqref="AM29"/>
    </sheetView>
  </sheetViews>
  <sheetFormatPr defaultColWidth="10.875" defaultRowHeight="13.5" x14ac:dyDescent="0.15"/>
  <cols>
    <col min="1" max="1" width="1.625" style="107" customWidth="1"/>
    <col min="2" max="2" width="5.875" style="107" customWidth="1"/>
    <col min="3" max="3" width="10.625" style="107" customWidth="1"/>
    <col min="4" max="4" width="12.375" style="107" customWidth="1"/>
    <col min="5" max="5" width="14.625" style="107" customWidth="1"/>
    <col min="6" max="7" width="15.875" style="107" customWidth="1"/>
    <col min="8" max="8" width="10.875" style="107"/>
    <col min="9" max="9" width="11.375" style="107" bestFit="1" customWidth="1"/>
    <col min="10" max="10" width="13.375" style="107" customWidth="1"/>
    <col min="11" max="11" width="7.125" style="107" customWidth="1"/>
    <col min="12" max="12" width="15.375" style="107" customWidth="1"/>
    <col min="13" max="13" width="9.375" style="107" bestFit="1" customWidth="1"/>
    <col min="14" max="14" width="10.875" style="107"/>
    <col min="15" max="15" width="7.25" style="107" customWidth="1"/>
    <col min="16" max="16" width="9.625" style="107" customWidth="1"/>
    <col min="17" max="17" width="10.875" style="107" customWidth="1"/>
    <col min="18" max="18" width="7.5" style="107" customWidth="1"/>
    <col min="19" max="19" width="3.75" style="107" customWidth="1"/>
    <col min="20" max="21" width="10.875" style="107"/>
    <col min="22" max="34" width="0" style="107" hidden="1" customWidth="1"/>
    <col min="35" max="35" width="10.875" style="107" hidden="1" customWidth="1"/>
    <col min="36" max="16384" width="10.875" style="107"/>
  </cols>
  <sheetData>
    <row r="1" spans="2:35" s="108" customFormat="1" ht="9.9499999999999993" customHeight="1" x14ac:dyDescent="0.1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2:35" s="108" customFormat="1" ht="24.95" customHeight="1" thickBot="1" x14ac:dyDescent="0.2">
      <c r="B2" s="3" t="s">
        <v>476</v>
      </c>
      <c r="H2" s="109" t="s">
        <v>193</v>
      </c>
      <c r="I2" s="3" t="s">
        <v>477</v>
      </c>
      <c r="K2" s="109" t="s">
        <v>194</v>
      </c>
      <c r="L2" s="3" t="s">
        <v>276</v>
      </c>
      <c r="N2" s="107"/>
      <c r="O2" s="107"/>
      <c r="Q2" s="4"/>
      <c r="R2" s="4"/>
    </row>
    <row r="3" spans="2:35" s="108" customFormat="1" ht="18" customHeight="1" x14ac:dyDescent="0.15">
      <c r="B3" s="677" t="s">
        <v>17</v>
      </c>
      <c r="C3" s="678"/>
      <c r="D3" s="678"/>
      <c r="E3" s="679"/>
      <c r="F3" s="135" t="s">
        <v>18</v>
      </c>
      <c r="G3" s="111"/>
      <c r="H3" s="112" t="s">
        <v>19</v>
      </c>
      <c r="I3" s="110"/>
      <c r="J3" s="110"/>
      <c r="K3" s="680" t="s">
        <v>162</v>
      </c>
      <c r="L3" s="681"/>
      <c r="M3" s="681"/>
      <c r="N3" s="681"/>
      <c r="O3" s="681"/>
      <c r="P3" s="681"/>
      <c r="Q3" s="681"/>
      <c r="R3" s="681"/>
      <c r="S3" s="682"/>
    </row>
    <row r="4" spans="2:35" s="108" customFormat="1" ht="18" customHeight="1" x14ac:dyDescent="0.15">
      <c r="B4" s="675" t="s">
        <v>20</v>
      </c>
      <c r="C4" s="676"/>
      <c r="D4" s="188" t="s">
        <v>157</v>
      </c>
      <c r="E4" s="195"/>
      <c r="F4" s="191">
        <f>R11</f>
        <v>5404410</v>
      </c>
      <c r="G4" s="685" t="s">
        <v>534</v>
      </c>
      <c r="H4" s="686"/>
      <c r="I4" s="686"/>
      <c r="J4" s="686"/>
      <c r="K4" s="402" t="s">
        <v>227</v>
      </c>
      <c r="L4" s="394" t="s">
        <v>228</v>
      </c>
      <c r="M4" s="395" t="s">
        <v>21</v>
      </c>
      <c r="N4" s="403" t="s">
        <v>20</v>
      </c>
      <c r="O4" s="404" t="s">
        <v>227</v>
      </c>
      <c r="P4" s="404" t="s">
        <v>229</v>
      </c>
      <c r="Q4" s="403" t="s">
        <v>21</v>
      </c>
      <c r="R4" s="696" t="s">
        <v>20</v>
      </c>
      <c r="S4" s="697"/>
      <c r="V4" s="362" t="s">
        <v>207</v>
      </c>
      <c r="W4" s="362" t="s">
        <v>255</v>
      </c>
      <c r="X4" s="362"/>
      <c r="Y4" s="363"/>
      <c r="Z4" s="362"/>
      <c r="AA4" s="362"/>
      <c r="AB4" s="362"/>
      <c r="AC4" s="362"/>
      <c r="AD4" s="362"/>
      <c r="AE4" s="362"/>
      <c r="AF4" s="362"/>
      <c r="AG4" s="362"/>
      <c r="AH4" s="362"/>
      <c r="AI4" s="362"/>
    </row>
    <row r="5" spans="2:35" s="108" customFormat="1" ht="18" customHeight="1" x14ac:dyDescent="0.15">
      <c r="B5" s="675"/>
      <c r="C5" s="676"/>
      <c r="D5" s="188" t="s">
        <v>72</v>
      </c>
      <c r="E5" s="195"/>
      <c r="F5" s="191">
        <v>0</v>
      </c>
      <c r="G5" s="170"/>
      <c r="H5" s="196"/>
      <c r="I5" s="196"/>
      <c r="J5" s="180"/>
      <c r="K5" s="405">
        <v>12</v>
      </c>
      <c r="L5" s="372">
        <v>300</v>
      </c>
      <c r="M5" s="372">
        <v>1280</v>
      </c>
      <c r="N5" s="192">
        <f t="shared" ref="N5:N11" si="0">L5*M5</f>
        <v>384000</v>
      </c>
      <c r="O5" s="406"/>
      <c r="P5" s="406"/>
      <c r="Q5" s="406"/>
      <c r="R5" s="683"/>
      <c r="S5" s="684"/>
      <c r="V5" s="365" t="s">
        <v>254</v>
      </c>
      <c r="W5" s="366">
        <v>1</v>
      </c>
      <c r="X5" s="366">
        <v>2</v>
      </c>
      <c r="Y5" s="366">
        <v>3</v>
      </c>
      <c r="Z5" s="366">
        <v>4</v>
      </c>
      <c r="AA5" s="366">
        <v>5</v>
      </c>
      <c r="AB5" s="366">
        <v>6</v>
      </c>
      <c r="AC5" s="366">
        <v>7</v>
      </c>
      <c r="AD5" s="366">
        <v>8</v>
      </c>
      <c r="AE5" s="366">
        <v>9</v>
      </c>
      <c r="AF5" s="366">
        <v>10</v>
      </c>
      <c r="AG5" s="366">
        <v>11</v>
      </c>
      <c r="AH5" s="366">
        <v>12</v>
      </c>
      <c r="AI5" s="366" t="s">
        <v>209</v>
      </c>
    </row>
    <row r="6" spans="2:35" s="108" customFormat="1" ht="18" customHeight="1" x14ac:dyDescent="0.15">
      <c r="B6" s="663" t="s">
        <v>160</v>
      </c>
      <c r="C6" s="666" t="s">
        <v>252</v>
      </c>
      <c r="D6" s="191" t="s">
        <v>46</v>
      </c>
      <c r="E6" s="197"/>
      <c r="F6" s="191">
        <f>+P13</f>
        <v>63000</v>
      </c>
      <c r="G6" s="170" t="s">
        <v>150</v>
      </c>
      <c r="H6" s="196"/>
      <c r="I6" s="196"/>
      <c r="J6" s="180"/>
      <c r="K6" s="407">
        <v>1</v>
      </c>
      <c r="L6" s="406">
        <v>660</v>
      </c>
      <c r="M6" s="406">
        <v>1341</v>
      </c>
      <c r="N6" s="406">
        <f t="shared" si="0"/>
        <v>885060</v>
      </c>
      <c r="O6" s="406"/>
      <c r="P6" s="406"/>
      <c r="Q6" s="406"/>
      <c r="R6" s="683"/>
      <c r="S6" s="684"/>
      <c r="V6" s="366" t="s">
        <v>268</v>
      </c>
      <c r="W6" s="362">
        <v>1700</v>
      </c>
      <c r="X6" s="362">
        <v>1520</v>
      </c>
      <c r="Y6" s="362">
        <v>1777</v>
      </c>
      <c r="Z6" s="362">
        <v>1568</v>
      </c>
      <c r="AA6" s="362">
        <v>1276</v>
      </c>
      <c r="AB6" s="362">
        <v>2590</v>
      </c>
      <c r="AC6" s="362">
        <v>2456</v>
      </c>
      <c r="AD6" s="362">
        <v>2367</v>
      </c>
      <c r="AE6" s="362">
        <v>2362</v>
      </c>
      <c r="AF6" s="362">
        <v>2523</v>
      </c>
      <c r="AG6" s="362">
        <v>2051</v>
      </c>
      <c r="AH6" s="362">
        <v>929</v>
      </c>
      <c r="AI6" s="367">
        <f>AVERAGE(W6:AH6)</f>
        <v>1926.5833333333333</v>
      </c>
    </row>
    <row r="7" spans="2:35" s="108" customFormat="1" ht="18" customHeight="1" x14ac:dyDescent="0.15">
      <c r="B7" s="664"/>
      <c r="C7" s="667"/>
      <c r="D7" s="191" t="s">
        <v>47</v>
      </c>
      <c r="E7" s="197"/>
      <c r="F7" s="191">
        <f>P22</f>
        <v>36914</v>
      </c>
      <c r="G7" s="649" t="s">
        <v>560</v>
      </c>
      <c r="H7" s="650"/>
      <c r="I7" s="650"/>
      <c r="J7" s="651"/>
      <c r="K7" s="408">
        <v>2</v>
      </c>
      <c r="L7" s="193">
        <v>310</v>
      </c>
      <c r="M7" s="406">
        <v>1250</v>
      </c>
      <c r="N7" s="406">
        <f t="shared" si="0"/>
        <v>387500</v>
      </c>
      <c r="O7" s="406"/>
      <c r="P7" s="406"/>
      <c r="Q7" s="406"/>
      <c r="R7" s="683"/>
      <c r="S7" s="684"/>
      <c r="V7" s="366" t="s">
        <v>269</v>
      </c>
      <c r="W7" s="367">
        <v>1503</v>
      </c>
      <c r="X7" s="367">
        <v>1404</v>
      </c>
      <c r="Y7" s="367">
        <v>1089</v>
      </c>
      <c r="Z7" s="367">
        <v>699</v>
      </c>
      <c r="AA7" s="367">
        <v>1275</v>
      </c>
      <c r="AB7" s="367">
        <v>2314</v>
      </c>
      <c r="AC7" s="367">
        <v>2147</v>
      </c>
      <c r="AD7" s="367">
        <v>2266</v>
      </c>
      <c r="AE7" s="367">
        <v>2160</v>
      </c>
      <c r="AF7" s="367">
        <v>2237</v>
      </c>
      <c r="AG7" s="367">
        <v>2237</v>
      </c>
      <c r="AH7" s="367">
        <v>1254</v>
      </c>
      <c r="AI7" s="367">
        <f>AVERAGE(W7:AH7)</f>
        <v>1715.4166666666667</v>
      </c>
    </row>
    <row r="8" spans="2:35" s="108" customFormat="1" ht="18" customHeight="1" x14ac:dyDescent="0.15">
      <c r="B8" s="664"/>
      <c r="C8" s="667"/>
      <c r="D8" s="191" t="s">
        <v>48</v>
      </c>
      <c r="E8" s="197"/>
      <c r="F8" s="191">
        <f>P28</f>
        <v>41213.300000000003</v>
      </c>
      <c r="G8" s="649" t="s">
        <v>561</v>
      </c>
      <c r="H8" s="650"/>
      <c r="I8" s="650"/>
      <c r="J8" s="651"/>
      <c r="K8" s="409">
        <v>3</v>
      </c>
      <c r="L8" s="194">
        <v>950</v>
      </c>
      <c r="M8" s="406">
        <v>1192</v>
      </c>
      <c r="N8" s="406">
        <f t="shared" si="0"/>
        <v>1132400</v>
      </c>
      <c r="O8" s="406"/>
      <c r="P8" s="406"/>
      <c r="Q8" s="406"/>
      <c r="R8" s="683"/>
      <c r="S8" s="684"/>
      <c r="V8" s="366" t="s">
        <v>270</v>
      </c>
      <c r="W8" s="367">
        <v>1254</v>
      </c>
      <c r="X8" s="367">
        <v>1206</v>
      </c>
      <c r="Y8" s="367">
        <v>1075</v>
      </c>
      <c r="Z8" s="367">
        <v>1122</v>
      </c>
      <c r="AA8" s="367">
        <v>1175</v>
      </c>
      <c r="AB8" s="367">
        <v>1000</v>
      </c>
      <c r="AC8" s="367">
        <v>2652</v>
      </c>
      <c r="AD8" s="367">
        <v>2447</v>
      </c>
      <c r="AE8" s="367">
        <v>2734</v>
      </c>
      <c r="AF8" s="367">
        <v>2819</v>
      </c>
      <c r="AG8" s="367">
        <v>2004</v>
      </c>
      <c r="AH8" s="367">
        <v>1072</v>
      </c>
      <c r="AI8" s="367">
        <f t="shared" ref="AI8:AI10" si="1">AVERAGE(W8:AH8)</f>
        <v>1713.3333333333333</v>
      </c>
    </row>
    <row r="9" spans="2:35" s="108" customFormat="1" ht="18" customHeight="1" x14ac:dyDescent="0.15">
      <c r="B9" s="664"/>
      <c r="C9" s="667"/>
      <c r="D9" s="191" t="s">
        <v>73</v>
      </c>
      <c r="E9" s="197"/>
      <c r="F9" s="191">
        <f>P37</f>
        <v>81660.8992</v>
      </c>
      <c r="G9" s="649" t="s">
        <v>562</v>
      </c>
      <c r="H9" s="650"/>
      <c r="I9" s="650"/>
      <c r="J9" s="651"/>
      <c r="K9" s="410">
        <v>4</v>
      </c>
      <c r="L9" s="406">
        <v>600</v>
      </c>
      <c r="M9" s="406">
        <v>999</v>
      </c>
      <c r="N9" s="406">
        <f t="shared" si="0"/>
        <v>599400</v>
      </c>
      <c r="O9" s="406"/>
      <c r="P9" s="406"/>
      <c r="Q9" s="406"/>
      <c r="R9" s="683"/>
      <c r="S9" s="684"/>
      <c r="V9" s="366" t="s">
        <v>271</v>
      </c>
      <c r="W9" s="367">
        <v>1052</v>
      </c>
      <c r="X9" s="367">
        <v>1020</v>
      </c>
      <c r="Y9" s="367">
        <v>1019</v>
      </c>
      <c r="Z9" s="367">
        <v>733</v>
      </c>
      <c r="AA9" s="367">
        <v>873</v>
      </c>
      <c r="AB9" s="367">
        <v>2249</v>
      </c>
      <c r="AC9" s="367">
        <v>2676</v>
      </c>
      <c r="AD9" s="367">
        <v>2487</v>
      </c>
      <c r="AE9" s="367">
        <v>2498</v>
      </c>
      <c r="AF9" s="367">
        <v>2808</v>
      </c>
      <c r="AG9" s="367">
        <v>2777</v>
      </c>
      <c r="AH9" s="367">
        <v>1756</v>
      </c>
      <c r="AI9" s="367">
        <f t="shared" si="1"/>
        <v>1829</v>
      </c>
    </row>
    <row r="10" spans="2:35" s="108" customFormat="1" ht="18" customHeight="1" x14ac:dyDescent="0.15">
      <c r="B10" s="664"/>
      <c r="C10" s="667"/>
      <c r="D10" s="191" t="s">
        <v>49</v>
      </c>
      <c r="E10" s="197"/>
      <c r="F10" s="191">
        <f>'８　イチゴ算出基礎'!V20</f>
        <v>290664</v>
      </c>
      <c r="G10" s="652"/>
      <c r="H10" s="653"/>
      <c r="I10" s="653"/>
      <c r="J10" s="654"/>
      <c r="K10" s="410">
        <v>5</v>
      </c>
      <c r="L10" s="308">
        <v>950</v>
      </c>
      <c r="M10" s="406">
        <v>1079</v>
      </c>
      <c r="N10" s="406">
        <f t="shared" si="0"/>
        <v>1025050</v>
      </c>
      <c r="O10" s="406"/>
      <c r="P10" s="308"/>
      <c r="Q10" s="406"/>
      <c r="R10" s="683"/>
      <c r="S10" s="684"/>
      <c r="V10" s="366" t="s">
        <v>272</v>
      </c>
      <c r="W10" s="367">
        <v>1197</v>
      </c>
      <c r="X10" s="367">
        <v>1100</v>
      </c>
      <c r="Y10" s="367">
        <v>999</v>
      </c>
      <c r="Z10" s="367">
        <v>873</v>
      </c>
      <c r="AA10" s="367">
        <v>795</v>
      </c>
      <c r="AB10" s="367">
        <v>1759</v>
      </c>
      <c r="AC10" s="367">
        <v>2299</v>
      </c>
      <c r="AD10" s="367">
        <v>2544</v>
      </c>
      <c r="AE10" s="367">
        <v>2536</v>
      </c>
      <c r="AF10" s="367">
        <v>2417</v>
      </c>
      <c r="AG10" s="367">
        <v>2541</v>
      </c>
      <c r="AH10" s="367">
        <v>1387</v>
      </c>
      <c r="AI10" s="367">
        <f t="shared" si="1"/>
        <v>1703.9166666666667</v>
      </c>
    </row>
    <row r="11" spans="2:35" s="108" customFormat="1" ht="18" customHeight="1" thickBot="1" x14ac:dyDescent="0.2">
      <c r="B11" s="664"/>
      <c r="C11" s="667"/>
      <c r="D11" s="191" t="s">
        <v>4</v>
      </c>
      <c r="E11" s="197"/>
      <c r="F11" s="191">
        <f>'８　イチゴ算出基礎'!V34</f>
        <v>29500</v>
      </c>
      <c r="G11" s="652"/>
      <c r="H11" s="653"/>
      <c r="I11" s="653"/>
      <c r="J11" s="654"/>
      <c r="K11" s="410">
        <v>6</v>
      </c>
      <c r="L11" s="308">
        <v>500</v>
      </c>
      <c r="M11" s="406">
        <v>1982</v>
      </c>
      <c r="N11" s="406">
        <f t="shared" si="0"/>
        <v>991000</v>
      </c>
      <c r="O11" s="113" t="s">
        <v>22</v>
      </c>
      <c r="P11" s="114">
        <f>SUM(L6:L11,P5:P10)</f>
        <v>3970</v>
      </c>
      <c r="Q11" s="115">
        <f>R11/P11</f>
        <v>1361.3123425692695</v>
      </c>
      <c r="R11" s="711">
        <f>SUM(N5:N11,R5:S10)</f>
        <v>5404410</v>
      </c>
      <c r="S11" s="712"/>
      <c r="V11" s="366" t="s">
        <v>210</v>
      </c>
      <c r="W11" s="367">
        <f>AVERAGE(W6:W10)</f>
        <v>1341.2</v>
      </c>
      <c r="X11" s="367">
        <f>AVERAGE(X6:X10)</f>
        <v>1250</v>
      </c>
      <c r="Y11" s="367">
        <f t="shared" ref="Y11:AI11" si="2">AVERAGE(Y6:Y10)</f>
        <v>1191.8</v>
      </c>
      <c r="Z11" s="367">
        <f t="shared" si="2"/>
        <v>999</v>
      </c>
      <c r="AA11" s="367">
        <f t="shared" si="2"/>
        <v>1078.8</v>
      </c>
      <c r="AB11" s="367">
        <f t="shared" si="2"/>
        <v>1982.4</v>
      </c>
      <c r="AC11" s="367">
        <f t="shared" si="2"/>
        <v>2446</v>
      </c>
      <c r="AD11" s="367">
        <f t="shared" si="2"/>
        <v>2422.1999999999998</v>
      </c>
      <c r="AE11" s="367">
        <f t="shared" si="2"/>
        <v>2458</v>
      </c>
      <c r="AF11" s="367">
        <f t="shared" si="2"/>
        <v>2560.8000000000002</v>
      </c>
      <c r="AG11" s="367">
        <f t="shared" si="2"/>
        <v>2322</v>
      </c>
      <c r="AH11" s="367">
        <f t="shared" si="2"/>
        <v>1279.5999999999999</v>
      </c>
      <c r="AI11" s="367">
        <f t="shared" si="2"/>
        <v>1777.65</v>
      </c>
    </row>
    <row r="12" spans="2:35" s="108" customFormat="1" ht="18" customHeight="1" thickTop="1" x14ac:dyDescent="0.15">
      <c r="B12" s="664"/>
      <c r="C12" s="667"/>
      <c r="D12" s="191" t="s">
        <v>5</v>
      </c>
      <c r="E12" s="197"/>
      <c r="F12" s="191">
        <f>15000*2+112000</f>
        <v>142000</v>
      </c>
      <c r="G12" s="649" t="s">
        <v>466</v>
      </c>
      <c r="H12" s="650"/>
      <c r="I12" s="650"/>
      <c r="J12" s="651"/>
      <c r="K12" s="701" t="s">
        <v>161</v>
      </c>
      <c r="L12" s="190" t="s">
        <v>124</v>
      </c>
      <c r="M12" s="360" t="s">
        <v>7</v>
      </c>
      <c r="N12" s="272" t="s">
        <v>232</v>
      </c>
      <c r="O12" s="359" t="s">
        <v>21</v>
      </c>
      <c r="P12" s="359" t="s">
        <v>24</v>
      </c>
      <c r="Q12" s="713" t="s">
        <v>25</v>
      </c>
      <c r="R12" s="714"/>
      <c r="S12" s="715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</row>
    <row r="13" spans="2:35" s="108" customFormat="1" ht="18" customHeight="1" x14ac:dyDescent="0.15">
      <c r="B13" s="664"/>
      <c r="C13" s="667"/>
      <c r="D13" s="672" t="s">
        <v>50</v>
      </c>
      <c r="E13" s="198" t="s">
        <v>148</v>
      </c>
      <c r="F13" s="191">
        <f>'６　固定資本装備と減価償却費'!L12*'７　イチゴ部門収支'!H13</f>
        <v>113800</v>
      </c>
      <c r="G13" s="430" t="s">
        <v>151</v>
      </c>
      <c r="H13" s="431">
        <v>0.01</v>
      </c>
      <c r="I13" s="655" t="s">
        <v>529</v>
      </c>
      <c r="J13" s="656"/>
      <c r="K13" s="702"/>
      <c r="L13" s="411" t="s">
        <v>278</v>
      </c>
      <c r="M13" s="271" t="s">
        <v>279</v>
      </c>
      <c r="N13" s="138">
        <v>180</v>
      </c>
      <c r="O13" s="138">
        <v>350</v>
      </c>
      <c r="P13" s="138">
        <f>N13*O13</f>
        <v>63000</v>
      </c>
      <c r="Q13" s="698"/>
      <c r="R13" s="699"/>
      <c r="S13" s="700"/>
      <c r="V13" s="362" t="s">
        <v>207</v>
      </c>
      <c r="W13" s="362" t="s">
        <v>208</v>
      </c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</row>
    <row r="14" spans="2:35" s="108" customFormat="1" ht="18" customHeight="1" x14ac:dyDescent="0.15">
      <c r="B14" s="664"/>
      <c r="C14" s="667"/>
      <c r="D14" s="673"/>
      <c r="E14" s="198" t="s">
        <v>149</v>
      </c>
      <c r="F14" s="191">
        <f>'６　固定資本装備と減価償却費'!L38*'７　イチゴ部門収支'!H14</f>
        <v>115250</v>
      </c>
      <c r="G14" s="430" t="s">
        <v>151</v>
      </c>
      <c r="H14" s="431">
        <v>0.05</v>
      </c>
      <c r="I14" s="655" t="s">
        <v>529</v>
      </c>
      <c r="J14" s="656"/>
      <c r="K14" s="702"/>
      <c r="L14" s="412"/>
      <c r="M14" s="189"/>
      <c r="N14" s="138"/>
      <c r="O14" s="138"/>
      <c r="P14" s="138"/>
      <c r="Q14" s="698"/>
      <c r="R14" s="699"/>
      <c r="S14" s="700"/>
      <c r="V14" s="365" t="s">
        <v>254</v>
      </c>
      <c r="W14" s="366">
        <v>1</v>
      </c>
      <c r="X14" s="366">
        <v>2</v>
      </c>
      <c r="Y14" s="366">
        <v>3</v>
      </c>
      <c r="Z14" s="366">
        <v>4</v>
      </c>
      <c r="AA14" s="366">
        <v>5</v>
      </c>
      <c r="AB14" s="366">
        <v>6</v>
      </c>
      <c r="AC14" s="366">
        <v>7</v>
      </c>
      <c r="AD14" s="366">
        <v>8</v>
      </c>
      <c r="AE14" s="366">
        <v>9</v>
      </c>
      <c r="AF14" s="366">
        <v>10</v>
      </c>
      <c r="AG14" s="366">
        <v>11</v>
      </c>
      <c r="AH14" s="366">
        <v>12</v>
      </c>
      <c r="AI14" s="366" t="s">
        <v>209</v>
      </c>
    </row>
    <row r="15" spans="2:35" s="108" customFormat="1" ht="18" customHeight="1" thickBot="1" x14ac:dyDescent="0.2">
      <c r="B15" s="664"/>
      <c r="C15" s="667"/>
      <c r="D15" s="672" t="s">
        <v>74</v>
      </c>
      <c r="E15" s="198" t="s">
        <v>148</v>
      </c>
      <c r="F15" s="191">
        <f>'６　固定資本装備と減価償却費'!P12</f>
        <v>1100714.2857142857</v>
      </c>
      <c r="G15" s="649" t="s">
        <v>529</v>
      </c>
      <c r="H15" s="650"/>
      <c r="I15" s="650"/>
      <c r="J15" s="651"/>
      <c r="K15" s="702"/>
      <c r="L15" s="119" t="s">
        <v>26</v>
      </c>
      <c r="M15" s="118"/>
      <c r="N15" s="119"/>
      <c r="O15" s="119"/>
      <c r="P15" s="119">
        <f>SUM(P10:P14)</f>
        <v>66970</v>
      </c>
      <c r="Q15" s="705"/>
      <c r="R15" s="706"/>
      <c r="S15" s="707"/>
      <c r="V15" s="366" t="s">
        <v>268</v>
      </c>
      <c r="W15" s="362">
        <v>1233</v>
      </c>
      <c r="X15" s="362">
        <v>1144</v>
      </c>
      <c r="Y15" s="362">
        <v>997</v>
      </c>
      <c r="Z15" s="362">
        <v>925</v>
      </c>
      <c r="AA15" s="362">
        <v>813</v>
      </c>
      <c r="AB15" s="362">
        <v>935</v>
      </c>
      <c r="AC15" s="362">
        <v>1714</v>
      </c>
      <c r="AD15" s="362">
        <v>1393</v>
      </c>
      <c r="AE15" s="362">
        <v>1370</v>
      </c>
      <c r="AF15" s="362">
        <v>1455</v>
      </c>
      <c r="AG15" s="362">
        <v>1554</v>
      </c>
      <c r="AH15" s="362">
        <v>1901</v>
      </c>
      <c r="AI15" s="367">
        <f>AVERAGE(W15:AH15)</f>
        <v>1286.1666666666667</v>
      </c>
    </row>
    <row r="16" spans="2:35" s="108" customFormat="1" ht="18" customHeight="1" thickTop="1" x14ac:dyDescent="0.15">
      <c r="B16" s="664"/>
      <c r="C16" s="667"/>
      <c r="D16" s="674"/>
      <c r="E16" s="198" t="s">
        <v>149</v>
      </c>
      <c r="F16" s="191">
        <f>'６　固定資本装備と減価償却費'!P38</f>
        <v>353928.57142857148</v>
      </c>
      <c r="G16" s="649" t="s">
        <v>529</v>
      </c>
      <c r="H16" s="650"/>
      <c r="I16" s="650"/>
      <c r="J16" s="651"/>
      <c r="K16" s="702"/>
      <c r="L16" s="185" t="s">
        <v>125</v>
      </c>
      <c r="M16" s="186"/>
      <c r="N16" s="273" t="s">
        <v>232</v>
      </c>
      <c r="O16" s="358" t="s">
        <v>21</v>
      </c>
      <c r="P16" s="187" t="s">
        <v>24</v>
      </c>
      <c r="Q16" s="690" t="s">
        <v>25</v>
      </c>
      <c r="R16" s="691"/>
      <c r="S16" s="692"/>
      <c r="V16" s="366" t="s">
        <v>269</v>
      </c>
      <c r="W16" s="367">
        <v>1416</v>
      </c>
      <c r="X16" s="367">
        <v>1448</v>
      </c>
      <c r="Y16" s="367">
        <v>1114</v>
      </c>
      <c r="Z16" s="367">
        <v>744</v>
      </c>
      <c r="AA16" s="367">
        <v>844</v>
      </c>
      <c r="AB16" s="367">
        <v>895</v>
      </c>
      <c r="AC16" s="367">
        <v>1560</v>
      </c>
      <c r="AD16" s="367">
        <v>1449</v>
      </c>
      <c r="AE16" s="367">
        <v>1196</v>
      </c>
      <c r="AF16" s="367">
        <v>1260</v>
      </c>
      <c r="AG16" s="367">
        <v>1696</v>
      </c>
      <c r="AH16" s="367">
        <v>2266</v>
      </c>
      <c r="AI16" s="367">
        <f>AVERAGE(W16:AH16)</f>
        <v>1324</v>
      </c>
    </row>
    <row r="17" spans="1:35" s="108" customFormat="1" ht="18" customHeight="1" x14ac:dyDescent="0.15">
      <c r="B17" s="664"/>
      <c r="C17" s="667"/>
      <c r="D17" s="673"/>
      <c r="E17" s="191" t="s">
        <v>51</v>
      </c>
      <c r="F17" s="191">
        <f>'６　固定資本装備と減価償却費'!P43</f>
        <v>0</v>
      </c>
      <c r="G17" s="649" t="s">
        <v>529</v>
      </c>
      <c r="H17" s="650"/>
      <c r="I17" s="650"/>
      <c r="J17" s="651"/>
      <c r="K17" s="702"/>
      <c r="L17" s="229" t="s">
        <v>129</v>
      </c>
      <c r="M17" s="189"/>
      <c r="N17" s="172" t="s">
        <v>431</v>
      </c>
      <c r="O17" s="184"/>
      <c r="P17" s="182">
        <f>'８　イチゴ算出基礎'!G11</f>
        <v>1449</v>
      </c>
      <c r="Q17" s="687"/>
      <c r="R17" s="688"/>
      <c r="S17" s="689"/>
      <c r="V17" s="366" t="s">
        <v>270</v>
      </c>
      <c r="W17" s="367">
        <v>1243</v>
      </c>
      <c r="X17" s="367">
        <v>1008</v>
      </c>
      <c r="Y17" s="367">
        <v>868</v>
      </c>
      <c r="Z17" s="367">
        <v>741</v>
      </c>
      <c r="AA17" s="367">
        <v>740</v>
      </c>
      <c r="AB17" s="367">
        <v>830</v>
      </c>
      <c r="AC17" s="367">
        <v>1555</v>
      </c>
      <c r="AD17" s="367">
        <v>1413</v>
      </c>
      <c r="AE17" s="367">
        <v>1440</v>
      </c>
      <c r="AF17" s="367">
        <v>1381</v>
      </c>
      <c r="AG17" s="367">
        <v>1276</v>
      </c>
      <c r="AH17" s="367">
        <v>1628</v>
      </c>
      <c r="AI17" s="367">
        <f t="shared" ref="AI17:AI19" si="3">AVERAGE(W17:AH17)</f>
        <v>1176.9166666666667</v>
      </c>
    </row>
    <row r="18" spans="1:35" s="108" customFormat="1" ht="18" customHeight="1" x14ac:dyDescent="0.15">
      <c r="A18" s="107"/>
      <c r="B18" s="664"/>
      <c r="C18" s="667"/>
      <c r="D18" s="191" t="s">
        <v>52</v>
      </c>
      <c r="E18" s="197"/>
      <c r="F18" s="191">
        <v>0</v>
      </c>
      <c r="G18" s="172"/>
      <c r="H18" s="177"/>
      <c r="I18" s="361"/>
      <c r="J18" s="177"/>
      <c r="K18" s="702"/>
      <c r="L18" s="172" t="s">
        <v>130</v>
      </c>
      <c r="M18" s="180"/>
      <c r="N18" s="172" t="s">
        <v>432</v>
      </c>
      <c r="O18" s="184"/>
      <c r="P18" s="182">
        <f>'８　イチゴ算出基礎'!G16</f>
        <v>10265</v>
      </c>
      <c r="Q18" s="687"/>
      <c r="R18" s="688"/>
      <c r="S18" s="689"/>
      <c r="V18" s="366" t="s">
        <v>271</v>
      </c>
      <c r="W18" s="367">
        <v>1047</v>
      </c>
      <c r="X18" s="367">
        <v>992</v>
      </c>
      <c r="Y18" s="367">
        <v>998</v>
      </c>
      <c r="Z18" s="367">
        <v>778</v>
      </c>
      <c r="AA18" s="367">
        <v>670</v>
      </c>
      <c r="AB18" s="367">
        <v>760</v>
      </c>
      <c r="AC18" s="367">
        <v>1531</v>
      </c>
      <c r="AD18" s="367">
        <v>1509</v>
      </c>
      <c r="AE18" s="367">
        <v>1382</v>
      </c>
      <c r="AF18" s="367">
        <v>1484</v>
      </c>
      <c r="AG18" s="367">
        <v>1592</v>
      </c>
      <c r="AH18" s="367">
        <v>1625</v>
      </c>
      <c r="AI18" s="367">
        <f t="shared" si="3"/>
        <v>1197.3333333333333</v>
      </c>
    </row>
    <row r="19" spans="1:35" s="108" customFormat="1" ht="18" customHeight="1" x14ac:dyDescent="0.15">
      <c r="A19" s="107"/>
      <c r="B19" s="664"/>
      <c r="C19" s="667"/>
      <c r="D19" s="191" t="s">
        <v>128</v>
      </c>
      <c r="E19" s="197"/>
      <c r="F19" s="191">
        <f>SUM(F6:F18)/99</f>
        <v>23925.707639826836</v>
      </c>
      <c r="G19" s="199" t="s">
        <v>163</v>
      </c>
      <c r="H19" s="205">
        <v>0.01</v>
      </c>
      <c r="I19" s="120"/>
      <c r="J19" s="396"/>
      <c r="K19" s="702"/>
      <c r="L19" s="368" t="s">
        <v>132</v>
      </c>
      <c r="M19" s="116"/>
      <c r="N19" s="368" t="s">
        <v>431</v>
      </c>
      <c r="O19" s="371"/>
      <c r="P19" s="182">
        <f>'８　イチゴ算出基礎'!G20</f>
        <v>25200</v>
      </c>
      <c r="Q19" s="687"/>
      <c r="R19" s="688"/>
      <c r="S19" s="689"/>
      <c r="V19" s="366" t="s">
        <v>272</v>
      </c>
      <c r="W19" s="367">
        <v>1129</v>
      </c>
      <c r="X19" s="367">
        <v>1018</v>
      </c>
      <c r="Y19" s="367">
        <v>922</v>
      </c>
      <c r="Z19" s="367">
        <v>712</v>
      </c>
      <c r="AA19" s="367">
        <v>703</v>
      </c>
      <c r="AB19" s="367">
        <v>785</v>
      </c>
      <c r="AC19" s="367">
        <v>1583</v>
      </c>
      <c r="AD19" s="367">
        <v>1523</v>
      </c>
      <c r="AE19" s="367">
        <v>1544</v>
      </c>
      <c r="AF19" s="367">
        <v>1480</v>
      </c>
      <c r="AG19" s="367">
        <v>1730</v>
      </c>
      <c r="AH19" s="367">
        <v>1407</v>
      </c>
      <c r="AI19" s="367">
        <f t="shared" si="3"/>
        <v>1211.3333333333333</v>
      </c>
    </row>
    <row r="20" spans="1:35" s="108" customFormat="1" ht="18" customHeight="1" x14ac:dyDescent="0.15">
      <c r="A20" s="107"/>
      <c r="B20" s="664"/>
      <c r="C20" s="668"/>
      <c r="D20" s="661" t="s">
        <v>156</v>
      </c>
      <c r="E20" s="662"/>
      <c r="F20" s="136">
        <f>SUM(F6:F19)</f>
        <v>2392570.7639826839</v>
      </c>
      <c r="G20" s="178"/>
      <c r="H20" s="120"/>
      <c r="I20" s="120"/>
      <c r="J20" s="397"/>
      <c r="K20" s="703"/>
      <c r="L20" s="369"/>
      <c r="M20" s="370"/>
      <c r="N20" s="372"/>
      <c r="O20" s="372"/>
      <c r="P20" s="373"/>
      <c r="Q20" s="687"/>
      <c r="R20" s="688"/>
      <c r="S20" s="689"/>
      <c r="V20" s="366" t="s">
        <v>210</v>
      </c>
      <c r="W20" s="367">
        <f>AVERAGE(W15:W19)</f>
        <v>1213.5999999999999</v>
      </c>
      <c r="X20" s="367">
        <f t="shared" ref="X20:AI20" si="4">AVERAGE(X15:X19)</f>
        <v>1122</v>
      </c>
      <c r="Y20" s="367">
        <f t="shared" si="4"/>
        <v>979.8</v>
      </c>
      <c r="Z20" s="367">
        <f t="shared" si="4"/>
        <v>780</v>
      </c>
      <c r="AA20" s="367">
        <f t="shared" si="4"/>
        <v>754</v>
      </c>
      <c r="AB20" s="367">
        <f t="shared" si="4"/>
        <v>841</v>
      </c>
      <c r="AC20" s="367">
        <f t="shared" si="4"/>
        <v>1588.6</v>
      </c>
      <c r="AD20" s="367">
        <f t="shared" si="4"/>
        <v>1457.4</v>
      </c>
      <c r="AE20" s="367">
        <f t="shared" si="4"/>
        <v>1386.4</v>
      </c>
      <c r="AF20" s="367">
        <f t="shared" si="4"/>
        <v>1412</v>
      </c>
      <c r="AG20" s="367">
        <f t="shared" si="4"/>
        <v>1569.6</v>
      </c>
      <c r="AH20" s="367">
        <f t="shared" si="4"/>
        <v>1765.4</v>
      </c>
      <c r="AI20" s="367">
        <f t="shared" si="4"/>
        <v>1239.1500000000001</v>
      </c>
    </row>
    <row r="21" spans="1:35" s="108" customFormat="1" ht="18" customHeight="1" x14ac:dyDescent="0.15">
      <c r="A21" s="107"/>
      <c r="B21" s="664"/>
      <c r="C21" s="669" t="s">
        <v>152</v>
      </c>
      <c r="D21" s="657" t="s">
        <v>53</v>
      </c>
      <c r="E21" s="18" t="s">
        <v>1</v>
      </c>
      <c r="F21" s="326">
        <f>P11/1.08*60.8</f>
        <v>223496.29629629626</v>
      </c>
      <c r="G21" s="351" t="s">
        <v>526</v>
      </c>
      <c r="H21" s="180"/>
      <c r="I21" s="116"/>
      <c r="J21" s="180"/>
      <c r="K21" s="702"/>
      <c r="L21" s="172" t="s">
        <v>133</v>
      </c>
      <c r="M21" s="180"/>
      <c r="N21" s="172"/>
      <c r="O21" s="182"/>
      <c r="P21" s="182"/>
      <c r="Q21" s="687"/>
      <c r="R21" s="688"/>
      <c r="S21" s="689"/>
    </row>
    <row r="22" spans="1:35" s="108" customFormat="1" ht="18" customHeight="1" thickBot="1" x14ac:dyDescent="0.2">
      <c r="A22" s="107"/>
      <c r="B22" s="664"/>
      <c r="C22" s="670"/>
      <c r="D22" s="600"/>
      <c r="E22" s="18" t="s">
        <v>2</v>
      </c>
      <c r="F22" s="326">
        <f>P11/1.08*12</f>
        <v>44111.111111111109</v>
      </c>
      <c r="G22" s="351" t="s">
        <v>527</v>
      </c>
      <c r="H22" s="200"/>
      <c r="I22" s="200"/>
      <c r="J22" s="398"/>
      <c r="K22" s="702"/>
      <c r="L22" s="119" t="s">
        <v>26</v>
      </c>
      <c r="M22" s="118"/>
      <c r="N22" s="119"/>
      <c r="O22" s="119"/>
      <c r="P22" s="119">
        <f>SUM(P17:P21)</f>
        <v>36914</v>
      </c>
      <c r="Q22" s="705"/>
      <c r="R22" s="706"/>
      <c r="S22" s="707"/>
    </row>
    <row r="23" spans="1:35" s="108" customFormat="1" ht="18" customHeight="1" thickTop="1" x14ac:dyDescent="0.15">
      <c r="A23" s="107"/>
      <c r="B23" s="664"/>
      <c r="C23" s="670"/>
      <c r="D23" s="658"/>
      <c r="E23" s="18" t="s">
        <v>6</v>
      </c>
      <c r="F23" s="326">
        <f>F4*0.1</f>
        <v>540441</v>
      </c>
      <c r="G23" s="188" t="s">
        <v>468</v>
      </c>
      <c r="H23" s="121"/>
      <c r="I23" s="200"/>
      <c r="J23" s="277"/>
      <c r="K23" s="702"/>
      <c r="L23" s="172" t="s">
        <v>126</v>
      </c>
      <c r="M23" s="180"/>
      <c r="N23" s="181" t="s">
        <v>23</v>
      </c>
      <c r="O23" s="181" t="s">
        <v>21</v>
      </c>
      <c r="P23" s="181" t="s">
        <v>24</v>
      </c>
      <c r="Q23" s="690" t="s">
        <v>25</v>
      </c>
      <c r="R23" s="691"/>
      <c r="S23" s="692"/>
    </row>
    <row r="24" spans="1:35" s="108" customFormat="1" ht="18" customHeight="1" x14ac:dyDescent="0.15">
      <c r="A24" s="107"/>
      <c r="B24" s="664"/>
      <c r="C24" s="670"/>
      <c r="D24" s="18" t="s">
        <v>235</v>
      </c>
      <c r="E24" s="25"/>
      <c r="F24" s="357">
        <f>F4*0.001</f>
        <v>5404.41</v>
      </c>
      <c r="G24" s="188" t="s">
        <v>467</v>
      </c>
      <c r="H24" s="201"/>
      <c r="I24" s="202"/>
      <c r="J24" s="399"/>
      <c r="K24" s="702"/>
      <c r="L24" s="182" t="s">
        <v>27</v>
      </c>
      <c r="M24" s="180"/>
      <c r="N24" s="172" t="s">
        <v>433</v>
      </c>
      <c r="O24" s="182"/>
      <c r="P24" s="182">
        <f>'８　イチゴ算出基礎'!G38</f>
        <v>20365.200000000004</v>
      </c>
      <c r="Q24" s="687"/>
      <c r="R24" s="688"/>
      <c r="S24" s="689"/>
    </row>
    <row r="25" spans="1:35" s="108" customFormat="1" ht="18" customHeight="1" x14ac:dyDescent="0.15">
      <c r="A25" s="107"/>
      <c r="B25" s="664"/>
      <c r="C25" s="670"/>
      <c r="D25" s="18" t="s">
        <v>75</v>
      </c>
      <c r="E25" s="25"/>
      <c r="F25" s="357">
        <f>F4*0.001</f>
        <v>5404.41</v>
      </c>
      <c r="G25" s="188" t="s">
        <v>467</v>
      </c>
      <c r="H25" s="203"/>
      <c r="I25" s="204"/>
      <c r="J25" s="203"/>
      <c r="K25" s="702"/>
      <c r="L25" s="182" t="s">
        <v>28</v>
      </c>
      <c r="M25" s="180"/>
      <c r="N25" s="172" t="s">
        <v>501</v>
      </c>
      <c r="O25" s="182"/>
      <c r="P25" s="182">
        <f>'８　イチゴ算出基礎'!G49</f>
        <v>20848.099999999999</v>
      </c>
      <c r="Q25" s="687"/>
      <c r="R25" s="688"/>
      <c r="S25" s="689"/>
    </row>
    <row r="26" spans="1:35" s="108" customFormat="1" ht="18" customHeight="1" x14ac:dyDescent="0.15">
      <c r="A26" s="107"/>
      <c r="B26" s="664"/>
      <c r="C26" s="670"/>
      <c r="D26" s="18" t="s">
        <v>96</v>
      </c>
      <c r="E26" s="19"/>
      <c r="F26" s="357">
        <f>'８　イチゴ算出基礎'!V57</f>
        <v>68606.5</v>
      </c>
      <c r="G26" s="229"/>
      <c r="H26" s="228"/>
      <c r="I26" s="228"/>
      <c r="J26" s="228"/>
      <c r="K26" s="702"/>
      <c r="L26" s="182" t="s">
        <v>29</v>
      </c>
      <c r="M26" s="180"/>
      <c r="N26" s="172"/>
      <c r="O26" s="182"/>
      <c r="P26" s="182"/>
      <c r="Q26" s="687"/>
      <c r="R26" s="688"/>
      <c r="S26" s="689"/>
    </row>
    <row r="27" spans="1:35" s="108" customFormat="1" ht="18" customHeight="1" x14ac:dyDescent="0.15">
      <c r="A27" s="107"/>
      <c r="B27" s="664"/>
      <c r="C27" s="670"/>
      <c r="D27" s="26" t="s">
        <v>76</v>
      </c>
      <c r="E27" s="27"/>
      <c r="F27" s="357">
        <v>800</v>
      </c>
      <c r="G27" s="172" t="s">
        <v>528</v>
      </c>
      <c r="H27" s="203"/>
      <c r="I27" s="204"/>
      <c r="J27" s="399"/>
      <c r="K27" s="702"/>
      <c r="L27" s="182" t="s">
        <v>107</v>
      </c>
      <c r="M27" s="180"/>
      <c r="N27" s="172"/>
      <c r="O27" s="182"/>
      <c r="P27" s="182"/>
      <c r="Q27" s="687"/>
      <c r="R27" s="688"/>
      <c r="S27" s="689"/>
    </row>
    <row r="28" spans="1:35" s="108" customFormat="1" ht="18" customHeight="1" thickBot="1" x14ac:dyDescent="0.2">
      <c r="A28" s="107"/>
      <c r="B28" s="664"/>
      <c r="C28" s="670"/>
      <c r="D28" s="18" t="s">
        <v>54</v>
      </c>
      <c r="E28" s="19"/>
      <c r="F28" s="137">
        <f>'８　イチゴ算出基礎'!N57+(F4*0.3*0.08)</f>
        <v>139391.84</v>
      </c>
      <c r="G28" s="229"/>
      <c r="H28" s="228"/>
      <c r="I28" s="228"/>
      <c r="J28" s="228"/>
      <c r="K28" s="702"/>
      <c r="L28" s="119" t="s">
        <v>26</v>
      </c>
      <c r="M28" s="118"/>
      <c r="N28" s="119"/>
      <c r="O28" s="119"/>
      <c r="P28" s="119">
        <f>SUM(P24:P27)</f>
        <v>41213.300000000003</v>
      </c>
      <c r="Q28" s="705"/>
      <c r="R28" s="706"/>
      <c r="S28" s="707"/>
    </row>
    <row r="29" spans="1:35" s="108" customFormat="1" ht="18" customHeight="1" thickTop="1" x14ac:dyDescent="0.15">
      <c r="A29" s="107"/>
      <c r="B29" s="664"/>
      <c r="C29" s="670"/>
      <c r="D29" s="18" t="s">
        <v>236</v>
      </c>
      <c r="E29" s="25"/>
      <c r="F29" s="137">
        <f>SUM(F21:F28)*0.01</f>
        <v>10276.555674074074</v>
      </c>
      <c r="G29" s="292" t="s">
        <v>253</v>
      </c>
      <c r="H29" s="205">
        <v>0.01</v>
      </c>
      <c r="I29" s="179"/>
      <c r="J29" s="400"/>
      <c r="K29" s="702"/>
      <c r="L29" s="172" t="s">
        <v>127</v>
      </c>
      <c r="M29" s="180"/>
      <c r="N29" s="181" t="s">
        <v>23</v>
      </c>
      <c r="O29" s="181" t="s">
        <v>21</v>
      </c>
      <c r="P29" s="181" t="s">
        <v>24</v>
      </c>
      <c r="Q29" s="690" t="s">
        <v>25</v>
      </c>
      <c r="R29" s="691"/>
      <c r="S29" s="692"/>
    </row>
    <row r="30" spans="1:35" s="108" customFormat="1" ht="18" customHeight="1" thickBot="1" x14ac:dyDescent="0.2">
      <c r="A30" s="107"/>
      <c r="B30" s="665"/>
      <c r="C30" s="671"/>
      <c r="D30" s="659" t="s">
        <v>155</v>
      </c>
      <c r="E30" s="660"/>
      <c r="F30" s="173">
        <f>SUM(F21:F29)</f>
        <v>1037932.1230814815</v>
      </c>
      <c r="G30" s="174"/>
      <c r="H30" s="175"/>
      <c r="I30" s="176"/>
      <c r="J30" s="401"/>
      <c r="K30" s="702"/>
      <c r="L30" s="182" t="s">
        <v>117</v>
      </c>
      <c r="M30" s="183"/>
      <c r="N30" s="172"/>
      <c r="O30" s="184"/>
      <c r="P30" s="182">
        <f>'８　イチゴ算出基礎'!N10</f>
        <v>0</v>
      </c>
      <c r="Q30" s="693"/>
      <c r="R30" s="694"/>
      <c r="S30" s="695"/>
    </row>
    <row r="31" spans="1:35" s="108" customFormat="1" ht="18" customHeight="1" x14ac:dyDescent="0.15">
      <c r="A31" s="107"/>
      <c r="B31" s="127"/>
      <c r="C31" s="123"/>
      <c r="D31" s="123"/>
      <c r="E31" s="123"/>
      <c r="F31" s="123"/>
      <c r="G31" s="123"/>
      <c r="H31" s="123"/>
      <c r="I31" s="123"/>
      <c r="J31" s="123"/>
      <c r="K31" s="702"/>
      <c r="L31" s="182" t="s">
        <v>118</v>
      </c>
      <c r="M31" s="183"/>
      <c r="N31" s="172" t="s">
        <v>439</v>
      </c>
      <c r="O31" s="184"/>
      <c r="P31" s="182">
        <f>'８　イチゴ算出基礎'!N16</f>
        <v>20712.384000000002</v>
      </c>
      <c r="Q31" s="693"/>
      <c r="R31" s="694"/>
      <c r="S31" s="695"/>
    </row>
    <row r="32" spans="1:35" s="108" customFormat="1" ht="18" customHeight="1" x14ac:dyDescent="0.15">
      <c r="A32" s="107"/>
      <c r="B32" s="117"/>
      <c r="C32" s="131"/>
      <c r="D32" s="117"/>
      <c r="E32" s="117"/>
      <c r="F32" s="129"/>
      <c r="G32" s="129"/>
      <c r="H32" s="130"/>
      <c r="I32" s="123"/>
      <c r="J32" s="123"/>
      <c r="K32" s="702"/>
      <c r="L32" s="182" t="s">
        <v>120</v>
      </c>
      <c r="M32" s="180"/>
      <c r="N32" s="184"/>
      <c r="O32" s="184"/>
      <c r="P32" s="182">
        <f>SUM(P30:P31)*R32</f>
        <v>6213.7152000000006</v>
      </c>
      <c r="Q32" s="276" t="s">
        <v>119</v>
      </c>
      <c r="R32" s="413">
        <v>0.3</v>
      </c>
      <c r="S32" s="414"/>
    </row>
    <row r="33" spans="1:23" ht="18" customHeight="1" x14ac:dyDescent="0.15">
      <c r="K33" s="702"/>
      <c r="L33" s="182" t="s">
        <v>121</v>
      </c>
      <c r="M33" s="183"/>
      <c r="N33" s="172"/>
      <c r="O33" s="184"/>
      <c r="P33" s="182">
        <f>'８　イチゴ算出基礎'!N19</f>
        <v>0</v>
      </c>
      <c r="Q33" s="687"/>
      <c r="R33" s="688"/>
      <c r="S33" s="689"/>
    </row>
    <row r="34" spans="1:23" ht="18" customHeight="1" x14ac:dyDescent="0.15">
      <c r="K34" s="702"/>
      <c r="L34" s="182" t="s">
        <v>122</v>
      </c>
      <c r="M34" s="183"/>
      <c r="N34" s="172" t="s">
        <v>438</v>
      </c>
      <c r="O34" s="184"/>
      <c r="P34" s="182">
        <f>'８　イチゴ算出基礎'!N23</f>
        <v>39614.799999999996</v>
      </c>
      <c r="Q34" s="687"/>
      <c r="R34" s="688"/>
      <c r="S34" s="689"/>
    </row>
    <row r="35" spans="1:23" ht="18" customHeight="1" x14ac:dyDescent="0.15">
      <c r="K35" s="702"/>
      <c r="L35" s="182" t="s">
        <v>233</v>
      </c>
      <c r="M35" s="183"/>
      <c r="N35" s="172"/>
      <c r="O35" s="184"/>
      <c r="P35" s="182">
        <f>'８　イチゴ算出基礎'!N27</f>
        <v>0</v>
      </c>
      <c r="Q35" s="276"/>
      <c r="R35" s="277"/>
      <c r="S35" s="415"/>
    </row>
    <row r="36" spans="1:23" ht="18" customHeight="1" x14ac:dyDescent="0.15">
      <c r="K36" s="702"/>
      <c r="L36" s="182" t="s">
        <v>123</v>
      </c>
      <c r="M36" s="180"/>
      <c r="N36" s="172" t="s">
        <v>438</v>
      </c>
      <c r="O36" s="184"/>
      <c r="P36" s="182">
        <f>'８　イチゴ算出基礎'!N31</f>
        <v>15120</v>
      </c>
      <c r="Q36" s="687"/>
      <c r="R36" s="688"/>
      <c r="S36" s="689"/>
    </row>
    <row r="37" spans="1:23" ht="18" customHeight="1" thickBot="1" x14ac:dyDescent="0.2">
      <c r="K37" s="704"/>
      <c r="L37" s="416" t="s">
        <v>26</v>
      </c>
      <c r="M37" s="417"/>
      <c r="N37" s="416"/>
      <c r="O37" s="416"/>
      <c r="P37" s="416">
        <f>SUM(P30:P36)</f>
        <v>81660.8992</v>
      </c>
      <c r="Q37" s="708"/>
      <c r="R37" s="709"/>
      <c r="S37" s="710"/>
    </row>
    <row r="38" spans="1:23" s="122" customFormat="1" ht="18" customHeight="1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</row>
    <row r="39" spans="1:23" s="122" customFormat="1" ht="18" customHeight="1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T39" s="123"/>
    </row>
    <row r="40" spans="1:23" s="122" customFormat="1" ht="18" customHeight="1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T40" s="108"/>
      <c r="U40" s="108"/>
      <c r="V40" s="108"/>
      <c r="W40" s="108"/>
    </row>
    <row r="41" spans="1:23" s="122" customFormat="1" ht="18" customHeight="1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T41" s="124"/>
      <c r="U41" s="125"/>
      <c r="V41" s="126"/>
      <c r="W41" s="124"/>
    </row>
    <row r="42" spans="1:23" s="122" customFormat="1" ht="18" customHeight="1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T42" s="108"/>
      <c r="U42" s="108"/>
      <c r="V42" s="108"/>
      <c r="W42" s="108"/>
    </row>
    <row r="43" spans="1:23" s="122" customFormat="1" ht="18" customHeight="1" x14ac:dyDescent="0.15">
      <c r="B43" s="107"/>
      <c r="C43" s="107"/>
      <c r="D43" s="107"/>
      <c r="E43" s="107"/>
      <c r="F43" s="107"/>
      <c r="G43" s="107"/>
      <c r="H43" s="107"/>
      <c r="I43" s="107"/>
      <c r="J43" s="107"/>
      <c r="T43" s="109"/>
      <c r="U43" s="123"/>
      <c r="V43" s="108"/>
      <c r="W43" s="124"/>
    </row>
    <row r="44" spans="1:23" s="122" customFormat="1" ht="18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T44" s="109"/>
      <c r="U44" s="123"/>
      <c r="V44" s="108"/>
      <c r="W44" s="124"/>
    </row>
    <row r="45" spans="1:23" s="122" customFormat="1" ht="18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07"/>
      <c r="T45" s="108"/>
      <c r="U45" s="108"/>
      <c r="V45" s="125"/>
      <c r="W45" s="108"/>
    </row>
    <row r="46" spans="1:23" s="122" customFormat="1" x14ac:dyDescent="0.15">
      <c r="B46" s="107"/>
      <c r="C46" s="107"/>
      <c r="D46" s="107"/>
      <c r="E46" s="107"/>
      <c r="F46" s="107"/>
      <c r="G46" s="107"/>
      <c r="H46" s="107"/>
      <c r="I46" s="107"/>
      <c r="J46" s="107"/>
      <c r="T46" s="109"/>
      <c r="U46" s="108"/>
      <c r="V46" s="108"/>
      <c r="W46" s="124"/>
    </row>
    <row r="47" spans="1:23" s="122" customFormat="1" x14ac:dyDescent="0.15">
      <c r="B47" s="107"/>
      <c r="C47" s="107"/>
      <c r="D47" s="107"/>
      <c r="E47" s="107"/>
      <c r="F47" s="107"/>
      <c r="G47" s="107"/>
      <c r="H47" s="107"/>
      <c r="I47" s="107"/>
      <c r="J47" s="107"/>
      <c r="T47" s="109"/>
      <c r="U47" s="108"/>
      <c r="V47" s="108"/>
      <c r="W47" s="124"/>
    </row>
    <row r="48" spans="1:23" s="122" customFormat="1" x14ac:dyDescent="0.15">
      <c r="B48" s="107"/>
      <c r="C48" s="107"/>
      <c r="D48" s="107"/>
      <c r="E48" s="107"/>
      <c r="F48" s="107"/>
      <c r="G48" s="107"/>
      <c r="H48" s="107"/>
      <c r="I48" s="107"/>
      <c r="J48" s="107"/>
      <c r="T48" s="109"/>
      <c r="U48" s="108"/>
      <c r="V48" s="108"/>
      <c r="W48" s="124"/>
    </row>
    <row r="49" spans="2:23" s="122" customFormat="1" x14ac:dyDescent="0.15">
      <c r="B49" s="107"/>
      <c r="C49" s="107"/>
      <c r="D49" s="107"/>
      <c r="E49" s="107"/>
      <c r="F49" s="107"/>
      <c r="G49" s="107"/>
      <c r="H49" s="107"/>
      <c r="I49" s="107"/>
      <c r="J49" s="107"/>
      <c r="T49" s="109"/>
      <c r="U49" s="108"/>
      <c r="V49" s="108"/>
      <c r="W49" s="124"/>
    </row>
    <row r="50" spans="2:23" s="122" customFormat="1" x14ac:dyDescent="0.15">
      <c r="B50" s="107"/>
      <c r="C50" s="107"/>
      <c r="D50" s="107"/>
      <c r="E50" s="107"/>
      <c r="F50" s="107"/>
      <c r="G50" s="107"/>
      <c r="H50" s="107"/>
      <c r="I50" s="107"/>
      <c r="J50" s="107"/>
      <c r="T50" s="109"/>
      <c r="U50" s="109"/>
      <c r="V50" s="109"/>
      <c r="W50" s="108"/>
    </row>
    <row r="51" spans="2:23" s="122" customFormat="1" ht="13.5" customHeight="1" x14ac:dyDescent="0.15">
      <c r="B51" s="107"/>
      <c r="C51" s="107"/>
      <c r="D51" s="107"/>
      <c r="E51" s="107"/>
      <c r="F51" s="107"/>
      <c r="G51" s="107"/>
      <c r="H51" s="107"/>
      <c r="I51" s="107"/>
      <c r="J51" s="107"/>
      <c r="T51" s="108"/>
      <c r="U51" s="108"/>
      <c r="V51" s="108"/>
      <c r="W51" s="125"/>
    </row>
    <row r="52" spans="2:23" s="122" customFormat="1" x14ac:dyDescent="0.15">
      <c r="B52" s="107"/>
      <c r="C52" s="107"/>
      <c r="D52" s="107"/>
      <c r="E52" s="107"/>
      <c r="F52" s="107"/>
      <c r="G52" s="107"/>
      <c r="H52" s="107"/>
      <c r="I52" s="107"/>
      <c r="J52" s="107"/>
      <c r="T52" s="124"/>
      <c r="U52" s="108"/>
      <c r="V52" s="125"/>
      <c r="W52" s="124"/>
    </row>
    <row r="53" spans="2:23" s="122" customFormat="1" x14ac:dyDescent="0.15">
      <c r="B53" s="107"/>
      <c r="C53" s="107"/>
      <c r="D53" s="107"/>
      <c r="E53" s="107"/>
      <c r="F53" s="107"/>
      <c r="G53" s="107"/>
      <c r="H53" s="107"/>
      <c r="I53" s="107"/>
      <c r="J53" s="107"/>
      <c r="T53" s="108"/>
      <c r="U53" s="108"/>
      <c r="V53" s="108"/>
      <c r="W53" s="108"/>
    </row>
    <row r="54" spans="2:23" s="122" customFormat="1" ht="13.5" customHeight="1" x14ac:dyDescent="0.15">
      <c r="B54" s="107"/>
      <c r="C54" s="107"/>
      <c r="D54" s="107"/>
      <c r="E54" s="107"/>
      <c r="F54" s="107"/>
      <c r="G54" s="107"/>
      <c r="H54" s="107"/>
      <c r="I54" s="107"/>
      <c r="J54" s="107"/>
      <c r="T54" s="109"/>
      <c r="U54" s="108"/>
      <c r="V54" s="109"/>
      <c r="W54" s="124"/>
    </row>
    <row r="55" spans="2:23" s="122" customFormat="1" x14ac:dyDescent="0.15">
      <c r="B55" s="107"/>
      <c r="C55" s="107"/>
      <c r="D55" s="107"/>
      <c r="E55" s="107"/>
      <c r="F55" s="107"/>
      <c r="G55" s="107"/>
      <c r="H55" s="107"/>
      <c r="I55" s="107"/>
      <c r="J55" s="107"/>
      <c r="T55" s="132"/>
      <c r="U55" s="108"/>
      <c r="V55" s="108"/>
      <c r="W55" s="124"/>
    </row>
    <row r="56" spans="2:23" s="122" customFormat="1" x14ac:dyDescent="0.1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8"/>
      <c r="U56" s="109"/>
      <c r="V56" s="108"/>
      <c r="W56" s="108"/>
    </row>
    <row r="57" spans="2:23" s="122" customFormat="1" x14ac:dyDescent="0.1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23"/>
      <c r="U57" s="123"/>
      <c r="V57" s="123"/>
      <c r="W57" s="123"/>
    </row>
    <row r="58" spans="2:23" s="122" customFormat="1" x14ac:dyDescent="0.1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23"/>
    </row>
    <row r="59" spans="2:23" s="122" customFormat="1" x14ac:dyDescent="0.15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23"/>
    </row>
    <row r="60" spans="2:23" s="122" customFormat="1" x14ac:dyDescent="0.1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23"/>
    </row>
    <row r="61" spans="2:23" s="122" customFormat="1" x14ac:dyDescent="0.1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</row>
    <row r="62" spans="2:23" s="122" customFormat="1" x14ac:dyDescent="0.1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</row>
    <row r="63" spans="2:23" s="122" customFormat="1" ht="13.5" customHeight="1" x14ac:dyDescent="0.15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2:23" s="122" customFormat="1" ht="13.5" customHeight="1" x14ac:dyDescent="0.15"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</row>
    <row r="65" spans="2:19" s="122" customFormat="1" x14ac:dyDescent="0.15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</row>
    <row r="66" spans="2:19" s="122" customFormat="1" x14ac:dyDescent="0.15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2:19" s="122" customFormat="1" x14ac:dyDescent="0.1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</row>
    <row r="68" spans="2:19" s="122" customFormat="1" ht="13.5" customHeight="1" x14ac:dyDescent="0.1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</row>
    <row r="69" spans="2:19" s="122" customFormat="1" x14ac:dyDescent="0.15"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0" spans="2:19" s="122" customFormat="1" x14ac:dyDescent="0.1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</row>
    <row r="71" spans="2:19" s="122" customFormat="1" x14ac:dyDescent="0.1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</row>
    <row r="72" spans="2:19" s="122" customFormat="1" x14ac:dyDescent="0.15"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</row>
    <row r="73" spans="2:19" s="122" customFormat="1" x14ac:dyDescent="0.15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</row>
    <row r="74" spans="2:19" s="122" customFormat="1" ht="13.5" customHeight="1" x14ac:dyDescent="0.15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</row>
    <row r="75" spans="2:19" s="122" customFormat="1" x14ac:dyDescent="0.1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</row>
    <row r="76" spans="2:19" s="122" customFormat="1" x14ac:dyDescent="0.15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</row>
    <row r="77" spans="2:19" s="122" customFormat="1" x14ac:dyDescent="0.15"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</row>
    <row r="78" spans="2:19" s="122" customFormat="1" x14ac:dyDescent="0.15"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</row>
    <row r="79" spans="2:19" s="122" customFormat="1" x14ac:dyDescent="0.15"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</row>
    <row r="80" spans="2:19" s="122" customFormat="1" x14ac:dyDescent="0.15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</row>
    <row r="81" spans="1:19" s="122" customFormat="1" x14ac:dyDescent="0.15"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</row>
    <row r="82" spans="1:19" s="122" customFormat="1" x14ac:dyDescent="0.15"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</row>
    <row r="83" spans="1:19" s="122" customFormat="1" x14ac:dyDescent="0.15"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</row>
    <row r="84" spans="1:19" s="122" customFormat="1" x14ac:dyDescent="0.15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</row>
    <row r="85" spans="1:19" s="122" customFormat="1" x14ac:dyDescent="0.15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</row>
    <row r="86" spans="1:19" s="122" customFormat="1" ht="13.5" customHeight="1" x14ac:dyDescent="0.15"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</row>
    <row r="87" spans="1:19" s="122" customFormat="1" x14ac:dyDescent="0.15"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</row>
    <row r="88" spans="1:19" s="122" customFormat="1" x14ac:dyDescent="0.15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</row>
    <row r="89" spans="1:19" s="122" customFormat="1" ht="13.5" customHeight="1" x14ac:dyDescent="0.15"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</row>
    <row r="90" spans="1:19" s="122" customFormat="1" x14ac:dyDescent="0.15"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</row>
    <row r="91" spans="1:19" s="122" customFormat="1" x14ac:dyDescent="0.15"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</row>
    <row r="92" spans="1:19" s="122" customFormat="1" x14ac:dyDescent="0.15"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</row>
    <row r="93" spans="1:19" s="122" customFormat="1" x14ac:dyDescent="0.15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</row>
    <row r="94" spans="1:19" s="122" customFormat="1" x14ac:dyDescent="0.15"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</row>
    <row r="95" spans="1:19" x14ac:dyDescent="0.15">
      <c r="A95" s="122"/>
    </row>
    <row r="96" spans="1:19" x14ac:dyDescent="0.15">
      <c r="A96" s="122"/>
    </row>
    <row r="97" spans="1:1" x14ac:dyDescent="0.15">
      <c r="A97" s="122"/>
    </row>
    <row r="98" spans="1:1" x14ac:dyDescent="0.15">
      <c r="A98" s="122"/>
    </row>
    <row r="99" spans="1:1" x14ac:dyDescent="0.15">
      <c r="A99" s="122"/>
    </row>
  </sheetData>
  <mergeCells count="56"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15:S15"/>
    <mergeCell ref="R11:S11"/>
    <mergeCell ref="Q12:S12"/>
    <mergeCell ref="Q13:S13"/>
    <mergeCell ref="R8:S8"/>
    <mergeCell ref="R9:S9"/>
    <mergeCell ref="R4:S4"/>
    <mergeCell ref="R5:S5"/>
    <mergeCell ref="Q14:S14"/>
    <mergeCell ref="R10:S10"/>
    <mergeCell ref="Q36:S36"/>
    <mergeCell ref="Q20:S20"/>
    <mergeCell ref="Q21:S21"/>
    <mergeCell ref="Q26:S26"/>
    <mergeCell ref="Q16:S16"/>
    <mergeCell ref="Q17:S17"/>
    <mergeCell ref="Q18:S18"/>
    <mergeCell ref="Q30:S30"/>
    <mergeCell ref="Q31:S31"/>
    <mergeCell ref="Q19:S19"/>
    <mergeCell ref="B4:C5"/>
    <mergeCell ref="B3:E3"/>
    <mergeCell ref="K3:S3"/>
    <mergeCell ref="R6:S6"/>
    <mergeCell ref="R7:S7"/>
    <mergeCell ref="G4:J4"/>
    <mergeCell ref="G7:J7"/>
    <mergeCell ref="D21:D23"/>
    <mergeCell ref="D30:E30"/>
    <mergeCell ref="D20:E20"/>
    <mergeCell ref="B6:B30"/>
    <mergeCell ref="C6:C20"/>
    <mergeCell ref="C21:C30"/>
    <mergeCell ref="D13:D14"/>
    <mergeCell ref="D15:D17"/>
    <mergeCell ref="G17:J17"/>
    <mergeCell ref="G8:J8"/>
    <mergeCell ref="G9:J9"/>
    <mergeCell ref="G12:J12"/>
    <mergeCell ref="G15:J15"/>
    <mergeCell ref="G16:J16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91"/>
  <sheetViews>
    <sheetView showZeros="0" zoomScale="75" zoomScaleNormal="75" zoomScaleSheetLayoutView="85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66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33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3" width="0" style="29" hidden="1" customWidth="1"/>
    <col min="24" max="24" width="13.25" style="29" hidden="1" customWidth="1"/>
    <col min="25" max="25" width="0" style="29" hidden="1" customWidth="1"/>
    <col min="26" max="26" width="3.5" style="29" hidden="1" customWidth="1"/>
    <col min="27" max="27" width="11.25" style="29" hidden="1" customWidth="1"/>
    <col min="28" max="28" width="12.25" style="29" hidden="1" customWidth="1"/>
    <col min="29" max="33" width="0" style="29" hidden="1" customWidth="1"/>
    <col min="34" max="246" width="9" style="29"/>
    <col min="247" max="247" width="1.375" style="29" customWidth="1"/>
    <col min="248" max="248" width="3.5" style="29" customWidth="1"/>
    <col min="249" max="249" width="22.125" style="29" customWidth="1"/>
    <col min="250" max="250" width="9.75" style="29" customWidth="1"/>
    <col min="251" max="251" width="7.375" style="29" customWidth="1"/>
    <col min="252" max="252" width="9" style="29"/>
    <col min="253" max="253" width="9.25" style="29" customWidth="1"/>
    <col min="254" max="254" width="3.5" style="29" customWidth="1"/>
    <col min="255" max="256" width="12.625" style="29" customWidth="1"/>
    <col min="257" max="257" width="9" style="29"/>
    <col min="258" max="258" width="7.75" style="29" customWidth="1"/>
    <col min="259" max="259" width="13.125" style="29" customWidth="1"/>
    <col min="260" max="260" width="6.125" style="29" customWidth="1"/>
    <col min="261" max="261" width="9.75" style="29" customWidth="1"/>
    <col min="262" max="262" width="1.375" style="29" customWidth="1"/>
    <col min="263" max="502" width="9" style="29"/>
    <col min="503" max="503" width="1.375" style="29" customWidth="1"/>
    <col min="504" max="504" width="3.5" style="29" customWidth="1"/>
    <col min="505" max="16384" width="9" style="29"/>
  </cols>
  <sheetData>
    <row r="1" spans="2:32" ht="9.9499999999999993" customHeight="1" x14ac:dyDescent="0.15"/>
    <row r="2" spans="2:32" ht="24.95" customHeight="1" x14ac:dyDescent="0.15">
      <c r="B2" s="29" t="s">
        <v>478</v>
      </c>
      <c r="C2" s="31"/>
      <c r="D2" s="5"/>
      <c r="E2" s="5"/>
      <c r="F2" s="31"/>
      <c r="G2" s="108"/>
      <c r="H2" s="116"/>
      <c r="I2" s="108"/>
      <c r="J2" s="108"/>
      <c r="K2" s="108"/>
      <c r="L2" s="108"/>
      <c r="M2" s="108"/>
      <c r="N2" s="108"/>
      <c r="O2" s="5"/>
    </row>
    <row r="3" spans="2:32" ht="15" customHeight="1" thickBot="1" x14ac:dyDescent="0.2">
      <c r="B3" s="29" t="s">
        <v>158</v>
      </c>
      <c r="I3" s="5" t="s">
        <v>159</v>
      </c>
      <c r="P3" s="166" t="s">
        <v>179</v>
      </c>
      <c r="W3" s="362"/>
      <c r="X3" s="362" t="s">
        <v>414</v>
      </c>
      <c r="Y3" s="362"/>
      <c r="Z3" s="362"/>
      <c r="AA3" s="362"/>
      <c r="AB3" s="362"/>
      <c r="AC3" s="362"/>
      <c r="AD3" s="362"/>
      <c r="AE3" s="362"/>
      <c r="AF3" s="362"/>
    </row>
    <row r="4" spans="2:32" ht="15" customHeight="1" x14ac:dyDescent="0.15">
      <c r="B4" s="217" t="s">
        <v>71</v>
      </c>
      <c r="C4" s="152" t="s">
        <v>136</v>
      </c>
      <c r="D4" s="152" t="s">
        <v>109</v>
      </c>
      <c r="E4" s="152" t="s">
        <v>110</v>
      </c>
      <c r="F4" s="152" t="s">
        <v>21</v>
      </c>
      <c r="G4" s="140" t="s">
        <v>111</v>
      </c>
      <c r="H4" s="153"/>
      <c r="I4" s="756" t="s">
        <v>71</v>
      </c>
      <c r="J4" s="752" t="s">
        <v>139</v>
      </c>
      <c r="K4" s="158" t="s">
        <v>303</v>
      </c>
      <c r="L4" s="158" t="s">
        <v>112</v>
      </c>
      <c r="M4" s="752" t="s">
        <v>21</v>
      </c>
      <c r="N4" s="754" t="s">
        <v>111</v>
      </c>
      <c r="O4" s="171"/>
      <c r="P4" s="769" t="s">
        <v>141</v>
      </c>
      <c r="Q4" s="770" t="s">
        <v>142</v>
      </c>
      <c r="R4" s="770" t="s">
        <v>143</v>
      </c>
      <c r="S4" s="770" t="s">
        <v>144</v>
      </c>
      <c r="T4" s="784" t="s">
        <v>145</v>
      </c>
      <c r="U4" s="785"/>
      <c r="V4" s="772" t="s">
        <v>146</v>
      </c>
      <c r="W4" s="362"/>
      <c r="X4" s="362" t="s">
        <v>426</v>
      </c>
      <c r="Y4" s="362"/>
      <c r="Z4" s="362"/>
      <c r="AA4" s="362"/>
      <c r="AB4" s="362"/>
      <c r="AC4" s="362"/>
      <c r="AD4" s="362"/>
      <c r="AE4" s="362"/>
      <c r="AF4" s="362"/>
    </row>
    <row r="5" spans="2:32" ht="15" customHeight="1" x14ac:dyDescent="0.15">
      <c r="B5" s="640" t="s">
        <v>131</v>
      </c>
      <c r="C5" s="28"/>
      <c r="D5" s="28"/>
      <c r="E5" s="35"/>
      <c r="F5" s="28">
        <v>0</v>
      </c>
      <c r="G5" s="141">
        <f t="shared" ref="G5:G6" si="0">D5*F5</f>
        <v>0</v>
      </c>
      <c r="H5" s="154"/>
      <c r="I5" s="757"/>
      <c r="J5" s="753"/>
      <c r="K5" s="160" t="s">
        <v>113</v>
      </c>
      <c r="L5" s="160" t="s">
        <v>533</v>
      </c>
      <c r="M5" s="753"/>
      <c r="N5" s="755"/>
      <c r="O5" s="171"/>
      <c r="P5" s="218" t="s">
        <v>402</v>
      </c>
      <c r="Q5" s="139">
        <v>10092</v>
      </c>
      <c r="R5" s="434" t="s">
        <v>401</v>
      </c>
      <c r="S5" s="139">
        <v>12.6</v>
      </c>
      <c r="T5" s="786">
        <v>3</v>
      </c>
      <c r="U5" s="749"/>
      <c r="V5" s="773">
        <f>Q5*S5/T5</f>
        <v>42386.400000000001</v>
      </c>
      <c r="W5" s="362"/>
      <c r="X5" s="362" t="s">
        <v>415</v>
      </c>
      <c r="Y5" s="362"/>
      <c r="Z5" s="362"/>
      <c r="AA5" s="379" t="s">
        <v>416</v>
      </c>
      <c r="AB5" s="362"/>
      <c r="AC5" s="362"/>
      <c r="AD5" s="362"/>
      <c r="AE5" s="362"/>
      <c r="AF5" s="362"/>
    </row>
    <row r="6" spans="2:32" ht="15" customHeight="1" x14ac:dyDescent="0.15">
      <c r="B6" s="641"/>
      <c r="C6" s="28"/>
      <c r="D6" s="28"/>
      <c r="E6" s="35"/>
      <c r="F6" s="28"/>
      <c r="G6" s="142">
        <f t="shared" si="0"/>
        <v>0</v>
      </c>
      <c r="H6" s="154"/>
      <c r="I6" s="758" t="s">
        <v>138</v>
      </c>
      <c r="J6" s="28"/>
      <c r="K6" s="161"/>
      <c r="L6" s="161"/>
      <c r="M6" s="161"/>
      <c r="N6" s="142"/>
      <c r="O6" s="171"/>
      <c r="P6" s="218" t="s">
        <v>422</v>
      </c>
      <c r="Q6" s="139">
        <v>15138</v>
      </c>
      <c r="R6" s="434" t="s">
        <v>423</v>
      </c>
      <c r="S6" s="139">
        <v>0.6</v>
      </c>
      <c r="T6" s="786">
        <v>3</v>
      </c>
      <c r="U6" s="749"/>
      <c r="V6" s="773">
        <f t="shared" ref="V6:V11" si="1">Q6*S6/T6</f>
        <v>3027.6</v>
      </c>
      <c r="W6" s="362"/>
      <c r="X6" s="362" t="s">
        <v>405</v>
      </c>
      <c r="Y6" s="362"/>
      <c r="Z6" s="362"/>
      <c r="AA6" s="362"/>
      <c r="AB6" s="362"/>
      <c r="AC6" s="362"/>
      <c r="AD6" s="362"/>
      <c r="AE6" s="362"/>
      <c r="AF6" s="362"/>
    </row>
    <row r="7" spans="2:32" ht="15" customHeight="1" thickBot="1" x14ac:dyDescent="0.2">
      <c r="B7" s="746"/>
      <c r="C7" s="143" t="s">
        <v>114</v>
      </c>
      <c r="D7" s="143"/>
      <c r="E7" s="143"/>
      <c r="F7" s="143"/>
      <c r="G7" s="144">
        <f>SUM(G5:G6)</f>
        <v>0</v>
      </c>
      <c r="H7" s="154"/>
      <c r="I7" s="641"/>
      <c r="J7" s="28"/>
      <c r="K7" s="161"/>
      <c r="L7" s="161"/>
      <c r="M7" s="161"/>
      <c r="N7" s="142">
        <f t="shared" ref="N7:N9" si="2">K7*L7*M7</f>
        <v>0</v>
      </c>
      <c r="O7" s="171"/>
      <c r="P7" s="218" t="s">
        <v>450</v>
      </c>
      <c r="Q7" s="139">
        <v>1900</v>
      </c>
      <c r="R7" s="434" t="s">
        <v>451</v>
      </c>
      <c r="S7" s="139">
        <v>80</v>
      </c>
      <c r="T7" s="786">
        <v>1</v>
      </c>
      <c r="U7" s="749"/>
      <c r="V7" s="773">
        <f t="shared" si="1"/>
        <v>152000</v>
      </c>
      <c r="W7" s="362"/>
      <c r="X7" s="362" t="s">
        <v>427</v>
      </c>
      <c r="Y7" s="362"/>
      <c r="Z7" s="362"/>
      <c r="AA7" s="378">
        <f>8*5850/1000</f>
        <v>46.8</v>
      </c>
      <c r="AB7" s="362" t="s">
        <v>429</v>
      </c>
      <c r="AC7" s="362"/>
      <c r="AD7" s="362"/>
      <c r="AE7" s="362"/>
      <c r="AF7" s="362"/>
    </row>
    <row r="8" spans="2:32" ht="15" customHeight="1" thickTop="1" x14ac:dyDescent="0.15">
      <c r="B8" s="744" t="s">
        <v>129</v>
      </c>
      <c r="C8" s="28" t="s">
        <v>580</v>
      </c>
      <c r="D8" s="57">
        <v>63</v>
      </c>
      <c r="E8" s="35" t="s">
        <v>421</v>
      </c>
      <c r="F8" s="28">
        <v>23</v>
      </c>
      <c r="G8" s="142">
        <f>D8*F8</f>
        <v>1449</v>
      </c>
      <c r="H8" s="154"/>
      <c r="I8" s="641"/>
      <c r="J8" s="28"/>
      <c r="K8" s="161"/>
      <c r="L8" s="161"/>
      <c r="M8" s="161"/>
      <c r="N8" s="142">
        <f t="shared" si="2"/>
        <v>0</v>
      </c>
      <c r="O8" s="171"/>
      <c r="P8" s="218" t="s">
        <v>452</v>
      </c>
      <c r="Q8" s="139">
        <v>1900</v>
      </c>
      <c r="R8" s="434" t="s">
        <v>451</v>
      </c>
      <c r="S8" s="139">
        <v>56</v>
      </c>
      <c r="T8" s="786">
        <v>2</v>
      </c>
      <c r="U8" s="749"/>
      <c r="V8" s="773">
        <f t="shared" si="1"/>
        <v>53200</v>
      </c>
      <c r="W8" s="362"/>
      <c r="X8" s="362" t="s">
        <v>403</v>
      </c>
      <c r="Y8" s="362" t="s">
        <v>404</v>
      </c>
      <c r="Z8" s="362"/>
      <c r="AA8" s="362"/>
      <c r="AB8" s="362"/>
      <c r="AC8" s="362"/>
      <c r="AD8" s="362"/>
      <c r="AE8" s="362"/>
      <c r="AF8" s="362"/>
    </row>
    <row r="9" spans="2:32" ht="15" customHeight="1" x14ac:dyDescent="0.15">
      <c r="B9" s="641"/>
      <c r="C9" s="28"/>
      <c r="D9" s="28"/>
      <c r="E9" s="35"/>
      <c r="F9" s="28"/>
      <c r="G9" s="142">
        <f>D9*F9</f>
        <v>0</v>
      </c>
      <c r="H9" s="154"/>
      <c r="I9" s="641"/>
      <c r="J9" s="28"/>
      <c r="K9" s="161"/>
      <c r="L9" s="161"/>
      <c r="M9" s="161"/>
      <c r="N9" s="142">
        <f t="shared" si="2"/>
        <v>0</v>
      </c>
      <c r="O9" s="171"/>
      <c r="P9" s="218" t="s">
        <v>443</v>
      </c>
      <c r="Q9" s="139">
        <v>700</v>
      </c>
      <c r="R9" s="434" t="s">
        <v>184</v>
      </c>
      <c r="S9" s="139">
        <v>26</v>
      </c>
      <c r="T9" s="786">
        <v>1</v>
      </c>
      <c r="U9" s="749"/>
      <c r="V9" s="773">
        <f t="shared" si="1"/>
        <v>18200</v>
      </c>
      <c r="W9" s="362"/>
      <c r="X9" s="362">
        <f>5850*4</f>
        <v>23400</v>
      </c>
      <c r="Y9" s="362" t="s">
        <v>410</v>
      </c>
      <c r="Z9" s="362"/>
      <c r="AA9" s="362"/>
      <c r="AB9" s="362"/>
      <c r="AC9" s="362"/>
      <c r="AD9" s="362"/>
      <c r="AE9" s="362"/>
      <c r="AF9" s="362"/>
    </row>
    <row r="10" spans="2:32" ht="15" customHeight="1" thickBot="1" x14ac:dyDescent="0.2">
      <c r="B10" s="641"/>
      <c r="C10" s="28"/>
      <c r="D10" s="28"/>
      <c r="E10" s="35"/>
      <c r="F10" s="28"/>
      <c r="G10" s="142">
        <f>D10*F10</f>
        <v>0</v>
      </c>
      <c r="H10" s="154"/>
      <c r="I10" s="746"/>
      <c r="J10" s="219" t="s">
        <v>183</v>
      </c>
      <c r="K10" s="162">
        <f t="shared" ref="K10:L10" si="3">SUM(K6:K9)</f>
        <v>0</v>
      </c>
      <c r="L10" s="162">
        <f t="shared" si="3"/>
        <v>0</v>
      </c>
      <c r="M10" s="162"/>
      <c r="N10" s="157">
        <f>SUM(N6:N9)</f>
        <v>0</v>
      </c>
      <c r="O10" s="171"/>
      <c r="P10" s="218" t="s">
        <v>453</v>
      </c>
      <c r="Q10" s="327">
        <v>0.25</v>
      </c>
      <c r="R10" s="434" t="s">
        <v>455</v>
      </c>
      <c r="S10" s="139">
        <v>53000</v>
      </c>
      <c r="T10" s="786">
        <v>5</v>
      </c>
      <c r="U10" s="749"/>
      <c r="V10" s="773">
        <f t="shared" si="1"/>
        <v>2650</v>
      </c>
      <c r="W10" s="362"/>
      <c r="X10" s="362" t="s">
        <v>406</v>
      </c>
      <c r="Y10" s="362"/>
      <c r="Z10" s="362"/>
      <c r="AA10" s="362"/>
      <c r="AB10" s="362"/>
      <c r="AC10" s="362"/>
      <c r="AD10" s="362"/>
      <c r="AE10" s="362"/>
      <c r="AF10" s="362"/>
    </row>
    <row r="11" spans="2:32" ht="15" customHeight="1" thickTop="1" thickBot="1" x14ac:dyDescent="0.2">
      <c r="B11" s="746"/>
      <c r="C11" s="145" t="s">
        <v>115</v>
      </c>
      <c r="D11" s="146"/>
      <c r="E11" s="146"/>
      <c r="F11" s="146"/>
      <c r="G11" s="147">
        <f>SUM(G8:G10)</f>
        <v>1449</v>
      </c>
      <c r="H11" s="154"/>
      <c r="I11" s="744" t="s">
        <v>185</v>
      </c>
      <c r="J11" s="28" t="s">
        <v>299</v>
      </c>
      <c r="K11" s="161">
        <v>2</v>
      </c>
      <c r="L11" s="311">
        <v>2</v>
      </c>
      <c r="M11" s="161">
        <v>158.4</v>
      </c>
      <c r="N11" s="142">
        <f>K11*L11*M11</f>
        <v>633.6</v>
      </c>
      <c r="O11" s="171"/>
      <c r="P11" s="218" t="s">
        <v>454</v>
      </c>
      <c r="Q11" s="139">
        <v>1000</v>
      </c>
      <c r="R11" s="434" t="s">
        <v>451</v>
      </c>
      <c r="S11" s="139">
        <v>96</v>
      </c>
      <c r="T11" s="786">
        <v>5</v>
      </c>
      <c r="U11" s="749"/>
      <c r="V11" s="773">
        <f t="shared" si="1"/>
        <v>19200</v>
      </c>
      <c r="W11" s="362"/>
      <c r="X11" s="362" t="s">
        <v>407</v>
      </c>
      <c r="Y11" s="362" t="s">
        <v>408</v>
      </c>
      <c r="Z11" s="362"/>
      <c r="AA11" s="362" t="s">
        <v>409</v>
      </c>
      <c r="AB11" s="362"/>
      <c r="AC11" s="362"/>
      <c r="AD11" s="362"/>
      <c r="AE11" s="362"/>
      <c r="AF11" s="362"/>
    </row>
    <row r="12" spans="2:32" ht="15" customHeight="1" thickTop="1" x14ac:dyDescent="0.15">
      <c r="B12" s="744" t="s">
        <v>130</v>
      </c>
      <c r="C12" s="28" t="s">
        <v>564</v>
      </c>
      <c r="D12" s="28">
        <v>2</v>
      </c>
      <c r="E12" s="35" t="s">
        <v>428</v>
      </c>
      <c r="F12" s="28">
        <f>2450/20</f>
        <v>122.5</v>
      </c>
      <c r="G12" s="142">
        <f>D12*F12</f>
        <v>245</v>
      </c>
      <c r="H12" s="154"/>
      <c r="I12" s="641"/>
      <c r="J12" s="28" t="s">
        <v>300</v>
      </c>
      <c r="K12" s="161">
        <v>42.5</v>
      </c>
      <c r="L12" s="311">
        <v>1</v>
      </c>
      <c r="M12" s="161">
        <v>158.4</v>
      </c>
      <c r="N12" s="142">
        <f t="shared" ref="N12:N15" si="4">K12*L12*M12</f>
        <v>6732</v>
      </c>
      <c r="O12" s="171"/>
      <c r="P12" s="218"/>
      <c r="Q12" s="139"/>
      <c r="R12" s="434"/>
      <c r="S12" s="139"/>
      <c r="T12" s="786"/>
      <c r="U12" s="749"/>
      <c r="V12" s="773"/>
      <c r="W12" s="362"/>
      <c r="X12" s="362">
        <f>180/3*19</f>
        <v>1140</v>
      </c>
      <c r="Y12" s="362" t="s">
        <v>410</v>
      </c>
      <c r="Z12" s="362"/>
      <c r="AA12" s="362"/>
      <c r="AB12" s="362"/>
      <c r="AC12" s="362"/>
      <c r="AD12" s="362"/>
      <c r="AE12" s="362"/>
      <c r="AF12" s="362"/>
    </row>
    <row r="13" spans="2:32" ht="15" customHeight="1" x14ac:dyDescent="0.15">
      <c r="B13" s="641"/>
      <c r="C13" s="28" t="s">
        <v>565</v>
      </c>
      <c r="D13" s="28">
        <v>60</v>
      </c>
      <c r="E13" s="35" t="s">
        <v>428</v>
      </c>
      <c r="F13" s="28">
        <f>3340/20</f>
        <v>167</v>
      </c>
      <c r="G13" s="142">
        <f>D13*F13</f>
        <v>10020</v>
      </c>
      <c r="H13" s="154"/>
      <c r="I13" s="641"/>
      <c r="J13" s="28" t="s">
        <v>301</v>
      </c>
      <c r="K13" s="161">
        <v>19.5</v>
      </c>
      <c r="L13" s="311">
        <v>1</v>
      </c>
      <c r="M13" s="161">
        <v>158.4</v>
      </c>
      <c r="N13" s="142">
        <f t="shared" si="4"/>
        <v>3088.8</v>
      </c>
      <c r="O13" s="171"/>
      <c r="P13" s="218"/>
      <c r="Q13" s="139"/>
      <c r="R13" s="434"/>
      <c r="S13" s="139"/>
      <c r="T13" s="786"/>
      <c r="U13" s="749"/>
      <c r="V13" s="773"/>
      <c r="W13" s="362"/>
      <c r="X13" s="362" t="s">
        <v>424</v>
      </c>
      <c r="Y13" s="362"/>
      <c r="Z13" s="362"/>
      <c r="AA13" s="378">
        <f>60*30/1000</f>
        <v>1.8</v>
      </c>
      <c r="AB13" s="362" t="s">
        <v>425</v>
      </c>
      <c r="AC13" s="362" t="s">
        <v>430</v>
      </c>
      <c r="AD13" s="362"/>
      <c r="AE13" s="362"/>
      <c r="AF13" s="362"/>
    </row>
    <row r="14" spans="2:32" ht="15" customHeight="1" x14ac:dyDescent="0.15">
      <c r="B14" s="641"/>
      <c r="C14" s="28"/>
      <c r="D14" s="28"/>
      <c r="E14" s="35"/>
      <c r="F14" s="28"/>
      <c r="G14" s="142">
        <f>D14*F14</f>
        <v>0</v>
      </c>
      <c r="H14" s="154"/>
      <c r="I14" s="641"/>
      <c r="J14" s="337" t="s">
        <v>302</v>
      </c>
      <c r="K14" s="338">
        <v>31.38</v>
      </c>
      <c r="L14" s="339">
        <v>2</v>
      </c>
      <c r="M14" s="338">
        <v>158.4</v>
      </c>
      <c r="N14" s="142">
        <f t="shared" si="4"/>
        <v>9941.1839999999993</v>
      </c>
      <c r="O14" s="171"/>
      <c r="P14" s="218"/>
      <c r="Q14" s="139"/>
      <c r="R14" s="434"/>
      <c r="S14" s="139"/>
      <c r="T14" s="786"/>
      <c r="U14" s="749"/>
      <c r="V14" s="773"/>
      <c r="W14" s="362"/>
      <c r="X14" s="362" t="s">
        <v>411</v>
      </c>
      <c r="Y14" s="362"/>
      <c r="Z14" s="362"/>
      <c r="AA14" s="362"/>
      <c r="AB14" s="362"/>
      <c r="AC14" s="362"/>
      <c r="AD14" s="362"/>
      <c r="AE14" s="362"/>
      <c r="AF14" s="362"/>
    </row>
    <row r="15" spans="2:32" ht="15" customHeight="1" x14ac:dyDescent="0.15">
      <c r="B15" s="641"/>
      <c r="C15" s="28"/>
      <c r="D15" s="28"/>
      <c r="E15" s="28"/>
      <c r="F15" s="28"/>
      <c r="G15" s="142">
        <f t="shared" ref="G15" si="5">D15*F15</f>
        <v>0</v>
      </c>
      <c r="H15" s="154"/>
      <c r="I15" s="748"/>
      <c r="J15" s="151" t="s">
        <v>504</v>
      </c>
      <c r="K15" s="335">
        <v>1</v>
      </c>
      <c r="L15" s="349">
        <v>2</v>
      </c>
      <c r="M15" s="349">
        <v>158.4</v>
      </c>
      <c r="N15" s="142">
        <f t="shared" si="4"/>
        <v>316.8</v>
      </c>
      <c r="O15" s="343"/>
      <c r="P15" s="218"/>
      <c r="Q15" s="139"/>
      <c r="R15" s="434"/>
      <c r="S15" s="139"/>
      <c r="T15" s="786"/>
      <c r="U15" s="749"/>
      <c r="V15" s="773"/>
      <c r="W15" s="362"/>
      <c r="X15" s="362" t="s">
        <v>412</v>
      </c>
      <c r="Y15" s="362" t="s">
        <v>413</v>
      </c>
      <c r="Z15" s="362"/>
      <c r="AA15" s="362"/>
      <c r="AB15" s="362"/>
      <c r="AC15" s="362" t="s">
        <v>464</v>
      </c>
      <c r="AD15" s="362"/>
      <c r="AE15" s="362"/>
      <c r="AF15" s="362"/>
    </row>
    <row r="16" spans="2:32" ht="15" customHeight="1" thickBot="1" x14ac:dyDescent="0.2">
      <c r="B16" s="746"/>
      <c r="C16" s="145" t="s">
        <v>115</v>
      </c>
      <c r="D16" s="146"/>
      <c r="E16" s="146"/>
      <c r="F16" s="146"/>
      <c r="G16" s="147">
        <f>SUM(G12:G15)</f>
        <v>10265</v>
      </c>
      <c r="H16" s="154"/>
      <c r="I16" s="641"/>
      <c r="J16" s="340" t="s">
        <v>183</v>
      </c>
      <c r="K16" s="341">
        <f>SUM(K11:K15)</f>
        <v>96.38</v>
      </c>
      <c r="L16" s="341">
        <f>SUM(L11:L14)</f>
        <v>6</v>
      </c>
      <c r="M16" s="341"/>
      <c r="N16" s="342">
        <f>SUM(N11:N15)</f>
        <v>20712.384000000002</v>
      </c>
      <c r="O16" s="171"/>
      <c r="P16" s="218"/>
      <c r="Q16" s="139"/>
      <c r="R16" s="434"/>
      <c r="S16" s="139"/>
      <c r="T16" s="786"/>
      <c r="U16" s="749"/>
      <c r="V16" s="773"/>
      <c r="W16" s="362"/>
      <c r="X16" s="362">
        <f>6000*115/1000</f>
        <v>690</v>
      </c>
      <c r="Y16" s="362" t="s">
        <v>410</v>
      </c>
      <c r="Z16" s="362"/>
      <c r="AA16" s="362"/>
      <c r="AB16" s="362"/>
      <c r="AC16" s="362" t="s">
        <v>456</v>
      </c>
      <c r="AD16" s="362"/>
      <c r="AE16" s="362"/>
      <c r="AF16" s="362"/>
    </row>
    <row r="17" spans="2:32" ht="15" customHeight="1" thickTop="1" x14ac:dyDescent="0.15">
      <c r="B17" s="744" t="s">
        <v>132</v>
      </c>
      <c r="C17" s="28" t="s">
        <v>566</v>
      </c>
      <c r="D17" s="28">
        <v>60</v>
      </c>
      <c r="E17" s="35" t="s">
        <v>421</v>
      </c>
      <c r="F17" s="28">
        <v>420</v>
      </c>
      <c r="G17" s="142">
        <f t="shared" ref="G17" si="6">D17*F17</f>
        <v>25200</v>
      </c>
      <c r="H17" s="154"/>
      <c r="I17" s="747" t="s">
        <v>503</v>
      </c>
      <c r="J17" s="28"/>
      <c r="K17" s="161"/>
      <c r="L17" s="161"/>
      <c r="M17" s="161"/>
      <c r="N17" s="142">
        <f t="shared" ref="N17:N18" si="7">K17*L17*M17</f>
        <v>0</v>
      </c>
      <c r="O17" s="171"/>
      <c r="P17" s="218"/>
      <c r="Q17" s="139"/>
      <c r="R17" s="434"/>
      <c r="S17" s="139"/>
      <c r="T17" s="786"/>
      <c r="U17" s="749"/>
      <c r="V17" s="773"/>
      <c r="W17" s="362"/>
      <c r="X17" s="362"/>
      <c r="Y17" s="362"/>
      <c r="Z17" s="362"/>
      <c r="AA17" s="362"/>
      <c r="AB17" s="362"/>
      <c r="AC17" s="380" t="s">
        <v>440</v>
      </c>
      <c r="AD17" s="380" t="s">
        <v>441</v>
      </c>
      <c r="AE17" s="380">
        <v>1900</v>
      </c>
      <c r="AF17" s="362"/>
    </row>
    <row r="18" spans="2:32" ht="15" customHeight="1" x14ac:dyDescent="0.15">
      <c r="B18" s="641"/>
      <c r="C18" s="28"/>
      <c r="D18" s="28"/>
      <c r="E18" s="35"/>
      <c r="F18" s="28"/>
      <c r="G18" s="142">
        <f>D18*F18</f>
        <v>0</v>
      </c>
      <c r="H18" s="154"/>
      <c r="I18" s="641"/>
      <c r="J18" s="28"/>
      <c r="K18" s="161"/>
      <c r="L18" s="161"/>
      <c r="M18" s="161"/>
      <c r="N18" s="142">
        <f t="shared" si="7"/>
        <v>0</v>
      </c>
      <c r="O18" s="171"/>
      <c r="P18" s="218"/>
      <c r="Q18" s="139"/>
      <c r="R18" s="434"/>
      <c r="S18" s="139"/>
      <c r="T18" s="786"/>
      <c r="U18" s="749"/>
      <c r="V18" s="773"/>
      <c r="W18" s="362"/>
      <c r="X18" s="362"/>
      <c r="Y18" s="362"/>
      <c r="Z18" s="362"/>
      <c r="AA18" s="362"/>
      <c r="AB18" s="362"/>
      <c r="AC18" s="380" t="s">
        <v>442</v>
      </c>
      <c r="AD18" s="380" t="s">
        <v>441</v>
      </c>
      <c r="AE18" s="380">
        <v>1900</v>
      </c>
      <c r="AF18" s="362"/>
    </row>
    <row r="19" spans="2:32" ht="15" customHeight="1" thickBot="1" x14ac:dyDescent="0.2">
      <c r="B19" s="641"/>
      <c r="C19" s="28"/>
      <c r="D19" s="28"/>
      <c r="E19" s="28"/>
      <c r="F19" s="28"/>
      <c r="G19" s="142">
        <f t="shared" ref="G19" si="8">D19*F19</f>
        <v>0</v>
      </c>
      <c r="H19" s="154"/>
      <c r="I19" s="746"/>
      <c r="J19" s="219" t="s">
        <v>186</v>
      </c>
      <c r="K19" s="162">
        <f>SUM(K16:K18)</f>
        <v>96.38</v>
      </c>
      <c r="L19" s="163">
        <f>SUM(L16:L18)</f>
        <v>6</v>
      </c>
      <c r="M19" s="164"/>
      <c r="N19" s="157">
        <f>SUM(N17:N18)</f>
        <v>0</v>
      </c>
      <c r="O19" s="171"/>
      <c r="P19" s="218"/>
      <c r="Q19" s="139"/>
      <c r="R19" s="434"/>
      <c r="S19" s="139"/>
      <c r="T19" s="786"/>
      <c r="U19" s="749"/>
      <c r="V19" s="773"/>
      <c r="W19" s="362"/>
      <c r="X19" s="362" t="s">
        <v>417</v>
      </c>
      <c r="Y19" s="362"/>
      <c r="Z19" s="362"/>
      <c r="AA19" s="362"/>
      <c r="AB19" s="362"/>
      <c r="AC19" s="381" t="s">
        <v>443</v>
      </c>
      <c r="AD19" s="381" t="s">
        <v>444</v>
      </c>
      <c r="AE19" s="381">
        <v>700</v>
      </c>
      <c r="AF19" s="362"/>
    </row>
    <row r="20" spans="2:32" ht="15" customHeight="1" thickTop="1" thickBot="1" x14ac:dyDescent="0.2">
      <c r="B20" s="746"/>
      <c r="C20" s="145" t="s">
        <v>115</v>
      </c>
      <c r="D20" s="146"/>
      <c r="E20" s="146"/>
      <c r="F20" s="146"/>
      <c r="G20" s="147">
        <f>SUM(G17:G19)</f>
        <v>25200</v>
      </c>
      <c r="H20" s="154"/>
      <c r="I20" s="744" t="s">
        <v>140</v>
      </c>
      <c r="J20" s="28" t="s">
        <v>307</v>
      </c>
      <c r="K20" s="161">
        <v>388</v>
      </c>
      <c r="L20" s="161">
        <v>1</v>
      </c>
      <c r="M20" s="161">
        <v>102.1</v>
      </c>
      <c r="N20" s="142">
        <f>K20*L20*M20</f>
        <v>39614.799999999996</v>
      </c>
      <c r="O20" s="171"/>
      <c r="P20" s="787" t="s">
        <v>26</v>
      </c>
      <c r="Q20" s="227"/>
      <c r="R20" s="227"/>
      <c r="S20" s="227"/>
      <c r="T20" s="750"/>
      <c r="U20" s="751"/>
      <c r="V20" s="774">
        <f>SUM(V5:V19)</f>
        <v>290664</v>
      </c>
      <c r="W20" s="362"/>
      <c r="X20" s="362">
        <f>X9+X12+X16</f>
        <v>25230</v>
      </c>
      <c r="Y20" s="362" t="s">
        <v>410</v>
      </c>
      <c r="Z20" s="362"/>
      <c r="AA20" s="362"/>
      <c r="AB20" s="362"/>
      <c r="AC20" s="380" t="s">
        <v>445</v>
      </c>
      <c r="AD20" s="380" t="s">
        <v>446</v>
      </c>
      <c r="AE20" s="380">
        <v>1</v>
      </c>
      <c r="AF20" s="362"/>
    </row>
    <row r="21" spans="2:32" ht="15" customHeight="1" thickTop="1" x14ac:dyDescent="0.15">
      <c r="B21" s="744" t="s">
        <v>133</v>
      </c>
      <c r="C21" s="28"/>
      <c r="D21" s="28"/>
      <c r="E21" s="35"/>
      <c r="F21" s="28"/>
      <c r="G21" s="142">
        <f>D21*F21</f>
        <v>0</v>
      </c>
      <c r="H21" s="154"/>
      <c r="I21" s="641"/>
      <c r="J21" s="28"/>
      <c r="K21" s="161"/>
      <c r="L21" s="161"/>
      <c r="M21" s="161"/>
      <c r="N21" s="142">
        <f t="shared" ref="N21:N22" si="9">K21*L21*M21</f>
        <v>0</v>
      </c>
      <c r="O21" s="171"/>
      <c r="W21" s="362"/>
      <c r="X21" s="362" t="s">
        <v>418</v>
      </c>
      <c r="Y21" s="362" t="s">
        <v>419</v>
      </c>
      <c r="Z21" s="362"/>
      <c r="AA21" s="362" t="s">
        <v>420</v>
      </c>
      <c r="AB21" s="362"/>
      <c r="AC21" s="380" t="s">
        <v>447</v>
      </c>
      <c r="AD21" s="380" t="s">
        <v>441</v>
      </c>
      <c r="AE21" s="380">
        <v>1000</v>
      </c>
      <c r="AF21" s="362"/>
    </row>
    <row r="22" spans="2:32" ht="15" customHeight="1" thickBot="1" x14ac:dyDescent="0.2">
      <c r="B22" s="641"/>
      <c r="C22" s="28"/>
      <c r="D22" s="28"/>
      <c r="E22" s="35"/>
      <c r="F22" s="28"/>
      <c r="G22" s="142">
        <f>D22*F22</f>
        <v>0</v>
      </c>
      <c r="H22" s="154"/>
      <c r="I22" s="641"/>
      <c r="J22" s="28"/>
      <c r="K22" s="161"/>
      <c r="L22" s="161"/>
      <c r="M22" s="161"/>
      <c r="N22" s="142">
        <f t="shared" si="9"/>
        <v>0</v>
      </c>
      <c r="O22" s="171"/>
      <c r="P22" s="166" t="s">
        <v>180</v>
      </c>
      <c r="W22" s="362"/>
      <c r="X22" s="362">
        <f>X20*4/10</f>
        <v>10092</v>
      </c>
      <c r="Y22" s="362">
        <f>X20*6/10</f>
        <v>15138</v>
      </c>
      <c r="Z22" s="362"/>
      <c r="AA22" s="362">
        <f>X20*2.5/1000</f>
        <v>63.075000000000003</v>
      </c>
      <c r="AB22" s="362"/>
      <c r="AC22" s="381" t="s">
        <v>448</v>
      </c>
      <c r="AD22" s="381" t="s">
        <v>449</v>
      </c>
      <c r="AE22" s="381">
        <v>1000</v>
      </c>
      <c r="AF22" s="362"/>
    </row>
    <row r="23" spans="2:32" ht="15" customHeight="1" thickBot="1" x14ac:dyDescent="0.2">
      <c r="B23" s="641"/>
      <c r="C23" s="28"/>
      <c r="D23" s="28"/>
      <c r="E23" s="35"/>
      <c r="F23" s="28"/>
      <c r="G23" s="142">
        <f>D23*F23</f>
        <v>0</v>
      </c>
      <c r="H23" s="154"/>
      <c r="I23" s="746"/>
      <c r="J23" s="219" t="s">
        <v>186</v>
      </c>
      <c r="K23" s="162">
        <f>SUM(K20:K22)</f>
        <v>388</v>
      </c>
      <c r="L23" s="163">
        <f>SUM(L20:L22)</f>
        <v>1</v>
      </c>
      <c r="M23" s="164"/>
      <c r="N23" s="157">
        <f>SUM(N20:N22)</f>
        <v>39614.799999999996</v>
      </c>
      <c r="O23" s="171"/>
      <c r="P23" s="769" t="s">
        <v>147</v>
      </c>
      <c r="Q23" s="770" t="s">
        <v>142</v>
      </c>
      <c r="R23" s="770" t="s">
        <v>143</v>
      </c>
      <c r="S23" s="770" t="s">
        <v>187</v>
      </c>
      <c r="T23" s="770" t="s">
        <v>145</v>
      </c>
      <c r="U23" s="771" t="s">
        <v>230</v>
      </c>
      <c r="V23" s="772" t="s">
        <v>146</v>
      </c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</row>
    <row r="24" spans="2:32" ht="15" customHeight="1" thickTop="1" thickBot="1" x14ac:dyDescent="0.2">
      <c r="B24" s="745"/>
      <c r="C24" s="148" t="s">
        <v>116</v>
      </c>
      <c r="D24" s="149"/>
      <c r="E24" s="149"/>
      <c r="F24" s="156"/>
      <c r="G24" s="150">
        <f>SUM(G21:G23)</f>
        <v>0</v>
      </c>
      <c r="I24" s="744" t="s">
        <v>234</v>
      </c>
      <c r="J24" s="28"/>
      <c r="K24" s="161"/>
      <c r="L24" s="161"/>
      <c r="M24" s="161"/>
      <c r="N24" s="142"/>
      <c r="O24" s="171"/>
      <c r="P24" s="218" t="s">
        <v>457</v>
      </c>
      <c r="Q24" s="139">
        <v>1</v>
      </c>
      <c r="R24" s="268" t="s">
        <v>79</v>
      </c>
      <c r="S24" s="139">
        <v>116000</v>
      </c>
      <c r="T24" s="139">
        <v>5</v>
      </c>
      <c r="U24" s="278">
        <v>40</v>
      </c>
      <c r="V24" s="773">
        <f>Q24*S24/T24/U24*10</f>
        <v>5800</v>
      </c>
      <c r="W24" s="362"/>
      <c r="X24" s="362"/>
      <c r="Y24" s="362" t="s">
        <v>464</v>
      </c>
      <c r="Z24" s="362"/>
      <c r="AA24" s="362"/>
      <c r="AB24" s="362"/>
      <c r="AC24" s="362"/>
      <c r="AD24" s="362"/>
      <c r="AE24" s="362"/>
      <c r="AF24" s="362"/>
    </row>
    <row r="25" spans="2:32" ht="15" customHeight="1" x14ac:dyDescent="0.15">
      <c r="H25" s="155"/>
      <c r="I25" s="641"/>
      <c r="J25" s="28"/>
      <c r="K25" s="161"/>
      <c r="L25" s="161"/>
      <c r="M25" s="161"/>
      <c r="N25" s="142">
        <f t="shared" ref="N25:N26" si="10">K25*L25*M25</f>
        <v>0</v>
      </c>
      <c r="O25" s="171"/>
      <c r="P25" s="218" t="s">
        <v>458</v>
      </c>
      <c r="Q25" s="139">
        <v>1</v>
      </c>
      <c r="R25" s="434" t="s">
        <v>513</v>
      </c>
      <c r="S25" s="139">
        <v>80000</v>
      </c>
      <c r="T25" s="139">
        <v>5</v>
      </c>
      <c r="U25" s="278">
        <v>10</v>
      </c>
      <c r="V25" s="773">
        <f t="shared" ref="V25:V26" si="11">Q25*S25/T25/U25*10</f>
        <v>16000</v>
      </c>
      <c r="W25" s="362"/>
      <c r="X25" s="362"/>
      <c r="Y25" s="362">
        <f>116000/5/4+80000/5+6000*2/5+70000/5/4+(1800+3600)/3</f>
        <v>29500</v>
      </c>
      <c r="Z25" s="362"/>
      <c r="AA25" s="362"/>
      <c r="AB25" s="362"/>
      <c r="AC25" s="362"/>
      <c r="AD25" s="362"/>
      <c r="AE25" s="362"/>
      <c r="AF25" s="362"/>
    </row>
    <row r="26" spans="2:32" ht="15" customHeight="1" thickBot="1" x14ac:dyDescent="0.2">
      <c r="B26" s="5" t="s">
        <v>188</v>
      </c>
      <c r="C26" s="5"/>
      <c r="D26" s="31"/>
      <c r="E26" s="5"/>
      <c r="F26" s="31"/>
      <c r="G26" s="32"/>
      <c r="H26" s="153"/>
      <c r="I26" s="641"/>
      <c r="J26" s="28"/>
      <c r="K26" s="161"/>
      <c r="L26" s="161"/>
      <c r="M26" s="161"/>
      <c r="N26" s="142">
        <f t="shared" si="10"/>
        <v>0</v>
      </c>
      <c r="O26" s="171"/>
      <c r="P26" s="218" t="s">
        <v>459</v>
      </c>
      <c r="Q26" s="139">
        <v>1</v>
      </c>
      <c r="R26" s="268" t="s">
        <v>79</v>
      </c>
      <c r="S26" s="139">
        <v>70000</v>
      </c>
      <c r="T26" s="139">
        <v>5</v>
      </c>
      <c r="U26" s="278">
        <v>40</v>
      </c>
      <c r="V26" s="773">
        <f t="shared" si="11"/>
        <v>3500</v>
      </c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</row>
    <row r="27" spans="2:32" ht="15" customHeight="1" thickBot="1" x14ac:dyDescent="0.2">
      <c r="B27" s="217" t="s">
        <v>71</v>
      </c>
      <c r="C27" s="152" t="s">
        <v>108</v>
      </c>
      <c r="D27" s="152" t="s">
        <v>109</v>
      </c>
      <c r="E27" s="152" t="s">
        <v>110</v>
      </c>
      <c r="F27" s="152" t="s">
        <v>21</v>
      </c>
      <c r="G27" s="140" t="s">
        <v>111</v>
      </c>
      <c r="H27" s="154"/>
      <c r="I27" s="746"/>
      <c r="J27" s="219" t="s">
        <v>183</v>
      </c>
      <c r="K27" s="162">
        <f>SUM(K24:K26)</f>
        <v>0</v>
      </c>
      <c r="L27" s="163">
        <f>SUM(L24:L26)</f>
        <v>0</v>
      </c>
      <c r="M27" s="164"/>
      <c r="N27" s="157">
        <f>SUM(N24:N26)</f>
        <v>0</v>
      </c>
      <c r="O27" s="171"/>
      <c r="P27" s="218" t="s">
        <v>460</v>
      </c>
      <c r="Q27" s="139">
        <v>2</v>
      </c>
      <c r="R27" s="268" t="s">
        <v>79</v>
      </c>
      <c r="S27" s="139">
        <v>6000</v>
      </c>
      <c r="T27" s="139">
        <v>5</v>
      </c>
      <c r="U27" s="278">
        <v>10</v>
      </c>
      <c r="V27" s="773">
        <f t="shared" ref="V27:V29" si="12">Q27*S27/T27/U27*10</f>
        <v>2400</v>
      </c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</row>
    <row r="28" spans="2:32" ht="15" customHeight="1" thickTop="1" x14ac:dyDescent="0.15">
      <c r="B28" s="640" t="s">
        <v>27</v>
      </c>
      <c r="C28" s="28" t="s">
        <v>567</v>
      </c>
      <c r="D28" s="309">
        <v>200</v>
      </c>
      <c r="E28" s="35" t="s">
        <v>347</v>
      </c>
      <c r="F28" s="28">
        <v>21.84</v>
      </c>
      <c r="G28" s="141">
        <f>D28*F28</f>
        <v>4368</v>
      </c>
      <c r="H28" s="154"/>
      <c r="I28" s="744" t="s">
        <v>137</v>
      </c>
      <c r="J28" s="28" t="s">
        <v>306</v>
      </c>
      <c r="K28" s="161">
        <v>540</v>
      </c>
      <c r="L28" s="161">
        <v>1</v>
      </c>
      <c r="M28" s="161">
        <v>14</v>
      </c>
      <c r="N28" s="142">
        <f>K28*L28*M28</f>
        <v>7560</v>
      </c>
      <c r="O28" s="171"/>
      <c r="P28" s="218" t="s">
        <v>461</v>
      </c>
      <c r="Q28" s="139">
        <v>1</v>
      </c>
      <c r="R28" s="268" t="s">
        <v>465</v>
      </c>
      <c r="S28" s="139">
        <v>1800</v>
      </c>
      <c r="T28" s="139">
        <v>3</v>
      </c>
      <c r="U28" s="278">
        <v>10</v>
      </c>
      <c r="V28" s="773">
        <f t="shared" si="12"/>
        <v>600</v>
      </c>
      <c r="W28" s="362"/>
      <c r="X28" s="382" t="s">
        <v>325</v>
      </c>
      <c r="Y28" s="759" t="s">
        <v>326</v>
      </c>
      <c r="Z28" s="759"/>
      <c r="AA28" s="383" t="s">
        <v>329</v>
      </c>
      <c r="AB28" s="382" t="s">
        <v>330</v>
      </c>
      <c r="AC28" s="362"/>
      <c r="AD28" s="362"/>
      <c r="AE28" s="362"/>
      <c r="AF28" s="362"/>
    </row>
    <row r="29" spans="2:32" ht="15" customHeight="1" x14ac:dyDescent="0.15">
      <c r="B29" s="641"/>
      <c r="C29" s="28" t="s">
        <v>568</v>
      </c>
      <c r="D29" s="309">
        <v>200</v>
      </c>
      <c r="E29" s="35" t="s">
        <v>281</v>
      </c>
      <c r="F29" s="28">
        <v>12.336</v>
      </c>
      <c r="G29" s="142">
        <f t="shared" ref="G29:G37" si="13">D29*F29</f>
        <v>2467.2000000000003</v>
      </c>
      <c r="H29" s="154"/>
      <c r="I29" s="641"/>
      <c r="J29" s="28" t="s">
        <v>519</v>
      </c>
      <c r="K29" s="161">
        <v>540</v>
      </c>
      <c r="L29" s="161">
        <v>1</v>
      </c>
      <c r="M29" s="161">
        <v>14</v>
      </c>
      <c r="N29" s="142">
        <f>K29*L29*M29</f>
        <v>7560</v>
      </c>
      <c r="O29" s="30"/>
      <c r="P29" s="218" t="s">
        <v>462</v>
      </c>
      <c r="Q29" s="139">
        <v>1</v>
      </c>
      <c r="R29" s="268" t="s">
        <v>465</v>
      </c>
      <c r="S29" s="139">
        <v>3600</v>
      </c>
      <c r="T29" s="139">
        <v>3</v>
      </c>
      <c r="U29" s="278">
        <v>10</v>
      </c>
      <c r="V29" s="773">
        <f t="shared" si="12"/>
        <v>1200</v>
      </c>
      <c r="W29" s="362"/>
      <c r="X29" s="384" t="s">
        <v>327</v>
      </c>
      <c r="Y29" s="385">
        <v>250</v>
      </c>
      <c r="Z29" s="385" t="s">
        <v>348</v>
      </c>
      <c r="AA29" s="385" t="s">
        <v>328</v>
      </c>
      <c r="AB29" s="386">
        <v>5460</v>
      </c>
      <c r="AC29" s="362"/>
      <c r="AD29" s="362"/>
      <c r="AE29" s="362"/>
      <c r="AF29" s="362"/>
    </row>
    <row r="30" spans="2:32" ht="15" customHeight="1" x14ac:dyDescent="0.15">
      <c r="B30" s="641"/>
      <c r="C30" s="28" t="s">
        <v>569</v>
      </c>
      <c r="D30" s="309">
        <v>300</v>
      </c>
      <c r="E30" s="35" t="s">
        <v>347</v>
      </c>
      <c r="F30" s="28">
        <v>15.688000000000001</v>
      </c>
      <c r="G30" s="142">
        <f t="shared" si="13"/>
        <v>4706.4000000000005</v>
      </c>
      <c r="H30" s="154"/>
      <c r="I30" s="641"/>
      <c r="J30" s="28"/>
      <c r="K30" s="161"/>
      <c r="L30" s="161"/>
      <c r="M30" s="161"/>
      <c r="N30" s="142">
        <f t="shared" ref="N30" si="14">K30*L30*M30</f>
        <v>0</v>
      </c>
      <c r="P30" s="218"/>
      <c r="Q30" s="139"/>
      <c r="R30" s="434"/>
      <c r="S30" s="139"/>
      <c r="T30" s="139"/>
      <c r="U30" s="278"/>
      <c r="V30" s="773"/>
      <c r="W30" s="362"/>
      <c r="X30" s="384" t="s">
        <v>331</v>
      </c>
      <c r="Y30" s="385">
        <v>500</v>
      </c>
      <c r="Z30" s="385" t="s">
        <v>349</v>
      </c>
      <c r="AA30" s="385" t="s">
        <v>333</v>
      </c>
      <c r="AB30" s="386">
        <v>6168</v>
      </c>
      <c r="AC30" s="362"/>
      <c r="AD30" s="362"/>
      <c r="AE30" s="362"/>
      <c r="AF30" s="362"/>
    </row>
    <row r="31" spans="2:32" ht="15" customHeight="1" thickBot="1" x14ac:dyDescent="0.2">
      <c r="B31" s="641"/>
      <c r="C31" s="28" t="s">
        <v>570</v>
      </c>
      <c r="D31" s="309">
        <v>300</v>
      </c>
      <c r="E31" s="35" t="s">
        <v>281</v>
      </c>
      <c r="F31" s="28">
        <v>7.6319999999999997</v>
      </c>
      <c r="G31" s="142">
        <f t="shared" si="13"/>
        <v>2289.6</v>
      </c>
      <c r="H31" s="154"/>
      <c r="I31" s="745"/>
      <c r="J31" s="220" t="s">
        <v>189</v>
      </c>
      <c r="K31" s="165">
        <f>SUM(K28:K30)</f>
        <v>1080</v>
      </c>
      <c r="L31" s="167">
        <f>SUM(L28:L30)</f>
        <v>2</v>
      </c>
      <c r="M31" s="168"/>
      <c r="N31" s="159">
        <f>SUM(N28:N30)</f>
        <v>15120</v>
      </c>
      <c r="P31" s="218"/>
      <c r="Q31" s="139"/>
      <c r="R31" s="434"/>
      <c r="S31" s="139"/>
      <c r="T31" s="139"/>
      <c r="U31" s="278"/>
      <c r="V31" s="773"/>
      <c r="W31" s="362"/>
      <c r="X31" s="384" t="s">
        <v>334</v>
      </c>
      <c r="Y31" s="385">
        <v>250</v>
      </c>
      <c r="Z31" s="385" t="s">
        <v>348</v>
      </c>
      <c r="AA31" s="385" t="s">
        <v>333</v>
      </c>
      <c r="AB31" s="386">
        <v>3922</v>
      </c>
      <c r="AC31" s="362"/>
      <c r="AD31" s="362"/>
      <c r="AE31" s="362"/>
      <c r="AF31" s="362"/>
    </row>
    <row r="32" spans="2:32" ht="15" customHeight="1" x14ac:dyDescent="0.15">
      <c r="B32" s="641"/>
      <c r="C32" s="279" t="s">
        <v>571</v>
      </c>
      <c r="D32" s="309">
        <v>200</v>
      </c>
      <c r="E32" s="35" t="s">
        <v>281</v>
      </c>
      <c r="F32" s="28">
        <v>5.74</v>
      </c>
      <c r="G32" s="142">
        <f t="shared" si="13"/>
        <v>1148</v>
      </c>
      <c r="H32" s="154"/>
      <c r="I32" s="134"/>
      <c r="J32" s="134"/>
      <c r="K32" s="134"/>
      <c r="L32" s="134"/>
      <c r="M32" s="134"/>
      <c r="N32" s="134"/>
      <c r="P32" s="218"/>
      <c r="Q32" s="139"/>
      <c r="R32" s="434"/>
      <c r="S32" s="139"/>
      <c r="T32" s="139"/>
      <c r="U32" s="278"/>
      <c r="V32" s="773"/>
      <c r="W32" s="362"/>
      <c r="X32" s="384" t="s">
        <v>335</v>
      </c>
      <c r="Y32" s="385">
        <v>500</v>
      </c>
      <c r="Z32" s="385" t="s">
        <v>349</v>
      </c>
      <c r="AA32" s="385" t="s">
        <v>333</v>
      </c>
      <c r="AB32" s="386">
        <v>3816</v>
      </c>
      <c r="AC32" s="362"/>
      <c r="AD32" s="362"/>
      <c r="AE32" s="362"/>
      <c r="AF32" s="362"/>
    </row>
    <row r="33" spans="2:32" ht="15" customHeight="1" thickBot="1" x14ac:dyDescent="0.2">
      <c r="B33" s="641"/>
      <c r="C33" s="279" t="s">
        <v>572</v>
      </c>
      <c r="D33" s="309">
        <v>900</v>
      </c>
      <c r="E33" s="35" t="s">
        <v>281</v>
      </c>
      <c r="F33" s="28">
        <v>3.64</v>
      </c>
      <c r="G33" s="142">
        <f t="shared" si="13"/>
        <v>3276</v>
      </c>
      <c r="H33" s="154"/>
      <c r="I33" s="128" t="s">
        <v>178</v>
      </c>
      <c r="J33" s="123"/>
      <c r="K33" s="123"/>
      <c r="L33" s="123"/>
      <c r="M33" s="123"/>
      <c r="P33" s="218"/>
      <c r="Q33" s="139"/>
      <c r="R33" s="434"/>
      <c r="S33" s="139"/>
      <c r="T33" s="139"/>
      <c r="U33" s="278"/>
      <c r="V33" s="773"/>
      <c r="W33" s="362"/>
      <c r="X33" s="384" t="s">
        <v>336</v>
      </c>
      <c r="Y33" s="385">
        <v>500</v>
      </c>
      <c r="Z33" s="385" t="s">
        <v>350</v>
      </c>
      <c r="AA33" s="385">
        <v>60</v>
      </c>
      <c r="AB33" s="386">
        <v>2870</v>
      </c>
      <c r="AC33" s="362"/>
      <c r="AD33" s="362"/>
      <c r="AE33" s="362"/>
      <c r="AF33" s="362"/>
    </row>
    <row r="34" spans="2:32" ht="15" customHeight="1" thickBot="1" x14ac:dyDescent="0.2">
      <c r="B34" s="641"/>
      <c r="C34" s="28" t="s">
        <v>573</v>
      </c>
      <c r="D34" s="309">
        <v>500</v>
      </c>
      <c r="E34" s="35" t="s">
        <v>347</v>
      </c>
      <c r="F34" s="28">
        <v>4.22</v>
      </c>
      <c r="G34" s="142">
        <f t="shared" si="13"/>
        <v>2110</v>
      </c>
      <c r="H34" s="154"/>
      <c r="I34" s="418" t="s">
        <v>165</v>
      </c>
      <c r="J34" s="419" t="s">
        <v>3</v>
      </c>
      <c r="K34" s="721" t="s">
        <v>166</v>
      </c>
      <c r="L34" s="722"/>
      <c r="M34" s="420" t="s">
        <v>230</v>
      </c>
      <c r="N34" s="421" t="s">
        <v>190</v>
      </c>
      <c r="P34" s="435" t="s">
        <v>170</v>
      </c>
      <c r="Q34" s="227"/>
      <c r="R34" s="227"/>
      <c r="S34" s="227"/>
      <c r="T34" s="227"/>
      <c r="U34" s="169"/>
      <c r="V34" s="774">
        <f>SUM(V24:V33)</f>
        <v>29500</v>
      </c>
      <c r="W34" s="362"/>
      <c r="X34" s="384" t="s">
        <v>337</v>
      </c>
      <c r="Y34" s="385">
        <v>500</v>
      </c>
      <c r="Z34" s="385" t="s">
        <v>350</v>
      </c>
      <c r="AA34" s="385" t="s">
        <v>333</v>
      </c>
      <c r="AB34" s="386">
        <v>1820</v>
      </c>
      <c r="AC34" s="362"/>
      <c r="AD34" s="362"/>
      <c r="AE34" s="362"/>
      <c r="AF34" s="362"/>
    </row>
    <row r="35" spans="2:32" ht="15" customHeight="1" x14ac:dyDescent="0.15">
      <c r="B35" s="641"/>
      <c r="C35" s="28"/>
      <c r="D35" s="28"/>
      <c r="E35" s="35"/>
      <c r="F35" s="28"/>
      <c r="G35" s="142">
        <f t="shared" si="13"/>
        <v>0</v>
      </c>
      <c r="H35" s="154"/>
      <c r="I35" s="729" t="s">
        <v>0</v>
      </c>
      <c r="J35" s="151" t="s">
        <v>434</v>
      </c>
      <c r="K35" s="720">
        <f>'６　固定資本装備と減価償却費'!G5</f>
        <v>2160000</v>
      </c>
      <c r="L35" s="720"/>
      <c r="M35" s="393">
        <v>40</v>
      </c>
      <c r="N35" s="212">
        <f>+K35/M35*0.3*10*0.014</f>
        <v>2268</v>
      </c>
      <c r="W35" s="362"/>
      <c r="X35" s="362" t="s">
        <v>338</v>
      </c>
      <c r="Y35" s="387">
        <v>500</v>
      </c>
      <c r="Z35" s="387" t="s">
        <v>348</v>
      </c>
      <c r="AA35" s="362"/>
      <c r="AB35" s="388">
        <v>2110</v>
      </c>
      <c r="AC35" s="362"/>
      <c r="AD35" s="362"/>
      <c r="AE35" s="362"/>
      <c r="AF35" s="362"/>
    </row>
    <row r="36" spans="2:32" ht="15" customHeight="1" thickBot="1" x14ac:dyDescent="0.2">
      <c r="B36" s="641"/>
      <c r="C36" s="28"/>
      <c r="D36" s="28"/>
      <c r="E36" s="35"/>
      <c r="F36" s="28"/>
      <c r="G36" s="142">
        <f t="shared" si="13"/>
        <v>0</v>
      </c>
      <c r="H36" s="154"/>
      <c r="I36" s="730"/>
      <c r="J36" s="151" t="s">
        <v>435</v>
      </c>
      <c r="K36" s="720">
        <f>'６　固定資本装備と減価償却費'!G6</f>
        <v>2160000</v>
      </c>
      <c r="L36" s="720"/>
      <c r="M36" s="393">
        <v>40</v>
      </c>
      <c r="N36" s="212">
        <f t="shared" ref="N36" si="15">+K36/M36*0.3*10*0.014</f>
        <v>2268</v>
      </c>
      <c r="P36" s="128" t="s">
        <v>171</v>
      </c>
      <c r="Q36" s="123"/>
      <c r="R36" s="123"/>
      <c r="S36" s="123"/>
      <c r="T36" s="123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</row>
    <row r="37" spans="2:32" ht="15" customHeight="1" x14ac:dyDescent="0.15">
      <c r="B37" s="641"/>
      <c r="C37" s="28"/>
      <c r="D37" s="28"/>
      <c r="E37" s="35"/>
      <c r="F37" s="28"/>
      <c r="G37" s="142">
        <f t="shared" si="13"/>
        <v>0</v>
      </c>
      <c r="H37" s="154"/>
      <c r="I37" s="730"/>
      <c r="J37" s="151" t="s">
        <v>522</v>
      </c>
      <c r="K37" s="720">
        <f>1400*65/10</f>
        <v>9100</v>
      </c>
      <c r="L37" s="720"/>
      <c r="M37" s="393">
        <v>40</v>
      </c>
      <c r="N37" s="212">
        <f>+K37/M37*10</f>
        <v>2275</v>
      </c>
      <c r="O37" s="166"/>
      <c r="P37" s="418" t="s">
        <v>164</v>
      </c>
      <c r="Q37" s="768" t="s">
        <v>172</v>
      </c>
      <c r="R37" s="768"/>
      <c r="S37" s="436" t="s">
        <v>175</v>
      </c>
      <c r="T37" s="436" t="s">
        <v>174</v>
      </c>
      <c r="U37" s="270" t="s">
        <v>230</v>
      </c>
      <c r="V37" s="775" t="s">
        <v>190</v>
      </c>
      <c r="W37" s="362"/>
      <c r="X37" s="384" t="s">
        <v>339</v>
      </c>
      <c r="Y37" s="385">
        <v>100</v>
      </c>
      <c r="Z37" s="385" t="s">
        <v>349</v>
      </c>
      <c r="AA37" s="385" t="s">
        <v>340</v>
      </c>
      <c r="AB37" s="386">
        <v>1276</v>
      </c>
      <c r="AC37" s="362">
        <f>AB37/Y37</f>
        <v>12.76</v>
      </c>
      <c r="AD37" s="362"/>
      <c r="AE37" s="362"/>
      <c r="AF37" s="362"/>
    </row>
    <row r="38" spans="2:32" ht="15" customHeight="1" thickBot="1" x14ac:dyDescent="0.2">
      <c r="B38" s="746"/>
      <c r="C38" s="143" t="s">
        <v>114</v>
      </c>
      <c r="D38" s="143"/>
      <c r="E38" s="143"/>
      <c r="F38" s="143"/>
      <c r="G38" s="144">
        <f>SUM(G28:G37)</f>
        <v>20365.200000000004</v>
      </c>
      <c r="H38" s="154"/>
      <c r="I38" s="730"/>
      <c r="J38" s="151"/>
      <c r="K38" s="720"/>
      <c r="L38" s="720"/>
      <c r="M38" s="393"/>
      <c r="N38" s="212"/>
      <c r="O38" s="166"/>
      <c r="P38" s="766" t="s">
        <v>173</v>
      </c>
      <c r="Q38" s="209" t="s">
        <v>177</v>
      </c>
      <c r="R38" s="350" t="s">
        <v>525</v>
      </c>
      <c r="S38" s="210">
        <f>V38*U38/10</f>
        <v>56931.333333333336</v>
      </c>
      <c r="T38" s="225">
        <v>1</v>
      </c>
      <c r="U38" s="210">
        <v>40</v>
      </c>
      <c r="V38" s="212">
        <v>14232.833333333334</v>
      </c>
      <c r="W38" s="362"/>
      <c r="X38" s="384" t="s">
        <v>341</v>
      </c>
      <c r="Y38" s="385">
        <v>100</v>
      </c>
      <c r="Z38" s="385" t="s">
        <v>348</v>
      </c>
      <c r="AA38" s="385" t="s">
        <v>332</v>
      </c>
      <c r="AB38" s="386">
        <v>1713</v>
      </c>
      <c r="AC38" s="362">
        <f t="shared" ref="AC38:AC44" si="16">AB38/Y38</f>
        <v>17.13</v>
      </c>
      <c r="AD38" s="362"/>
      <c r="AE38" s="362"/>
      <c r="AF38" s="362"/>
    </row>
    <row r="39" spans="2:32" ht="15" customHeight="1" thickTop="1" x14ac:dyDescent="0.15">
      <c r="B39" s="744" t="s">
        <v>134</v>
      </c>
      <c r="C39" s="28" t="s">
        <v>566</v>
      </c>
      <c r="D39" s="309">
        <v>200</v>
      </c>
      <c r="E39" s="35" t="s">
        <v>280</v>
      </c>
      <c r="F39" s="28">
        <v>12.76</v>
      </c>
      <c r="G39" s="142">
        <f>D39*F39</f>
        <v>2552</v>
      </c>
      <c r="H39" s="154"/>
      <c r="I39" s="730"/>
      <c r="J39" s="151"/>
      <c r="K39" s="720"/>
      <c r="L39" s="720"/>
      <c r="M39" s="393"/>
      <c r="N39" s="212"/>
      <c r="O39" s="166"/>
      <c r="P39" s="764"/>
      <c r="Q39" s="209"/>
      <c r="R39" s="350" t="s">
        <v>387</v>
      </c>
      <c r="S39" s="210">
        <f>V39*12/10</f>
        <v>20084.400000000001</v>
      </c>
      <c r="T39" s="225">
        <v>1</v>
      </c>
      <c r="U39" s="210">
        <v>40</v>
      </c>
      <c r="V39" s="212">
        <v>16737</v>
      </c>
      <c r="W39" s="362"/>
      <c r="X39" s="384" t="s">
        <v>342</v>
      </c>
      <c r="Y39" s="385">
        <v>500</v>
      </c>
      <c r="Z39" s="385" t="s">
        <v>349</v>
      </c>
      <c r="AA39" s="385" t="s">
        <v>333</v>
      </c>
      <c r="AB39" s="386">
        <v>9320</v>
      </c>
      <c r="AC39" s="362">
        <f t="shared" si="16"/>
        <v>18.64</v>
      </c>
      <c r="AD39" s="362"/>
      <c r="AE39" s="362"/>
      <c r="AF39" s="362"/>
    </row>
    <row r="40" spans="2:32" ht="15" customHeight="1" x14ac:dyDescent="0.15">
      <c r="B40" s="641"/>
      <c r="C40" s="28" t="s">
        <v>574</v>
      </c>
      <c r="D40" s="309">
        <v>100</v>
      </c>
      <c r="E40" s="35" t="s">
        <v>348</v>
      </c>
      <c r="F40" s="28">
        <v>17.13</v>
      </c>
      <c r="G40" s="142">
        <f>D40*F40</f>
        <v>1713</v>
      </c>
      <c r="H40" s="154"/>
      <c r="I40" s="730"/>
      <c r="J40" s="151"/>
      <c r="K40" s="720"/>
      <c r="L40" s="720"/>
      <c r="M40" s="393"/>
      <c r="N40" s="212"/>
      <c r="O40" s="166"/>
      <c r="P40" s="764"/>
      <c r="Q40" s="209"/>
      <c r="R40" s="350" t="s">
        <v>523</v>
      </c>
      <c r="S40" s="210">
        <f>47120*U40/10*(7/12)</f>
        <v>109946.66666666667</v>
      </c>
      <c r="T40" s="225">
        <v>1</v>
      </c>
      <c r="U40" s="210">
        <v>40</v>
      </c>
      <c r="V40" s="212">
        <f>S40/U40*10</f>
        <v>27486.666666666672</v>
      </c>
      <c r="W40" s="362"/>
      <c r="X40" s="384" t="s">
        <v>345</v>
      </c>
      <c r="Y40" s="385">
        <v>500</v>
      </c>
      <c r="Z40" s="385" t="s">
        <v>348</v>
      </c>
      <c r="AA40" s="385" t="s">
        <v>333</v>
      </c>
      <c r="AB40" s="386">
        <v>10364</v>
      </c>
      <c r="AC40" s="362">
        <f t="shared" si="16"/>
        <v>20.728000000000002</v>
      </c>
      <c r="AD40" s="362"/>
      <c r="AE40" s="362"/>
      <c r="AF40" s="362"/>
    </row>
    <row r="41" spans="2:32" ht="15" customHeight="1" x14ac:dyDescent="0.15">
      <c r="B41" s="641"/>
      <c r="C41" s="279" t="s">
        <v>575</v>
      </c>
      <c r="D41" s="310">
        <v>150</v>
      </c>
      <c r="E41" s="35" t="s">
        <v>280</v>
      </c>
      <c r="F41" s="28">
        <v>17.13</v>
      </c>
      <c r="G41" s="142">
        <f t="shared" ref="G41:G45" si="17">D41*F41</f>
        <v>2569.5</v>
      </c>
      <c r="H41" s="154"/>
      <c r="I41" s="730"/>
      <c r="J41" s="393"/>
      <c r="K41" s="723"/>
      <c r="L41" s="724"/>
      <c r="M41" s="393"/>
      <c r="N41" s="422"/>
      <c r="O41" s="166"/>
      <c r="P41" s="764"/>
      <c r="Q41" s="209"/>
      <c r="R41" s="151"/>
      <c r="S41" s="210"/>
      <c r="T41" s="225"/>
      <c r="U41" s="210"/>
      <c r="V41" s="212"/>
      <c r="W41" s="362"/>
      <c r="X41" s="362" t="s">
        <v>346</v>
      </c>
      <c r="Y41" s="389">
        <v>3000</v>
      </c>
      <c r="Z41" s="387" t="s">
        <v>349</v>
      </c>
      <c r="AA41" s="362"/>
      <c r="AB41" s="362">
        <v>3620</v>
      </c>
      <c r="AC41" s="362">
        <f t="shared" si="16"/>
        <v>1.2066666666666668</v>
      </c>
      <c r="AD41" s="362"/>
      <c r="AE41" s="362"/>
      <c r="AF41" s="362"/>
    </row>
    <row r="42" spans="2:32" ht="15" customHeight="1" thickBot="1" x14ac:dyDescent="0.2">
      <c r="B42" s="641"/>
      <c r="C42" s="28" t="s">
        <v>576</v>
      </c>
      <c r="D42" s="310">
        <v>150</v>
      </c>
      <c r="E42" s="35" t="s">
        <v>280</v>
      </c>
      <c r="F42" s="28">
        <v>17.13</v>
      </c>
      <c r="G42" s="142">
        <f t="shared" si="17"/>
        <v>2569.5</v>
      </c>
      <c r="H42" s="154"/>
      <c r="I42" s="731"/>
      <c r="J42" s="206" t="s">
        <v>115</v>
      </c>
      <c r="K42" s="725"/>
      <c r="L42" s="726"/>
      <c r="M42" s="207"/>
      <c r="N42" s="211">
        <f>SUM(N35:N40)</f>
        <v>6811</v>
      </c>
      <c r="O42" s="166"/>
      <c r="P42" s="764"/>
      <c r="Q42" s="209"/>
      <c r="R42" s="151"/>
      <c r="S42" s="210"/>
      <c r="T42" s="225"/>
      <c r="U42" s="210"/>
      <c r="V42" s="212"/>
      <c r="W42" s="362"/>
      <c r="X42" s="384" t="s">
        <v>494</v>
      </c>
      <c r="Y42" s="385">
        <v>500</v>
      </c>
      <c r="Z42" s="362" t="s">
        <v>495</v>
      </c>
      <c r="AA42" s="385" t="s">
        <v>333</v>
      </c>
      <c r="AB42" s="386">
        <v>1030</v>
      </c>
      <c r="AC42" s="362">
        <f t="shared" si="16"/>
        <v>2.06</v>
      </c>
      <c r="AD42" s="362"/>
      <c r="AE42" s="362"/>
      <c r="AF42" s="362"/>
    </row>
    <row r="43" spans="2:32" ht="15" customHeight="1" thickTop="1" x14ac:dyDescent="0.15">
      <c r="B43" s="641"/>
      <c r="C43" s="28" t="s">
        <v>571</v>
      </c>
      <c r="D43" s="310">
        <v>4000</v>
      </c>
      <c r="E43" s="35" t="s">
        <v>280</v>
      </c>
      <c r="F43" s="28">
        <v>1.206</v>
      </c>
      <c r="G43" s="142">
        <f t="shared" si="17"/>
        <v>4824</v>
      </c>
      <c r="H43" s="154"/>
      <c r="I43" s="716" t="s">
        <v>167</v>
      </c>
      <c r="J43" s="208" t="s">
        <v>181</v>
      </c>
      <c r="K43" s="719">
        <v>4100</v>
      </c>
      <c r="L43" s="719"/>
      <c r="M43" s="392">
        <v>40</v>
      </c>
      <c r="N43" s="221">
        <f>K43/M43*10</f>
        <v>1025</v>
      </c>
      <c r="O43" s="166"/>
      <c r="P43" s="764"/>
      <c r="Q43" s="209"/>
      <c r="R43" s="224"/>
      <c r="S43" s="210"/>
      <c r="T43" s="225"/>
      <c r="U43" s="210"/>
      <c r="V43" s="212"/>
      <c r="W43" s="362"/>
      <c r="X43" s="384" t="s">
        <v>364</v>
      </c>
      <c r="Y43" s="385">
        <v>500</v>
      </c>
      <c r="Z43" s="362" t="s">
        <v>348</v>
      </c>
      <c r="AA43" s="385" t="s">
        <v>333</v>
      </c>
      <c r="AB43" s="386">
        <v>11101</v>
      </c>
      <c r="AC43" s="362">
        <f t="shared" si="16"/>
        <v>22.202000000000002</v>
      </c>
      <c r="AD43" s="362"/>
      <c r="AE43" s="362"/>
      <c r="AF43" s="362"/>
    </row>
    <row r="44" spans="2:32" ht="15" customHeight="1" thickBot="1" x14ac:dyDescent="0.2">
      <c r="B44" s="641"/>
      <c r="C44" s="28" t="s">
        <v>577</v>
      </c>
      <c r="D44" s="310">
        <v>150</v>
      </c>
      <c r="E44" s="35" t="s">
        <v>497</v>
      </c>
      <c r="F44" s="28">
        <v>2.06</v>
      </c>
      <c r="G44" s="142">
        <f t="shared" si="17"/>
        <v>309</v>
      </c>
      <c r="H44" s="154"/>
      <c r="I44" s="717"/>
      <c r="J44" s="209"/>
      <c r="K44" s="720"/>
      <c r="L44" s="720"/>
      <c r="M44" s="393"/>
      <c r="N44" s="212"/>
      <c r="O44" s="166"/>
      <c r="P44" s="767"/>
      <c r="Q44" s="213" t="s">
        <v>176</v>
      </c>
      <c r="R44" s="214"/>
      <c r="S44" s="214"/>
      <c r="T44" s="214"/>
      <c r="U44" s="214"/>
      <c r="V44" s="776">
        <f>SUM(V38:V43)</f>
        <v>58456.500000000007</v>
      </c>
      <c r="W44" s="362"/>
      <c r="X44" s="384" t="s">
        <v>498</v>
      </c>
      <c r="Y44" s="385">
        <v>500</v>
      </c>
      <c r="Z44" s="362" t="s">
        <v>499</v>
      </c>
      <c r="AA44" s="385" t="s">
        <v>333</v>
      </c>
      <c r="AB44" s="386">
        <v>4968</v>
      </c>
      <c r="AC44" s="362">
        <f t="shared" si="16"/>
        <v>9.9359999999999999</v>
      </c>
      <c r="AD44" s="362"/>
      <c r="AE44" s="362"/>
      <c r="AF44" s="362"/>
    </row>
    <row r="45" spans="2:32" ht="15" customHeight="1" thickTop="1" x14ac:dyDescent="0.15">
      <c r="B45" s="641"/>
      <c r="C45" s="28" t="s">
        <v>578</v>
      </c>
      <c r="D45" s="310">
        <v>150</v>
      </c>
      <c r="E45" s="35" t="s">
        <v>497</v>
      </c>
      <c r="F45" s="28">
        <v>22.202000000000002</v>
      </c>
      <c r="G45" s="142">
        <f t="shared" si="17"/>
        <v>3330.3</v>
      </c>
      <c r="H45" s="154"/>
      <c r="I45" s="717"/>
      <c r="J45" s="151"/>
      <c r="K45" s="720"/>
      <c r="L45" s="720"/>
      <c r="M45" s="393"/>
      <c r="N45" s="212"/>
      <c r="O45" s="166"/>
      <c r="P45" s="763" t="s">
        <v>182</v>
      </c>
      <c r="Q45" s="760" t="s">
        <v>191</v>
      </c>
      <c r="R45" s="226" t="s">
        <v>181</v>
      </c>
      <c r="S45" s="209">
        <v>15600</v>
      </c>
      <c r="T45" s="225">
        <v>1</v>
      </c>
      <c r="U45" s="209">
        <v>40</v>
      </c>
      <c r="V45" s="212">
        <v>3900</v>
      </c>
      <c r="W45" s="362"/>
      <c r="X45" s="384" t="s">
        <v>384</v>
      </c>
      <c r="Y45" s="385">
        <v>500</v>
      </c>
      <c r="Z45" s="362" t="s">
        <v>385</v>
      </c>
      <c r="AA45" s="385" t="s">
        <v>333</v>
      </c>
      <c r="AB45" s="386">
        <v>528</v>
      </c>
      <c r="AC45" s="362"/>
      <c r="AD45" s="362"/>
      <c r="AE45" s="362"/>
      <c r="AF45" s="362"/>
    </row>
    <row r="46" spans="2:32" ht="15" customHeight="1" thickBot="1" x14ac:dyDescent="0.2">
      <c r="B46" s="641"/>
      <c r="C46" s="28" t="s">
        <v>579</v>
      </c>
      <c r="D46" s="310">
        <v>300</v>
      </c>
      <c r="E46" s="35" t="s">
        <v>500</v>
      </c>
      <c r="F46" s="28">
        <v>9.9359999999999999</v>
      </c>
      <c r="G46" s="142">
        <f t="shared" ref="G46:G47" si="18">D46*F46</f>
        <v>2980.8</v>
      </c>
      <c r="H46" s="154"/>
      <c r="I46" s="718"/>
      <c r="J46" s="206" t="s">
        <v>115</v>
      </c>
      <c r="K46" s="725"/>
      <c r="L46" s="726"/>
      <c r="M46" s="207"/>
      <c r="N46" s="211">
        <f>SUM(N43:N45)</f>
        <v>1025</v>
      </c>
      <c r="O46" s="166"/>
      <c r="P46" s="764"/>
      <c r="Q46" s="761"/>
      <c r="R46" s="226"/>
      <c r="S46" s="209"/>
      <c r="T46" s="225"/>
      <c r="U46" s="209"/>
      <c r="V46" s="212"/>
      <c r="W46" s="362"/>
      <c r="X46" s="384" t="s">
        <v>383</v>
      </c>
      <c r="Y46" s="385">
        <v>500</v>
      </c>
      <c r="Z46" s="362" t="s">
        <v>348</v>
      </c>
      <c r="AA46" s="385" t="s">
        <v>333</v>
      </c>
      <c r="AB46" s="386">
        <v>368</v>
      </c>
      <c r="AC46" s="362"/>
      <c r="AD46" s="362"/>
      <c r="AE46" s="362"/>
      <c r="AF46" s="362"/>
    </row>
    <row r="47" spans="2:32" ht="15" customHeight="1" thickTop="1" x14ac:dyDescent="0.15">
      <c r="B47" s="641"/>
      <c r="C47" s="28"/>
      <c r="D47" s="28"/>
      <c r="E47" s="28"/>
      <c r="F47" s="28"/>
      <c r="G47" s="142">
        <f t="shared" si="18"/>
        <v>0</v>
      </c>
      <c r="H47" s="154"/>
      <c r="I47" s="716" t="s">
        <v>168</v>
      </c>
      <c r="J47" s="208"/>
      <c r="K47" s="719"/>
      <c r="L47" s="719"/>
      <c r="M47" s="392"/>
      <c r="N47" s="221"/>
      <c r="O47" s="166"/>
      <c r="P47" s="764"/>
      <c r="Q47" s="761"/>
      <c r="R47" s="226"/>
      <c r="S47" s="209"/>
      <c r="T47" s="209"/>
      <c r="U47" s="151"/>
      <c r="V47" s="777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</row>
    <row r="48" spans="2:32" ht="15" customHeight="1" x14ac:dyDescent="0.15">
      <c r="B48" s="641"/>
      <c r="C48" s="28"/>
      <c r="D48" s="28"/>
      <c r="E48" s="28"/>
      <c r="F48" s="28"/>
      <c r="G48" s="142">
        <f t="shared" ref="G48:G52" si="19">D48*F48</f>
        <v>0</v>
      </c>
      <c r="H48" s="154"/>
      <c r="I48" s="717"/>
      <c r="J48" s="209"/>
      <c r="K48" s="720"/>
      <c r="L48" s="720"/>
      <c r="M48" s="393"/>
      <c r="N48" s="212"/>
      <c r="O48" s="166"/>
      <c r="P48" s="764"/>
      <c r="Q48" s="761"/>
      <c r="R48" s="226"/>
      <c r="S48" s="209"/>
      <c r="T48" s="225"/>
      <c r="U48" s="209"/>
      <c r="V48" s="212"/>
      <c r="W48" s="362"/>
      <c r="X48" s="384" t="s">
        <v>327</v>
      </c>
      <c r="Y48" s="362" t="s">
        <v>372</v>
      </c>
      <c r="Z48" s="362"/>
      <c r="AA48" s="362"/>
      <c r="AB48" s="362"/>
      <c r="AC48" s="362"/>
      <c r="AD48" s="362"/>
      <c r="AE48" s="362"/>
      <c r="AF48" s="362"/>
    </row>
    <row r="49" spans="2:32" ht="15" customHeight="1" thickBot="1" x14ac:dyDescent="0.2">
      <c r="B49" s="746"/>
      <c r="C49" s="145" t="s">
        <v>115</v>
      </c>
      <c r="D49" s="146"/>
      <c r="E49" s="146"/>
      <c r="F49" s="146"/>
      <c r="G49" s="147">
        <f>SUM(G39:G48)</f>
        <v>20848.099999999999</v>
      </c>
      <c r="H49" s="154"/>
      <c r="I49" s="717"/>
      <c r="J49" s="151"/>
      <c r="K49" s="720"/>
      <c r="L49" s="720"/>
      <c r="M49" s="393"/>
      <c r="N49" s="212"/>
      <c r="O49" s="166"/>
      <c r="P49" s="764"/>
      <c r="Q49" s="762"/>
      <c r="R49" s="226"/>
      <c r="S49" s="209"/>
      <c r="T49" s="209"/>
      <c r="U49" s="151"/>
      <c r="V49" s="777"/>
      <c r="W49" s="362"/>
      <c r="X49" s="384" t="s">
        <v>331</v>
      </c>
      <c r="Y49" s="362" t="s">
        <v>373</v>
      </c>
      <c r="Z49" s="362"/>
      <c r="AA49" s="362"/>
      <c r="AB49" s="362"/>
      <c r="AC49" s="362"/>
      <c r="AD49" s="362"/>
      <c r="AE49" s="362"/>
      <c r="AF49" s="362"/>
    </row>
    <row r="50" spans="2:32" ht="15" customHeight="1" thickTop="1" thickBot="1" x14ac:dyDescent="0.2">
      <c r="B50" s="744" t="s">
        <v>29</v>
      </c>
      <c r="C50" s="28"/>
      <c r="D50" s="28"/>
      <c r="E50" s="35"/>
      <c r="F50" s="28"/>
      <c r="G50" s="142">
        <f t="shared" si="19"/>
        <v>0</v>
      </c>
      <c r="H50" s="154"/>
      <c r="I50" s="718"/>
      <c r="J50" s="206" t="s">
        <v>115</v>
      </c>
      <c r="K50" s="725"/>
      <c r="L50" s="726"/>
      <c r="M50" s="207"/>
      <c r="N50" s="211">
        <f>SUM(N47:N49)</f>
        <v>0</v>
      </c>
      <c r="O50" s="166"/>
      <c r="P50" s="764"/>
      <c r="Q50" s="213" t="s">
        <v>176</v>
      </c>
      <c r="R50" s="214"/>
      <c r="S50" s="214"/>
      <c r="T50" s="214"/>
      <c r="U50" s="214"/>
      <c r="V50" s="776">
        <f>SUM(V45:V49)</f>
        <v>3900</v>
      </c>
      <c r="W50" s="362"/>
      <c r="X50" s="384" t="s">
        <v>334</v>
      </c>
      <c r="Y50" s="362" t="s">
        <v>374</v>
      </c>
      <c r="Z50" s="362"/>
      <c r="AA50" s="362"/>
      <c r="AB50" s="362"/>
      <c r="AC50" s="362"/>
      <c r="AD50" s="362"/>
      <c r="AE50" s="362"/>
      <c r="AF50" s="362"/>
    </row>
    <row r="51" spans="2:32" ht="15" customHeight="1" thickTop="1" x14ac:dyDescent="0.15">
      <c r="B51" s="641"/>
      <c r="C51" s="28"/>
      <c r="D51" s="28"/>
      <c r="E51" s="28"/>
      <c r="F51" s="28"/>
      <c r="G51" s="142">
        <f t="shared" si="19"/>
        <v>0</v>
      </c>
      <c r="H51" s="154"/>
      <c r="I51" s="716" t="s">
        <v>169</v>
      </c>
      <c r="J51" s="208" t="s">
        <v>43</v>
      </c>
      <c r="K51" s="734">
        <v>2400</v>
      </c>
      <c r="L51" s="735"/>
      <c r="M51" s="215">
        <v>40</v>
      </c>
      <c r="N51" s="222">
        <f>+K51/M51*10</f>
        <v>600</v>
      </c>
      <c r="O51" s="166"/>
      <c r="P51" s="764"/>
      <c r="Q51" s="760" t="s">
        <v>192</v>
      </c>
      <c r="R51" s="226" t="s">
        <v>181</v>
      </c>
      <c r="S51" s="209">
        <v>25000</v>
      </c>
      <c r="T51" s="225">
        <v>1</v>
      </c>
      <c r="U51" s="209">
        <v>40</v>
      </c>
      <c r="V51" s="212">
        <v>6250</v>
      </c>
      <c r="W51" s="362"/>
      <c r="X51" s="384" t="s">
        <v>335</v>
      </c>
      <c r="Y51" s="362" t="s">
        <v>375</v>
      </c>
      <c r="Z51" s="362"/>
      <c r="AA51" s="362"/>
      <c r="AB51" s="362"/>
      <c r="AC51" s="362"/>
      <c r="AD51" s="362"/>
      <c r="AE51" s="362"/>
      <c r="AF51" s="362"/>
    </row>
    <row r="52" spans="2:32" ht="15" customHeight="1" x14ac:dyDescent="0.15">
      <c r="B52" s="641"/>
      <c r="C52" s="28"/>
      <c r="D52" s="28"/>
      <c r="E52" s="28"/>
      <c r="F52" s="28"/>
      <c r="G52" s="142">
        <f t="shared" si="19"/>
        <v>0</v>
      </c>
      <c r="H52" s="154"/>
      <c r="I52" s="717"/>
      <c r="J52" s="209" t="s">
        <v>181</v>
      </c>
      <c r="K52" s="736">
        <v>5000</v>
      </c>
      <c r="L52" s="737"/>
      <c r="M52" s="216">
        <v>40</v>
      </c>
      <c r="N52" s="212">
        <f>K52/M52*10</f>
        <v>1250</v>
      </c>
      <c r="O52" s="166"/>
      <c r="P52" s="764"/>
      <c r="Q52" s="761"/>
      <c r="R52" s="226"/>
      <c r="S52" s="209"/>
      <c r="T52" s="225"/>
      <c r="U52" s="209"/>
      <c r="V52" s="212"/>
      <c r="W52" s="362"/>
      <c r="X52" s="384" t="s">
        <v>336</v>
      </c>
      <c r="Y52" s="390" t="s">
        <v>376</v>
      </c>
      <c r="Z52" s="362"/>
      <c r="AA52" s="362"/>
      <c r="AB52" s="362"/>
      <c r="AC52" s="362"/>
      <c r="AD52" s="362"/>
      <c r="AE52" s="362"/>
      <c r="AF52" s="362"/>
    </row>
    <row r="53" spans="2:32" ht="14.25" thickBot="1" x14ac:dyDescent="0.2">
      <c r="B53" s="746"/>
      <c r="C53" s="145" t="s">
        <v>115</v>
      </c>
      <c r="D53" s="146"/>
      <c r="E53" s="146"/>
      <c r="F53" s="146"/>
      <c r="G53" s="147">
        <f>SUM(G50:G52)</f>
        <v>0</v>
      </c>
      <c r="I53" s="717"/>
      <c r="J53" s="209"/>
      <c r="K53" s="738"/>
      <c r="L53" s="739"/>
      <c r="M53" s="216"/>
      <c r="N53" s="212"/>
      <c r="O53" s="166"/>
      <c r="P53" s="764"/>
      <c r="Q53" s="761"/>
      <c r="R53" s="226"/>
      <c r="S53" s="209"/>
      <c r="T53" s="209"/>
      <c r="U53" s="151"/>
      <c r="V53" s="777"/>
      <c r="W53" s="362"/>
      <c r="X53" s="384" t="s">
        <v>377</v>
      </c>
      <c r="Y53" s="390" t="s">
        <v>378</v>
      </c>
      <c r="Z53" s="362"/>
      <c r="AA53" s="362"/>
      <c r="AB53" s="362"/>
      <c r="AC53" s="362"/>
      <c r="AD53" s="362"/>
      <c r="AE53" s="362"/>
      <c r="AF53" s="362"/>
    </row>
    <row r="54" spans="2:32" ht="14.25" thickTop="1" x14ac:dyDescent="0.15">
      <c r="B54" s="744" t="s">
        <v>135</v>
      </c>
      <c r="C54" s="28"/>
      <c r="D54" s="28"/>
      <c r="E54" s="35"/>
      <c r="F54" s="28"/>
      <c r="G54" s="142"/>
      <c r="I54" s="717"/>
      <c r="J54" s="393"/>
      <c r="K54" s="740"/>
      <c r="L54" s="741"/>
      <c r="M54" s="216"/>
      <c r="N54" s="212"/>
      <c r="O54" s="166"/>
      <c r="P54" s="764"/>
      <c r="Q54" s="761"/>
      <c r="R54" s="226"/>
      <c r="S54" s="209"/>
      <c r="T54" s="225"/>
      <c r="U54" s="209"/>
      <c r="V54" s="212"/>
      <c r="W54" s="362"/>
      <c r="X54" s="362" t="s">
        <v>338</v>
      </c>
      <c r="Y54" s="362" t="s">
        <v>379</v>
      </c>
      <c r="Z54" s="362"/>
      <c r="AA54" s="362"/>
      <c r="AB54" s="362"/>
      <c r="AC54" s="362"/>
      <c r="AD54" s="362"/>
      <c r="AE54" s="362"/>
      <c r="AF54" s="362"/>
    </row>
    <row r="55" spans="2:32" x14ac:dyDescent="0.15">
      <c r="B55" s="641"/>
      <c r="C55" s="28"/>
      <c r="D55" s="28"/>
      <c r="E55" s="35"/>
      <c r="F55" s="28"/>
      <c r="G55" s="142"/>
      <c r="I55" s="717"/>
      <c r="J55" s="209"/>
      <c r="K55" s="738"/>
      <c r="L55" s="739"/>
      <c r="M55" s="216"/>
      <c r="N55" s="223"/>
      <c r="O55" s="166"/>
      <c r="P55" s="764"/>
      <c r="Q55" s="762"/>
      <c r="R55" s="226"/>
      <c r="S55" s="209"/>
      <c r="T55" s="209"/>
      <c r="U55" s="151"/>
      <c r="V55" s="777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</row>
    <row r="56" spans="2:32" x14ac:dyDescent="0.15">
      <c r="B56" s="641"/>
      <c r="C56" s="28"/>
      <c r="D56" s="28"/>
      <c r="E56" s="35"/>
      <c r="F56" s="28"/>
      <c r="G56" s="142"/>
      <c r="I56" s="729"/>
      <c r="J56" s="423" t="s">
        <v>115</v>
      </c>
      <c r="K56" s="742"/>
      <c r="L56" s="743"/>
      <c r="M56" s="424"/>
      <c r="N56" s="425">
        <f>SUM(N51:N55)</f>
        <v>1850</v>
      </c>
      <c r="O56" s="166"/>
      <c r="P56" s="765"/>
      <c r="Q56" s="778" t="s">
        <v>176</v>
      </c>
      <c r="R56" s="779"/>
      <c r="S56" s="779"/>
      <c r="T56" s="779"/>
      <c r="U56" s="779"/>
      <c r="V56" s="780">
        <f>SUM(V51:V55)</f>
        <v>6250</v>
      </c>
      <c r="W56" s="362"/>
      <c r="X56" s="362" t="s">
        <v>351</v>
      </c>
      <c r="Y56" s="362" t="s">
        <v>352</v>
      </c>
      <c r="Z56" s="362"/>
      <c r="AA56" s="362"/>
      <c r="AB56" s="362"/>
      <c r="AC56" s="362"/>
      <c r="AD56" s="362"/>
      <c r="AE56" s="362"/>
      <c r="AF56" s="362"/>
    </row>
    <row r="57" spans="2:32" ht="14.25" thickBot="1" x14ac:dyDescent="0.2">
      <c r="B57" s="745"/>
      <c r="C57" s="148" t="s">
        <v>116</v>
      </c>
      <c r="D57" s="149"/>
      <c r="E57" s="149"/>
      <c r="F57" s="149"/>
      <c r="G57" s="150">
        <f>SUM(G54:G56)</f>
        <v>0</v>
      </c>
      <c r="I57" s="727" t="s">
        <v>170</v>
      </c>
      <c r="J57" s="728"/>
      <c r="K57" s="732"/>
      <c r="L57" s="733"/>
      <c r="M57" s="426"/>
      <c r="N57" s="427">
        <f>SUM(N42,N46,N50,N56)</f>
        <v>9686</v>
      </c>
      <c r="O57" s="166"/>
      <c r="P57" s="781" t="s">
        <v>170</v>
      </c>
      <c r="Q57" s="782"/>
      <c r="R57" s="783"/>
      <c r="S57" s="783"/>
      <c r="T57" s="783"/>
      <c r="U57" s="783"/>
      <c r="V57" s="427">
        <f>SUM(V44,V50,V56)</f>
        <v>68606.5</v>
      </c>
      <c r="W57" s="362"/>
      <c r="X57" s="362" t="s">
        <v>353</v>
      </c>
      <c r="Y57" s="390" t="s">
        <v>366</v>
      </c>
      <c r="Z57" s="362"/>
      <c r="AA57" s="362"/>
      <c r="AB57" s="362"/>
      <c r="AC57" s="362"/>
      <c r="AD57" s="362"/>
      <c r="AE57" s="362"/>
      <c r="AF57" s="362"/>
    </row>
    <row r="58" spans="2:32" x14ac:dyDescent="0.15">
      <c r="O58" s="166"/>
      <c r="V58" s="29"/>
      <c r="W58" s="362" t="s">
        <v>360</v>
      </c>
      <c r="X58" s="362" t="s">
        <v>365</v>
      </c>
      <c r="Y58" s="362" t="s">
        <v>369</v>
      </c>
      <c r="Z58" s="362"/>
      <c r="AA58" s="362"/>
      <c r="AB58" s="362" t="s">
        <v>367</v>
      </c>
      <c r="AC58" s="362"/>
      <c r="AD58" s="362" t="s">
        <v>496</v>
      </c>
      <c r="AE58" s="362"/>
      <c r="AF58" s="362"/>
    </row>
    <row r="59" spans="2:32" x14ac:dyDescent="0.15">
      <c r="I59" s="166"/>
      <c r="J59" s="166"/>
      <c r="K59" s="166"/>
      <c r="L59" s="166"/>
      <c r="M59" s="166"/>
      <c r="N59" s="166"/>
      <c r="O59" s="166"/>
      <c r="W59" s="362"/>
      <c r="X59" s="362"/>
      <c r="Y59" s="362" t="s">
        <v>368</v>
      </c>
      <c r="Z59" s="362"/>
      <c r="AA59" s="362"/>
      <c r="AB59" s="362"/>
      <c r="AC59" s="362"/>
      <c r="AD59" s="362"/>
      <c r="AE59" s="362"/>
      <c r="AF59" s="362"/>
    </row>
    <row r="60" spans="2:32" x14ac:dyDescent="0.15">
      <c r="I60" s="166"/>
      <c r="J60" s="166"/>
      <c r="K60" s="166"/>
      <c r="L60" s="166"/>
      <c r="M60" s="166"/>
      <c r="N60" s="166"/>
      <c r="O60" s="166"/>
      <c r="W60" s="362"/>
      <c r="X60" s="362" t="s">
        <v>359</v>
      </c>
      <c r="Y60" s="390" t="s">
        <v>358</v>
      </c>
      <c r="Z60" s="362"/>
      <c r="AA60" s="362"/>
      <c r="AB60" s="362"/>
      <c r="AC60" s="362"/>
      <c r="AD60" s="362"/>
      <c r="AE60" s="362"/>
      <c r="AF60" s="362"/>
    </row>
    <row r="61" spans="2:32" ht="13.5" hidden="1" customHeight="1" x14ac:dyDescent="0.15">
      <c r="I61" s="166"/>
      <c r="J61" s="374" t="s">
        <v>291</v>
      </c>
      <c r="K61" s="374" t="s">
        <v>292</v>
      </c>
      <c r="L61" s="375" t="s">
        <v>282</v>
      </c>
      <c r="M61" s="374" t="s">
        <v>293</v>
      </c>
      <c r="N61" s="375" t="s">
        <v>112</v>
      </c>
      <c r="O61" s="166"/>
      <c r="W61" s="362"/>
      <c r="X61" s="362" t="s">
        <v>343</v>
      </c>
      <c r="Y61" s="362" t="s">
        <v>344</v>
      </c>
      <c r="Z61" s="362"/>
      <c r="AA61" s="362"/>
      <c r="AB61" s="362" t="s">
        <v>361</v>
      </c>
      <c r="AC61" s="362"/>
      <c r="AD61" s="362"/>
      <c r="AE61" s="362"/>
      <c r="AF61" s="362"/>
    </row>
    <row r="62" spans="2:32" ht="13.5" hidden="1" customHeight="1" x14ac:dyDescent="0.15">
      <c r="I62" s="166"/>
      <c r="J62" s="374"/>
      <c r="K62" s="374"/>
      <c r="L62" s="375" t="s">
        <v>113</v>
      </c>
      <c r="M62" s="374" t="s">
        <v>283</v>
      </c>
      <c r="N62" s="375" t="s">
        <v>284</v>
      </c>
      <c r="O62" s="166"/>
      <c r="W62" s="362"/>
      <c r="X62" s="362" t="s">
        <v>355</v>
      </c>
      <c r="Y62" s="390" t="s">
        <v>354</v>
      </c>
      <c r="Z62" s="362"/>
      <c r="AA62" s="362"/>
      <c r="AB62" s="362"/>
      <c r="AC62" s="362"/>
      <c r="AD62" s="362"/>
      <c r="AE62" s="362"/>
      <c r="AF62" s="362"/>
    </row>
    <row r="63" spans="2:32" ht="13.5" hidden="1" customHeight="1" x14ac:dyDescent="0.15">
      <c r="I63" s="166"/>
      <c r="J63" s="376" t="s">
        <v>294</v>
      </c>
      <c r="K63" s="376" t="s">
        <v>217</v>
      </c>
      <c r="L63" s="377">
        <v>2</v>
      </c>
      <c r="M63" s="376" t="s">
        <v>285</v>
      </c>
      <c r="N63" s="377">
        <v>1</v>
      </c>
      <c r="O63" s="166"/>
      <c r="W63" s="362"/>
      <c r="X63" s="362" t="s">
        <v>356</v>
      </c>
      <c r="Y63" s="362" t="s">
        <v>357</v>
      </c>
      <c r="Z63" s="362"/>
      <c r="AA63" s="362"/>
      <c r="AB63" s="362"/>
      <c r="AC63" s="362"/>
      <c r="AD63" s="362"/>
      <c r="AE63" s="362"/>
      <c r="AF63" s="362"/>
    </row>
    <row r="64" spans="2:32" ht="13.5" hidden="1" customHeight="1" x14ac:dyDescent="0.15">
      <c r="I64" s="166"/>
      <c r="J64" s="376" t="s">
        <v>286</v>
      </c>
      <c r="K64" s="376" t="s">
        <v>295</v>
      </c>
      <c r="L64" s="377">
        <f>85*0.5</f>
        <v>42.5</v>
      </c>
      <c r="M64" s="376" t="s">
        <v>285</v>
      </c>
      <c r="N64" s="377">
        <f>L64*1</f>
        <v>42.5</v>
      </c>
      <c r="O64" s="166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</row>
    <row r="65" spans="9:32" ht="13.5" hidden="1" customHeight="1" x14ac:dyDescent="0.15">
      <c r="I65" s="166"/>
      <c r="J65" s="376" t="s">
        <v>287</v>
      </c>
      <c r="K65" s="376" t="s">
        <v>288</v>
      </c>
      <c r="L65" s="377">
        <f>39*0.5</f>
        <v>19.5</v>
      </c>
      <c r="M65" s="376" t="s">
        <v>285</v>
      </c>
      <c r="N65" s="377">
        <f>L65*1</f>
        <v>19.5</v>
      </c>
      <c r="O65" s="166"/>
      <c r="W65" s="362"/>
      <c r="X65" s="362" t="s">
        <v>362</v>
      </c>
      <c r="Y65" s="390" t="s">
        <v>363</v>
      </c>
      <c r="Z65" s="362"/>
      <c r="AA65" s="362"/>
      <c r="AB65" s="362"/>
      <c r="AC65" s="362"/>
      <c r="AD65" s="362"/>
      <c r="AE65" s="362"/>
      <c r="AF65" s="362"/>
    </row>
    <row r="66" spans="9:32" ht="13.5" hidden="1" customHeight="1" x14ac:dyDescent="0.15">
      <c r="I66" s="166"/>
      <c r="J66" s="376" t="s">
        <v>296</v>
      </c>
      <c r="K66" s="376" t="s">
        <v>217</v>
      </c>
      <c r="L66" s="377">
        <f>1046*0.03</f>
        <v>31.38</v>
      </c>
      <c r="M66" s="376" t="s">
        <v>285</v>
      </c>
      <c r="N66" s="377">
        <f>L66*2</f>
        <v>62.76</v>
      </c>
      <c r="O66" s="166"/>
      <c r="W66" s="362"/>
      <c r="X66" s="362" t="s">
        <v>370</v>
      </c>
      <c r="Y66" s="391" t="s">
        <v>371</v>
      </c>
      <c r="Z66" s="362"/>
      <c r="AA66" s="362"/>
      <c r="AB66" s="362"/>
      <c r="AC66" s="362"/>
      <c r="AD66" s="362"/>
      <c r="AE66" s="362"/>
      <c r="AF66" s="362"/>
    </row>
    <row r="67" spans="9:32" ht="13.5" hidden="1" customHeight="1" x14ac:dyDescent="0.15">
      <c r="I67" s="166"/>
      <c r="J67" s="376" t="s">
        <v>305</v>
      </c>
      <c r="K67" s="376" t="s">
        <v>304</v>
      </c>
      <c r="L67" s="377">
        <v>1</v>
      </c>
      <c r="M67" s="376" t="s">
        <v>289</v>
      </c>
      <c r="N67" s="377">
        <v>3</v>
      </c>
      <c r="O67" s="166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</row>
    <row r="68" spans="9:32" ht="13.5" hidden="1" customHeight="1" x14ac:dyDescent="0.15">
      <c r="I68" s="166"/>
      <c r="J68" s="376" t="s">
        <v>306</v>
      </c>
      <c r="K68" s="376" t="s">
        <v>297</v>
      </c>
      <c r="L68" s="377"/>
      <c r="M68" s="376" t="s">
        <v>137</v>
      </c>
      <c r="N68" s="377">
        <v>540</v>
      </c>
      <c r="O68" s="166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</row>
    <row r="69" spans="9:32" ht="13.5" hidden="1" customHeight="1" x14ac:dyDescent="0.15">
      <c r="I69" s="166"/>
      <c r="J69" s="376" t="s">
        <v>307</v>
      </c>
      <c r="K69" s="376" t="s">
        <v>290</v>
      </c>
      <c r="L69" s="377"/>
      <c r="M69" s="376" t="s">
        <v>140</v>
      </c>
      <c r="N69" s="377">
        <v>388</v>
      </c>
      <c r="O69" s="166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</row>
    <row r="70" spans="9:32" ht="13.5" hidden="1" customHeight="1" x14ac:dyDescent="0.15">
      <c r="I70" s="166"/>
      <c r="J70" s="376" t="s">
        <v>308</v>
      </c>
      <c r="K70" s="362" t="s">
        <v>298</v>
      </c>
      <c r="L70" s="378">
        <v>190</v>
      </c>
      <c r="M70" s="376" t="s">
        <v>137</v>
      </c>
      <c r="N70" s="377">
        <v>540</v>
      </c>
      <c r="O70" s="166"/>
      <c r="W70" s="362"/>
      <c r="X70" s="362" t="s">
        <v>380</v>
      </c>
      <c r="Y70" s="362" t="s">
        <v>381</v>
      </c>
      <c r="Z70" s="362"/>
      <c r="AA70" s="362"/>
      <c r="AB70" s="362"/>
      <c r="AC70" s="362"/>
      <c r="AD70" s="362"/>
      <c r="AE70" s="362"/>
      <c r="AF70" s="362"/>
    </row>
    <row r="71" spans="9:32" ht="13.5" hidden="1" customHeight="1" x14ac:dyDescent="0.15">
      <c r="I71" s="166"/>
      <c r="J71" s="166"/>
      <c r="K71" s="166"/>
      <c r="L71" s="166"/>
      <c r="M71" s="166"/>
      <c r="N71" s="166"/>
      <c r="O71" s="166"/>
      <c r="W71" s="362"/>
      <c r="X71" s="384" t="s">
        <v>384</v>
      </c>
      <c r="Y71" s="385">
        <v>500</v>
      </c>
      <c r="Z71" s="362" t="s">
        <v>463</v>
      </c>
      <c r="AA71" s="385" t="s">
        <v>333</v>
      </c>
      <c r="AB71" s="386">
        <v>528</v>
      </c>
      <c r="AC71" s="362"/>
      <c r="AD71" s="362"/>
      <c r="AE71" s="362"/>
      <c r="AF71" s="362"/>
    </row>
    <row r="72" spans="9:32" ht="13.5" hidden="1" customHeight="1" x14ac:dyDescent="0.15">
      <c r="I72" s="166"/>
      <c r="J72" s="166"/>
      <c r="K72" s="166"/>
      <c r="L72" s="166"/>
      <c r="M72" s="166"/>
      <c r="N72" s="166"/>
      <c r="O72" s="166"/>
      <c r="W72" s="362"/>
      <c r="X72" s="362" t="s">
        <v>382</v>
      </c>
      <c r="Y72" s="362"/>
      <c r="Z72" s="362"/>
      <c r="AA72" s="362"/>
      <c r="AB72" s="362"/>
      <c r="AC72" s="362"/>
      <c r="AD72" s="362"/>
      <c r="AE72" s="362"/>
      <c r="AF72" s="362"/>
    </row>
    <row r="73" spans="9:32" ht="13.5" hidden="1" customHeight="1" x14ac:dyDescent="0.15">
      <c r="I73" s="166"/>
      <c r="J73" s="166"/>
      <c r="K73" s="166"/>
      <c r="L73" s="166"/>
      <c r="M73" s="166"/>
      <c r="N73" s="166"/>
      <c r="O73" s="166"/>
    </row>
    <row r="74" spans="9:32" ht="13.5" hidden="1" customHeight="1" x14ac:dyDescent="0.15">
      <c r="I74" s="166"/>
      <c r="J74" s="166"/>
      <c r="K74" s="166"/>
      <c r="L74" s="166"/>
      <c r="M74" s="166"/>
      <c r="N74" s="166"/>
      <c r="O74" s="166"/>
    </row>
    <row r="75" spans="9:32" ht="13.5" hidden="1" customHeight="1" x14ac:dyDescent="0.15">
      <c r="I75" s="166"/>
      <c r="J75" s="166"/>
      <c r="K75" s="166"/>
      <c r="L75" s="166"/>
      <c r="M75" s="166"/>
      <c r="N75" s="166"/>
      <c r="O75" s="166"/>
    </row>
    <row r="76" spans="9:32" ht="13.5" hidden="1" customHeight="1" x14ac:dyDescent="0.15">
      <c r="I76" s="166"/>
      <c r="J76" s="166"/>
      <c r="K76" s="166"/>
      <c r="L76" s="166"/>
      <c r="M76" s="166"/>
      <c r="N76" s="166"/>
      <c r="O76" s="166"/>
    </row>
    <row r="77" spans="9:32" ht="13.5" hidden="1" customHeight="1" x14ac:dyDescent="0.15">
      <c r="I77" s="166"/>
      <c r="J77" s="166"/>
      <c r="K77" s="166"/>
      <c r="L77" s="166"/>
      <c r="M77" s="166"/>
      <c r="N77" s="166"/>
      <c r="O77" s="166"/>
    </row>
    <row r="78" spans="9:32" ht="13.5" hidden="1" customHeight="1" x14ac:dyDescent="0.15">
      <c r="I78" s="166"/>
      <c r="J78" s="166"/>
      <c r="K78" s="166"/>
      <c r="L78" s="166"/>
      <c r="M78" s="166"/>
      <c r="N78" s="166"/>
      <c r="O78" s="166"/>
    </row>
    <row r="79" spans="9:32" ht="13.5" hidden="1" customHeight="1" x14ac:dyDescent="0.15">
      <c r="I79" s="166"/>
      <c r="J79" s="166"/>
      <c r="K79" s="166"/>
      <c r="L79" s="166"/>
      <c r="M79" s="166"/>
      <c r="N79" s="166"/>
      <c r="O79" s="166"/>
    </row>
    <row r="80" spans="9:32" x14ac:dyDescent="0.15">
      <c r="I80" s="166"/>
      <c r="J80" s="166"/>
      <c r="K80" s="166"/>
      <c r="L80" s="166"/>
      <c r="M80" s="166"/>
      <c r="N80" s="166"/>
      <c r="O80" s="166"/>
    </row>
    <row r="81" spans="2:15" x14ac:dyDescent="0.15">
      <c r="I81" s="166"/>
      <c r="J81" s="166"/>
      <c r="K81" s="166"/>
      <c r="L81" s="166"/>
      <c r="M81" s="166"/>
      <c r="N81" s="166"/>
      <c r="O81" s="166"/>
    </row>
    <row r="82" spans="2:15" x14ac:dyDescent="0.15">
      <c r="I82" s="166"/>
      <c r="J82" s="166"/>
      <c r="K82" s="166"/>
      <c r="L82" s="166"/>
      <c r="M82" s="166"/>
      <c r="N82" s="166"/>
      <c r="O82" s="166"/>
    </row>
    <row r="83" spans="2:15" x14ac:dyDescent="0.15">
      <c r="B83" s="153"/>
      <c r="C83" s="154"/>
      <c r="D83" s="154"/>
      <c r="E83" s="154"/>
      <c r="F83" s="154"/>
      <c r="I83" s="166"/>
      <c r="J83" s="166"/>
      <c r="K83" s="166"/>
      <c r="L83" s="166"/>
      <c r="M83" s="166"/>
      <c r="N83" s="166"/>
      <c r="O83" s="166"/>
    </row>
    <row r="84" spans="2:15" x14ac:dyDescent="0.15">
      <c r="B84" s="153"/>
      <c r="C84" s="154"/>
      <c r="D84" s="154"/>
      <c r="E84" s="154"/>
      <c r="F84" s="154"/>
      <c r="I84" s="166"/>
      <c r="J84" s="166"/>
      <c r="K84" s="166"/>
      <c r="L84" s="166"/>
      <c r="M84" s="166"/>
      <c r="N84" s="166"/>
      <c r="O84" s="166"/>
    </row>
    <row r="85" spans="2:15" x14ac:dyDescent="0.15">
      <c r="I85" s="166"/>
      <c r="J85" s="166"/>
      <c r="K85" s="166"/>
      <c r="L85" s="166"/>
      <c r="M85" s="166"/>
      <c r="N85" s="166"/>
      <c r="O85" s="166"/>
    </row>
    <row r="86" spans="2:15" x14ac:dyDescent="0.15">
      <c r="I86" s="166"/>
      <c r="J86" s="166"/>
      <c r="K86" s="166"/>
      <c r="L86" s="166"/>
      <c r="M86" s="166"/>
      <c r="N86" s="166"/>
      <c r="O86" s="166"/>
    </row>
    <row r="87" spans="2:15" x14ac:dyDescent="0.15">
      <c r="I87" s="166"/>
      <c r="J87" s="166"/>
      <c r="K87" s="166"/>
      <c r="L87" s="166"/>
      <c r="M87" s="166"/>
      <c r="N87" s="166"/>
      <c r="O87" s="166"/>
    </row>
    <row r="88" spans="2:15" x14ac:dyDescent="0.15">
      <c r="I88" s="166"/>
      <c r="J88" s="166"/>
      <c r="K88" s="166"/>
      <c r="L88" s="166"/>
      <c r="M88" s="166"/>
      <c r="N88" s="166"/>
      <c r="O88" s="166"/>
    </row>
    <row r="89" spans="2:15" x14ac:dyDescent="0.15">
      <c r="I89" s="166"/>
      <c r="J89" s="166"/>
      <c r="K89" s="166"/>
      <c r="L89" s="166"/>
      <c r="M89" s="166"/>
      <c r="N89" s="166"/>
      <c r="O89" s="166"/>
    </row>
    <row r="90" spans="2:15" x14ac:dyDescent="0.15">
      <c r="I90" s="166"/>
      <c r="J90" s="166"/>
      <c r="K90" s="166"/>
      <c r="L90" s="166"/>
      <c r="M90" s="166"/>
      <c r="N90" s="166"/>
      <c r="O90" s="166"/>
    </row>
    <row r="91" spans="2:15" x14ac:dyDescent="0.15">
      <c r="I91" s="166"/>
      <c r="J91" s="166"/>
      <c r="K91" s="166"/>
      <c r="L91" s="166"/>
      <c r="M91" s="166"/>
      <c r="N91" s="166"/>
      <c r="O91" s="166"/>
    </row>
    <row r="92" spans="2:15" x14ac:dyDescent="0.15">
      <c r="I92" s="166"/>
      <c r="J92" s="166"/>
      <c r="K92" s="166"/>
      <c r="L92" s="166"/>
      <c r="M92" s="166"/>
      <c r="N92" s="166"/>
      <c r="O92" s="166"/>
    </row>
    <row r="93" spans="2:15" x14ac:dyDescent="0.15">
      <c r="I93" s="166"/>
      <c r="J93" s="166"/>
      <c r="K93" s="166"/>
      <c r="L93" s="166"/>
      <c r="M93" s="166"/>
      <c r="N93" s="166"/>
      <c r="O93" s="166"/>
    </row>
    <row r="94" spans="2:15" x14ac:dyDescent="0.15">
      <c r="I94" s="166"/>
      <c r="J94" s="166"/>
      <c r="K94" s="166"/>
      <c r="L94" s="166"/>
      <c r="M94" s="166"/>
      <c r="N94" s="166"/>
      <c r="O94" s="166"/>
    </row>
    <row r="95" spans="2:15" x14ac:dyDescent="0.15">
      <c r="I95" s="166"/>
      <c r="J95" s="166"/>
      <c r="K95" s="166"/>
      <c r="L95" s="166"/>
      <c r="M95" s="166"/>
      <c r="N95" s="166"/>
      <c r="O95" s="166"/>
    </row>
    <row r="96" spans="2:15" x14ac:dyDescent="0.15">
      <c r="I96" s="166"/>
      <c r="J96" s="166"/>
      <c r="K96" s="166"/>
      <c r="L96" s="166"/>
      <c r="M96" s="166"/>
      <c r="N96" s="166"/>
      <c r="O96" s="166"/>
    </row>
    <row r="97" spans="9:15" x14ac:dyDescent="0.15">
      <c r="I97" s="166"/>
      <c r="J97" s="166"/>
      <c r="K97" s="166"/>
      <c r="L97" s="166"/>
      <c r="M97" s="166"/>
      <c r="N97" s="166"/>
      <c r="O97" s="166"/>
    </row>
    <row r="98" spans="9:15" x14ac:dyDescent="0.15">
      <c r="I98" s="166"/>
      <c r="J98" s="166"/>
      <c r="K98" s="166"/>
      <c r="L98" s="166"/>
      <c r="M98" s="166"/>
      <c r="N98" s="166"/>
      <c r="O98" s="166"/>
    </row>
    <row r="99" spans="9:15" x14ac:dyDescent="0.15">
      <c r="I99" s="166"/>
      <c r="J99" s="166"/>
      <c r="K99" s="166"/>
      <c r="L99" s="166"/>
      <c r="M99" s="166"/>
      <c r="N99" s="166"/>
      <c r="O99" s="166"/>
    </row>
    <row r="100" spans="9:15" x14ac:dyDescent="0.15">
      <c r="I100" s="166"/>
      <c r="J100" s="166"/>
      <c r="K100" s="166"/>
      <c r="L100" s="166"/>
      <c r="M100" s="166"/>
      <c r="N100" s="166"/>
      <c r="O100" s="166"/>
    </row>
    <row r="101" spans="9:15" x14ac:dyDescent="0.15">
      <c r="I101" s="166"/>
      <c r="J101" s="166"/>
      <c r="K101" s="166"/>
      <c r="L101" s="166"/>
      <c r="M101" s="166"/>
      <c r="N101" s="166"/>
      <c r="O101" s="166"/>
    </row>
    <row r="102" spans="9:15" x14ac:dyDescent="0.15">
      <c r="I102" s="166"/>
      <c r="J102" s="166"/>
      <c r="K102" s="166"/>
      <c r="L102" s="166"/>
      <c r="M102" s="166"/>
      <c r="N102" s="166"/>
      <c r="O102" s="166"/>
    </row>
    <row r="103" spans="9:15" x14ac:dyDescent="0.15">
      <c r="I103" s="166"/>
      <c r="J103" s="166"/>
      <c r="K103" s="166"/>
      <c r="L103" s="166"/>
      <c r="M103" s="166"/>
      <c r="N103" s="166"/>
      <c r="O103" s="166"/>
    </row>
    <row r="104" spans="9:15" x14ac:dyDescent="0.15">
      <c r="I104" s="166"/>
      <c r="J104" s="166"/>
      <c r="K104" s="166"/>
      <c r="L104" s="166"/>
      <c r="M104" s="166"/>
      <c r="N104" s="166"/>
      <c r="O104" s="166"/>
    </row>
    <row r="105" spans="9:15" x14ac:dyDescent="0.15">
      <c r="I105" s="166"/>
      <c r="J105" s="166"/>
      <c r="K105" s="166"/>
      <c r="L105" s="166"/>
      <c r="M105" s="166"/>
      <c r="N105" s="166"/>
      <c r="O105" s="166"/>
    </row>
    <row r="106" spans="9:15" x14ac:dyDescent="0.15">
      <c r="I106" s="166"/>
      <c r="J106" s="166"/>
      <c r="K106" s="166"/>
      <c r="L106" s="166"/>
      <c r="M106" s="166"/>
      <c r="N106" s="166"/>
      <c r="O106" s="166"/>
    </row>
    <row r="107" spans="9:15" x14ac:dyDescent="0.15">
      <c r="I107" s="166"/>
      <c r="J107" s="166"/>
      <c r="K107" s="166"/>
      <c r="L107" s="166"/>
      <c r="M107" s="166"/>
      <c r="N107" s="166"/>
      <c r="O107" s="166"/>
    </row>
    <row r="108" spans="9:15" x14ac:dyDescent="0.15">
      <c r="I108" s="166"/>
      <c r="J108" s="166"/>
      <c r="K108" s="166"/>
      <c r="L108" s="166"/>
      <c r="M108" s="166"/>
      <c r="N108" s="166"/>
      <c r="O108" s="166"/>
    </row>
    <row r="109" spans="9:15" x14ac:dyDescent="0.15">
      <c r="I109" s="166"/>
      <c r="J109" s="166"/>
      <c r="K109" s="166"/>
      <c r="L109" s="166"/>
      <c r="M109" s="166"/>
      <c r="N109" s="166"/>
      <c r="O109" s="166"/>
    </row>
    <row r="110" spans="9:15" x14ac:dyDescent="0.15">
      <c r="I110" s="166"/>
      <c r="J110" s="166"/>
      <c r="K110" s="166"/>
      <c r="L110" s="166"/>
      <c r="M110" s="166"/>
      <c r="N110" s="166"/>
      <c r="O110" s="166"/>
    </row>
    <row r="111" spans="9:15" x14ac:dyDescent="0.15">
      <c r="I111" s="166"/>
      <c r="J111" s="166"/>
      <c r="K111" s="166"/>
      <c r="L111" s="166"/>
      <c r="M111" s="166"/>
      <c r="N111" s="166"/>
      <c r="O111" s="166"/>
    </row>
    <row r="112" spans="9:15" x14ac:dyDescent="0.15">
      <c r="I112" s="166"/>
      <c r="J112" s="166"/>
      <c r="K112" s="166"/>
      <c r="L112" s="166"/>
      <c r="M112" s="166"/>
      <c r="N112" s="166"/>
      <c r="O112" s="166"/>
    </row>
    <row r="113" spans="9:15" x14ac:dyDescent="0.15">
      <c r="I113" s="166"/>
      <c r="J113" s="166"/>
      <c r="K113" s="166"/>
      <c r="L113" s="166"/>
      <c r="M113" s="166"/>
      <c r="N113" s="166"/>
      <c r="O113" s="166"/>
    </row>
    <row r="114" spans="9:15" x14ac:dyDescent="0.15">
      <c r="I114" s="166"/>
      <c r="J114" s="166"/>
      <c r="K114" s="166"/>
      <c r="L114" s="166"/>
      <c r="M114" s="166"/>
      <c r="N114" s="166"/>
      <c r="O114" s="166"/>
    </row>
    <row r="115" spans="9:15" x14ac:dyDescent="0.15">
      <c r="I115" s="166"/>
      <c r="J115" s="166"/>
      <c r="K115" s="166"/>
      <c r="L115" s="166"/>
      <c r="M115" s="166"/>
      <c r="N115" s="166"/>
      <c r="O115" s="166"/>
    </row>
    <row r="116" spans="9:15" x14ac:dyDescent="0.15">
      <c r="I116" s="166"/>
      <c r="J116" s="166"/>
      <c r="K116" s="166"/>
      <c r="L116" s="166"/>
      <c r="M116" s="166"/>
      <c r="N116" s="166"/>
      <c r="O116" s="166"/>
    </row>
    <row r="117" spans="9:15" x14ac:dyDescent="0.15">
      <c r="I117" s="166"/>
      <c r="J117" s="166"/>
      <c r="K117" s="166"/>
      <c r="L117" s="166"/>
      <c r="M117" s="166"/>
      <c r="N117" s="166"/>
      <c r="O117" s="166"/>
    </row>
    <row r="118" spans="9:15" x14ac:dyDescent="0.15">
      <c r="I118" s="166"/>
      <c r="J118" s="166"/>
      <c r="K118" s="166"/>
      <c r="L118" s="166"/>
      <c r="M118" s="166"/>
      <c r="N118" s="166"/>
      <c r="O118" s="166"/>
    </row>
    <row r="119" spans="9:15" x14ac:dyDescent="0.15">
      <c r="I119" s="166"/>
      <c r="J119" s="166"/>
      <c r="K119" s="166"/>
      <c r="L119" s="166"/>
      <c r="M119" s="166"/>
      <c r="N119" s="166"/>
      <c r="O119" s="166"/>
    </row>
    <row r="120" spans="9:15" x14ac:dyDescent="0.15">
      <c r="I120" s="166"/>
      <c r="J120" s="166"/>
      <c r="K120" s="166"/>
      <c r="L120" s="166"/>
      <c r="M120" s="166"/>
      <c r="N120" s="166"/>
      <c r="O120" s="166"/>
    </row>
    <row r="121" spans="9:15" x14ac:dyDescent="0.15">
      <c r="I121" s="166"/>
      <c r="J121" s="166"/>
      <c r="K121" s="166"/>
      <c r="L121" s="166"/>
      <c r="M121" s="166"/>
      <c r="N121" s="166"/>
      <c r="O121" s="166"/>
    </row>
    <row r="122" spans="9:15" x14ac:dyDescent="0.15">
      <c r="I122" s="166"/>
      <c r="J122" s="166"/>
      <c r="K122" s="166"/>
      <c r="L122" s="166"/>
      <c r="M122" s="166"/>
      <c r="N122" s="166"/>
      <c r="O122" s="166"/>
    </row>
    <row r="123" spans="9:15" x14ac:dyDescent="0.15">
      <c r="I123" s="166"/>
      <c r="J123" s="166"/>
      <c r="K123" s="166"/>
      <c r="L123" s="166"/>
      <c r="M123" s="166"/>
      <c r="N123" s="166"/>
      <c r="O123" s="166"/>
    </row>
    <row r="124" spans="9:15" x14ac:dyDescent="0.15">
      <c r="I124" s="166"/>
      <c r="J124" s="166"/>
      <c r="K124" s="166"/>
      <c r="L124" s="166"/>
      <c r="M124" s="166"/>
      <c r="N124" s="166"/>
      <c r="O124" s="166"/>
    </row>
    <row r="125" spans="9:15" x14ac:dyDescent="0.15">
      <c r="I125" s="166"/>
      <c r="J125" s="166"/>
      <c r="K125" s="166"/>
      <c r="L125" s="166"/>
      <c r="M125" s="166"/>
      <c r="N125" s="166"/>
      <c r="O125" s="166"/>
    </row>
    <row r="126" spans="9:15" x14ac:dyDescent="0.15">
      <c r="I126" s="166"/>
      <c r="J126" s="166"/>
      <c r="K126" s="166"/>
      <c r="L126" s="166"/>
      <c r="M126" s="166"/>
      <c r="N126" s="166"/>
      <c r="O126" s="166"/>
    </row>
    <row r="127" spans="9:15" x14ac:dyDescent="0.15">
      <c r="I127" s="166"/>
      <c r="J127" s="166"/>
      <c r="K127" s="166"/>
      <c r="L127" s="166"/>
      <c r="M127" s="166"/>
      <c r="N127" s="166"/>
      <c r="O127" s="166"/>
    </row>
    <row r="128" spans="9:15" x14ac:dyDescent="0.15">
      <c r="I128" s="166"/>
      <c r="J128" s="166"/>
      <c r="K128" s="166"/>
      <c r="L128" s="166"/>
      <c r="M128" s="166"/>
      <c r="N128" s="166"/>
      <c r="O128" s="166"/>
    </row>
    <row r="129" spans="9:15" x14ac:dyDescent="0.15">
      <c r="I129" s="166"/>
      <c r="J129" s="166"/>
      <c r="K129" s="166"/>
      <c r="L129" s="166"/>
      <c r="M129" s="166"/>
      <c r="N129" s="166"/>
      <c r="O129" s="166"/>
    </row>
    <row r="130" spans="9:15" x14ac:dyDescent="0.15">
      <c r="I130" s="166"/>
      <c r="J130" s="166"/>
      <c r="K130" s="166"/>
      <c r="L130" s="166"/>
      <c r="M130" s="166"/>
      <c r="N130" s="166"/>
      <c r="O130" s="166"/>
    </row>
    <row r="131" spans="9:15" x14ac:dyDescent="0.15">
      <c r="I131" s="166"/>
      <c r="J131" s="166"/>
      <c r="K131" s="166"/>
      <c r="L131" s="166"/>
      <c r="M131" s="166"/>
      <c r="N131" s="166"/>
      <c r="O131" s="166"/>
    </row>
    <row r="132" spans="9:15" x14ac:dyDescent="0.15">
      <c r="I132" s="166"/>
      <c r="J132" s="166"/>
      <c r="K132" s="166"/>
      <c r="L132" s="166"/>
      <c r="M132" s="166"/>
      <c r="N132" s="166"/>
      <c r="O132" s="166"/>
    </row>
    <row r="133" spans="9:15" x14ac:dyDescent="0.15">
      <c r="I133" s="166"/>
      <c r="J133" s="166"/>
      <c r="K133" s="166"/>
      <c r="L133" s="166"/>
      <c r="M133" s="166"/>
      <c r="N133" s="166"/>
      <c r="O133" s="166"/>
    </row>
    <row r="134" spans="9:15" x14ac:dyDescent="0.15">
      <c r="I134" s="166"/>
      <c r="J134" s="166"/>
      <c r="K134" s="166"/>
      <c r="L134" s="166"/>
      <c r="M134" s="166"/>
      <c r="N134" s="166"/>
      <c r="O134" s="166"/>
    </row>
    <row r="135" spans="9:15" x14ac:dyDescent="0.15">
      <c r="I135" s="166"/>
      <c r="J135" s="166"/>
      <c r="K135" s="166"/>
      <c r="L135" s="166"/>
      <c r="M135" s="166"/>
      <c r="N135" s="166"/>
      <c r="O135" s="166"/>
    </row>
    <row r="136" spans="9:15" x14ac:dyDescent="0.15">
      <c r="I136" s="166"/>
      <c r="J136" s="166"/>
      <c r="K136" s="166"/>
      <c r="L136" s="166"/>
      <c r="M136" s="166"/>
      <c r="N136" s="166"/>
      <c r="O136" s="166"/>
    </row>
    <row r="137" spans="9:15" x14ac:dyDescent="0.15">
      <c r="I137" s="166"/>
      <c r="J137" s="166"/>
      <c r="K137" s="166"/>
      <c r="L137" s="166"/>
      <c r="M137" s="166"/>
      <c r="N137" s="166"/>
      <c r="O137" s="166"/>
    </row>
    <row r="138" spans="9:15" x14ac:dyDescent="0.15">
      <c r="I138" s="166"/>
      <c r="J138" s="166"/>
      <c r="K138" s="166"/>
      <c r="L138" s="166"/>
      <c r="M138" s="166"/>
      <c r="N138" s="166"/>
      <c r="O138" s="166"/>
    </row>
    <row r="139" spans="9:15" x14ac:dyDescent="0.15">
      <c r="I139" s="166"/>
      <c r="J139" s="166"/>
      <c r="K139" s="166"/>
      <c r="L139" s="166"/>
      <c r="M139" s="166"/>
      <c r="N139" s="166"/>
    </row>
    <row r="140" spans="9:15" x14ac:dyDescent="0.15">
      <c r="I140" s="166"/>
      <c r="J140" s="166"/>
      <c r="K140" s="166"/>
      <c r="L140" s="166"/>
      <c r="M140" s="166"/>
      <c r="N140" s="166"/>
    </row>
    <row r="141" spans="9:15" x14ac:dyDescent="0.15">
      <c r="I141" s="166"/>
      <c r="J141" s="166"/>
      <c r="K141" s="166"/>
      <c r="L141" s="166"/>
      <c r="M141" s="166"/>
      <c r="N141" s="166"/>
    </row>
    <row r="142" spans="9:15" x14ac:dyDescent="0.15">
      <c r="I142" s="166"/>
      <c r="J142" s="166"/>
      <c r="K142" s="166"/>
      <c r="L142" s="166"/>
      <c r="M142" s="166"/>
      <c r="N142" s="166"/>
    </row>
    <row r="143" spans="9:15" x14ac:dyDescent="0.15">
      <c r="I143" s="166"/>
      <c r="J143" s="166"/>
      <c r="K143" s="166"/>
      <c r="L143" s="166"/>
      <c r="M143" s="166"/>
      <c r="N143" s="166"/>
    </row>
    <row r="144" spans="9:15" x14ac:dyDescent="0.15">
      <c r="I144" s="166"/>
      <c r="J144" s="166"/>
      <c r="K144" s="166"/>
      <c r="L144" s="166"/>
      <c r="M144" s="166"/>
      <c r="N144" s="166"/>
    </row>
    <row r="145" spans="9:14" x14ac:dyDescent="0.15">
      <c r="I145" s="166"/>
      <c r="J145" s="166"/>
      <c r="K145" s="166"/>
      <c r="L145" s="166"/>
      <c r="M145" s="166"/>
      <c r="N145" s="166"/>
    </row>
    <row r="146" spans="9:14" x14ac:dyDescent="0.15">
      <c r="I146" s="166"/>
      <c r="J146" s="166"/>
      <c r="K146" s="166"/>
      <c r="L146" s="166"/>
      <c r="M146" s="166"/>
      <c r="N146" s="166"/>
    </row>
    <row r="147" spans="9:14" x14ac:dyDescent="0.15">
      <c r="I147" s="166"/>
      <c r="J147" s="166"/>
      <c r="K147" s="166"/>
      <c r="L147" s="166"/>
      <c r="M147" s="166"/>
      <c r="N147" s="166"/>
    </row>
    <row r="148" spans="9:14" x14ac:dyDescent="0.15">
      <c r="I148" s="166"/>
      <c r="J148" s="166"/>
      <c r="K148" s="166"/>
      <c r="L148" s="166"/>
      <c r="M148" s="166"/>
      <c r="N148" s="166"/>
    </row>
    <row r="149" spans="9:14" x14ac:dyDescent="0.15">
      <c r="I149" s="166"/>
      <c r="J149" s="166"/>
      <c r="K149" s="166"/>
      <c r="L149" s="166"/>
      <c r="M149" s="166"/>
      <c r="N149" s="166"/>
    </row>
    <row r="150" spans="9:14" x14ac:dyDescent="0.15">
      <c r="I150" s="166"/>
      <c r="J150" s="166"/>
      <c r="K150" s="166"/>
      <c r="L150" s="166"/>
      <c r="M150" s="166"/>
      <c r="N150" s="166"/>
    </row>
    <row r="151" spans="9:14" x14ac:dyDescent="0.15">
      <c r="I151" s="166"/>
      <c r="J151" s="166"/>
      <c r="K151" s="166"/>
      <c r="L151" s="166"/>
      <c r="M151" s="166"/>
      <c r="N151" s="166"/>
    </row>
    <row r="152" spans="9:14" x14ac:dyDescent="0.15">
      <c r="I152" s="166"/>
      <c r="J152" s="166"/>
      <c r="K152" s="166"/>
      <c r="L152" s="166"/>
      <c r="M152" s="166"/>
      <c r="N152" s="166"/>
    </row>
    <row r="153" spans="9:14" x14ac:dyDescent="0.15">
      <c r="I153" s="166"/>
      <c r="J153" s="166"/>
      <c r="K153" s="166"/>
      <c r="L153" s="166"/>
      <c r="M153" s="166"/>
      <c r="N153" s="166"/>
    </row>
    <row r="154" spans="9:14" x14ac:dyDescent="0.15">
      <c r="I154" s="166"/>
      <c r="J154" s="166"/>
      <c r="K154" s="166"/>
      <c r="L154" s="166"/>
      <c r="M154" s="166"/>
      <c r="N154" s="166"/>
    </row>
    <row r="155" spans="9:14" x14ac:dyDescent="0.15">
      <c r="J155" s="166"/>
      <c r="K155" s="166"/>
      <c r="L155" s="166"/>
      <c r="M155" s="166"/>
      <c r="N155" s="166"/>
    </row>
    <row r="156" spans="9:14" x14ac:dyDescent="0.15">
      <c r="J156" s="166"/>
      <c r="K156" s="166"/>
      <c r="L156" s="166"/>
      <c r="M156" s="166"/>
      <c r="N156" s="166"/>
    </row>
    <row r="172" spans="15:15" x14ac:dyDescent="0.15">
      <c r="O172" s="166"/>
    </row>
    <row r="173" spans="15:15" x14ac:dyDescent="0.15">
      <c r="O173" s="166"/>
    </row>
    <row r="174" spans="15:15" x14ac:dyDescent="0.15">
      <c r="O174" s="166"/>
    </row>
    <row r="175" spans="15:15" x14ac:dyDescent="0.15">
      <c r="O175" s="166"/>
    </row>
    <row r="176" spans="15:15" x14ac:dyDescent="0.15">
      <c r="O176" s="166"/>
    </row>
    <row r="177" spans="15:15" x14ac:dyDescent="0.15">
      <c r="O177" s="166"/>
    </row>
    <row r="178" spans="15:15" x14ac:dyDescent="0.15">
      <c r="O178" s="166"/>
    </row>
    <row r="179" spans="15:15" x14ac:dyDescent="0.15">
      <c r="O179" s="166"/>
    </row>
    <row r="180" spans="15:15" x14ac:dyDescent="0.15">
      <c r="O180" s="166"/>
    </row>
    <row r="181" spans="15:15" x14ac:dyDescent="0.15">
      <c r="O181" s="166"/>
    </row>
    <row r="182" spans="15:15" x14ac:dyDescent="0.15">
      <c r="O182" s="166"/>
    </row>
    <row r="183" spans="15:15" x14ac:dyDescent="0.15">
      <c r="O183" s="166"/>
    </row>
    <row r="184" spans="15:15" x14ac:dyDescent="0.15">
      <c r="O184" s="166"/>
    </row>
    <row r="185" spans="15:15" x14ac:dyDescent="0.15">
      <c r="O185" s="166"/>
    </row>
    <row r="186" spans="15:15" x14ac:dyDescent="0.15">
      <c r="O186" s="166"/>
    </row>
    <row r="187" spans="15:15" x14ac:dyDescent="0.15">
      <c r="O187" s="166"/>
    </row>
    <row r="188" spans="15:15" x14ac:dyDescent="0.15">
      <c r="O188" s="166"/>
    </row>
    <row r="189" spans="15:15" x14ac:dyDescent="0.15">
      <c r="O189" s="166"/>
    </row>
    <row r="190" spans="15:15" x14ac:dyDescent="0.15">
      <c r="O190" s="166"/>
    </row>
    <row r="191" spans="15:15" x14ac:dyDescent="0.15">
      <c r="O191" s="166"/>
    </row>
  </sheetData>
  <mergeCells count="72">
    <mergeCell ref="I6:I10"/>
    <mergeCell ref="Y28:Z28"/>
    <mergeCell ref="P57:Q57"/>
    <mergeCell ref="Q45:Q49"/>
    <mergeCell ref="Q51:Q55"/>
    <mergeCell ref="P45:P56"/>
    <mergeCell ref="P38:P44"/>
    <mergeCell ref="Q37:R37"/>
    <mergeCell ref="T6:U6"/>
    <mergeCell ref="T7:U7"/>
    <mergeCell ref="T8:U8"/>
    <mergeCell ref="T9:U9"/>
    <mergeCell ref="T10:U10"/>
    <mergeCell ref="I20:I23"/>
    <mergeCell ref="I28:I31"/>
    <mergeCell ref="T14:U14"/>
    <mergeCell ref="M4:M5"/>
    <mergeCell ref="N4:N5"/>
    <mergeCell ref="J4:J5"/>
    <mergeCell ref="I4:I5"/>
    <mergeCell ref="T4:U4"/>
    <mergeCell ref="T5:U5"/>
    <mergeCell ref="I24:I27"/>
    <mergeCell ref="I17:I19"/>
    <mergeCell ref="I11:I16"/>
    <mergeCell ref="T13:U13"/>
    <mergeCell ref="T11:U11"/>
    <mergeCell ref="T12:U12"/>
    <mergeCell ref="T15:U15"/>
    <mergeCell ref="T18:U18"/>
    <mergeCell ref="T19:U19"/>
    <mergeCell ref="T20:U20"/>
    <mergeCell ref="T16:U16"/>
    <mergeCell ref="T17:U1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57:J57"/>
    <mergeCell ref="K37:L37"/>
    <mergeCell ref="K38:L38"/>
    <mergeCell ref="I35:I42"/>
    <mergeCell ref="K42:L42"/>
    <mergeCell ref="K45:L45"/>
    <mergeCell ref="K46:L46"/>
    <mergeCell ref="K57:L57"/>
    <mergeCell ref="I51:I56"/>
    <mergeCell ref="K51:L51"/>
    <mergeCell ref="K52:L52"/>
    <mergeCell ref="K53:L53"/>
    <mergeCell ref="K54:L54"/>
    <mergeCell ref="K55:L55"/>
    <mergeCell ref="K56:L56"/>
    <mergeCell ref="I43:I46"/>
    <mergeCell ref="I47:I50"/>
    <mergeCell ref="K43:L43"/>
    <mergeCell ref="K44:L44"/>
    <mergeCell ref="K34:L34"/>
    <mergeCell ref="K35:L35"/>
    <mergeCell ref="K36:L36"/>
    <mergeCell ref="K39:L39"/>
    <mergeCell ref="K40:L40"/>
    <mergeCell ref="K41:L41"/>
    <mergeCell ref="K50:L50"/>
    <mergeCell ref="K47:L47"/>
    <mergeCell ref="K48:L48"/>
    <mergeCell ref="K49:L49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80"/>
  <sheetViews>
    <sheetView zoomScale="75" zoomScaleNormal="75" zoomScaleSheetLayoutView="80" workbookViewId="0"/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7" width="9" style="29"/>
    <col min="18" max="18" width="10.375" style="29" hidden="1" customWidth="1"/>
    <col min="19" max="23" width="12.125" style="29" hidden="1" customWidth="1"/>
    <col min="24" max="29" width="11" style="29" hidden="1" customWidth="1"/>
    <col min="30" max="30" width="9" style="29" hidden="1" customWidth="1"/>
    <col min="31" max="16384" width="9" style="29"/>
  </cols>
  <sheetData>
    <row r="1" spans="2:30" ht="9.9499999999999993" customHeight="1" x14ac:dyDescent="0.15"/>
    <row r="2" spans="2:30" ht="24.95" customHeight="1" x14ac:dyDescent="0.15">
      <c r="B2" s="29" t="s">
        <v>277</v>
      </c>
    </row>
    <row r="3" spans="2:30" ht="20.100000000000001" customHeight="1" x14ac:dyDescent="0.15">
      <c r="D3" s="109" t="s">
        <v>193</v>
      </c>
      <c r="E3" s="108" t="s">
        <v>275</v>
      </c>
      <c r="F3" s="108"/>
      <c r="G3" s="109" t="s">
        <v>194</v>
      </c>
      <c r="H3" s="108" t="s">
        <v>276</v>
      </c>
      <c r="I3" s="108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</row>
    <row r="4" spans="2:30" ht="20.100000000000001" customHeight="1" thickBot="1" x14ac:dyDescent="0.2">
      <c r="B4" s="5" t="s">
        <v>207</v>
      </c>
      <c r="C4" s="5" t="s">
        <v>208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  <c r="Q4" s="362"/>
      <c r="R4" s="362" t="s">
        <v>273</v>
      </c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</row>
    <row r="5" spans="2:30" ht="20.100000000000001" customHeight="1" x14ac:dyDescent="0.15">
      <c r="B5" s="293" t="s">
        <v>254</v>
      </c>
      <c r="C5" s="307">
        <v>1</v>
      </c>
      <c r="D5" s="307">
        <v>2</v>
      </c>
      <c r="E5" s="307">
        <v>3</v>
      </c>
      <c r="F5" s="307">
        <v>4</v>
      </c>
      <c r="G5" s="307">
        <v>5</v>
      </c>
      <c r="H5" s="307">
        <v>6</v>
      </c>
      <c r="I5" s="307">
        <v>7</v>
      </c>
      <c r="J5" s="307">
        <v>8</v>
      </c>
      <c r="K5" s="307">
        <v>9</v>
      </c>
      <c r="L5" s="307">
        <v>10</v>
      </c>
      <c r="M5" s="307">
        <v>11</v>
      </c>
      <c r="N5" s="307">
        <v>12</v>
      </c>
      <c r="O5" s="140" t="s">
        <v>209</v>
      </c>
      <c r="Q5" s="362"/>
      <c r="R5" s="362" t="s">
        <v>262</v>
      </c>
      <c r="S5" s="362"/>
      <c r="T5" s="362"/>
      <c r="U5" s="362"/>
      <c r="V5" s="362"/>
      <c r="W5" s="362"/>
      <c r="X5" s="362"/>
      <c r="Y5" s="362" t="s">
        <v>265</v>
      </c>
      <c r="Z5" s="362"/>
      <c r="AA5" s="362"/>
      <c r="AB5" s="362"/>
      <c r="AC5" s="362"/>
      <c r="AD5" s="362"/>
    </row>
    <row r="6" spans="2:30" ht="20.100000000000001" customHeight="1" x14ac:dyDescent="0.15">
      <c r="B6" s="298" t="s">
        <v>268</v>
      </c>
      <c r="C6" s="299">
        <v>1233</v>
      </c>
      <c r="D6" s="299">
        <v>1144</v>
      </c>
      <c r="E6" s="299">
        <v>997</v>
      </c>
      <c r="F6" s="299">
        <v>925</v>
      </c>
      <c r="G6" s="299">
        <v>813</v>
      </c>
      <c r="H6" s="299">
        <v>935</v>
      </c>
      <c r="I6" s="299">
        <v>1714</v>
      </c>
      <c r="J6" s="299">
        <v>1393</v>
      </c>
      <c r="K6" s="299">
        <v>1370</v>
      </c>
      <c r="L6" s="299">
        <v>1455</v>
      </c>
      <c r="M6" s="299">
        <v>1554</v>
      </c>
      <c r="N6" s="299">
        <v>1901</v>
      </c>
      <c r="O6" s="306">
        <f>AVERAGE(C6:N6)</f>
        <v>1286.1666666666667</v>
      </c>
      <c r="Q6" s="362"/>
      <c r="R6" s="362"/>
      <c r="S6" s="366">
        <v>1</v>
      </c>
      <c r="T6" s="366">
        <v>2</v>
      </c>
      <c r="U6" s="366">
        <v>3</v>
      </c>
      <c r="V6" s="366">
        <v>4</v>
      </c>
      <c r="W6" s="366">
        <v>5</v>
      </c>
      <c r="X6" s="366">
        <v>6</v>
      </c>
      <c r="Y6" s="366">
        <v>7</v>
      </c>
      <c r="Z6" s="366">
        <v>8</v>
      </c>
      <c r="AA6" s="366">
        <v>9</v>
      </c>
      <c r="AB6" s="366">
        <v>10</v>
      </c>
      <c r="AC6" s="366">
        <v>11</v>
      </c>
      <c r="AD6" s="366">
        <v>12</v>
      </c>
    </row>
    <row r="7" spans="2:30" ht="20.100000000000001" customHeight="1" x14ac:dyDescent="0.15">
      <c r="B7" s="298" t="s">
        <v>269</v>
      </c>
      <c r="C7" s="151">
        <v>1416</v>
      </c>
      <c r="D7" s="151">
        <v>1448</v>
      </c>
      <c r="E7" s="151">
        <v>1114</v>
      </c>
      <c r="F7" s="151">
        <v>744</v>
      </c>
      <c r="G7" s="151">
        <v>844</v>
      </c>
      <c r="H7" s="151">
        <v>895</v>
      </c>
      <c r="I7" s="151">
        <v>1560</v>
      </c>
      <c r="J7" s="151">
        <v>1449</v>
      </c>
      <c r="K7" s="151">
        <v>1196</v>
      </c>
      <c r="L7" s="151">
        <v>1260</v>
      </c>
      <c r="M7" s="151">
        <v>1696</v>
      </c>
      <c r="N7" s="151">
        <v>2266</v>
      </c>
      <c r="O7" s="306">
        <f>AVERAGE(C7:N7)</f>
        <v>1324</v>
      </c>
      <c r="Q7" s="362"/>
      <c r="R7" s="362">
        <v>7730</v>
      </c>
      <c r="S7" s="362">
        <v>421</v>
      </c>
      <c r="T7" s="362">
        <v>566</v>
      </c>
      <c r="U7" s="362">
        <v>488</v>
      </c>
      <c r="V7" s="362">
        <v>463</v>
      </c>
      <c r="W7" s="362">
        <v>221</v>
      </c>
      <c r="X7" s="362">
        <v>111</v>
      </c>
      <c r="Y7" s="362">
        <v>2253</v>
      </c>
      <c r="Z7" s="362">
        <v>1189</v>
      </c>
      <c r="AA7" s="362">
        <v>325</v>
      </c>
      <c r="AB7" s="362">
        <v>874</v>
      </c>
      <c r="AC7" s="362">
        <v>574</v>
      </c>
      <c r="AD7" s="362">
        <v>245</v>
      </c>
    </row>
    <row r="8" spans="2:30" ht="20.100000000000001" customHeight="1" x14ac:dyDescent="0.15">
      <c r="B8" s="298" t="s">
        <v>270</v>
      </c>
      <c r="C8" s="151">
        <v>1243</v>
      </c>
      <c r="D8" s="151">
        <v>1008</v>
      </c>
      <c r="E8" s="151">
        <v>868</v>
      </c>
      <c r="F8" s="151">
        <v>741</v>
      </c>
      <c r="G8" s="151">
        <v>740</v>
      </c>
      <c r="H8" s="151">
        <v>830</v>
      </c>
      <c r="I8" s="151">
        <v>1555</v>
      </c>
      <c r="J8" s="151">
        <v>1413</v>
      </c>
      <c r="K8" s="151">
        <v>1440</v>
      </c>
      <c r="L8" s="151">
        <v>1381</v>
      </c>
      <c r="M8" s="151">
        <v>1276</v>
      </c>
      <c r="N8" s="151">
        <v>1628</v>
      </c>
      <c r="O8" s="306">
        <f t="shared" ref="O8:O10" si="0">AVERAGE(C8:N8)</f>
        <v>1176.9166666666667</v>
      </c>
      <c r="Q8" s="362"/>
      <c r="R8" s="362">
        <v>16464474</v>
      </c>
      <c r="S8" s="362">
        <v>715627</v>
      </c>
      <c r="T8" s="362">
        <v>860541</v>
      </c>
      <c r="U8" s="362">
        <v>866998</v>
      </c>
      <c r="V8" s="362">
        <v>725827</v>
      </c>
      <c r="W8" s="362">
        <v>282097</v>
      </c>
      <c r="X8" s="362">
        <v>287519</v>
      </c>
      <c r="Y8" s="362">
        <v>5534288</v>
      </c>
      <c r="Z8" s="362">
        <v>2813949</v>
      </c>
      <c r="AA8" s="362">
        <v>767498</v>
      </c>
      <c r="AB8" s="362">
        <v>2205212</v>
      </c>
      <c r="AC8" s="362">
        <v>1177239</v>
      </c>
      <c r="AD8" s="362">
        <v>227679</v>
      </c>
    </row>
    <row r="9" spans="2:30" ht="20.100000000000001" customHeight="1" x14ac:dyDescent="0.15">
      <c r="B9" s="298" t="s">
        <v>271</v>
      </c>
      <c r="C9" s="151">
        <v>1047</v>
      </c>
      <c r="D9" s="151">
        <v>992</v>
      </c>
      <c r="E9" s="151">
        <v>998</v>
      </c>
      <c r="F9" s="151">
        <v>778</v>
      </c>
      <c r="G9" s="151">
        <v>670</v>
      </c>
      <c r="H9" s="151">
        <v>760</v>
      </c>
      <c r="I9" s="151">
        <v>1531</v>
      </c>
      <c r="J9" s="151">
        <v>1509</v>
      </c>
      <c r="K9" s="151">
        <v>1382</v>
      </c>
      <c r="L9" s="151">
        <v>1484</v>
      </c>
      <c r="M9" s="151">
        <v>1592</v>
      </c>
      <c r="N9" s="151">
        <v>1625</v>
      </c>
      <c r="O9" s="306">
        <f t="shared" si="0"/>
        <v>1197.3333333333333</v>
      </c>
      <c r="Q9" s="362"/>
      <c r="R9" s="362">
        <v>2130</v>
      </c>
      <c r="S9" s="362">
        <v>1700</v>
      </c>
      <c r="T9" s="362">
        <v>1520</v>
      </c>
      <c r="U9" s="362">
        <v>1777</v>
      </c>
      <c r="V9" s="362">
        <v>1568</v>
      </c>
      <c r="W9" s="362">
        <v>1276</v>
      </c>
      <c r="X9" s="362">
        <v>2590</v>
      </c>
      <c r="Y9" s="362">
        <v>2456</v>
      </c>
      <c r="Z9" s="362">
        <v>2367</v>
      </c>
      <c r="AA9" s="362">
        <v>2362</v>
      </c>
      <c r="AB9" s="362">
        <v>2523</v>
      </c>
      <c r="AC9" s="362">
        <v>2051</v>
      </c>
      <c r="AD9" s="362">
        <v>929</v>
      </c>
    </row>
    <row r="10" spans="2:30" ht="20.100000000000001" customHeight="1" x14ac:dyDescent="0.15">
      <c r="B10" s="298" t="s">
        <v>272</v>
      </c>
      <c r="C10" s="151">
        <v>1129</v>
      </c>
      <c r="D10" s="151">
        <v>1018</v>
      </c>
      <c r="E10" s="151">
        <v>922</v>
      </c>
      <c r="F10" s="151">
        <v>712</v>
      </c>
      <c r="G10" s="151">
        <v>703</v>
      </c>
      <c r="H10" s="151">
        <v>785</v>
      </c>
      <c r="I10" s="151">
        <v>1583</v>
      </c>
      <c r="J10" s="151">
        <v>1523</v>
      </c>
      <c r="K10" s="151">
        <v>1544</v>
      </c>
      <c r="L10" s="151">
        <v>1480</v>
      </c>
      <c r="M10" s="151">
        <v>1730</v>
      </c>
      <c r="N10" s="151">
        <v>1407</v>
      </c>
      <c r="O10" s="306">
        <f t="shared" si="0"/>
        <v>1211.3333333333333</v>
      </c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</row>
    <row r="11" spans="2:30" ht="20.100000000000001" customHeight="1" thickBot="1" x14ac:dyDescent="0.2">
      <c r="B11" s="296" t="s">
        <v>210</v>
      </c>
      <c r="C11" s="294">
        <f>AVERAGE(C6:C10)</f>
        <v>1213.5999999999999</v>
      </c>
      <c r="D11" s="294">
        <f t="shared" ref="D11:O11" si="1">AVERAGE(D6:D10)</f>
        <v>1122</v>
      </c>
      <c r="E11" s="294">
        <f t="shared" si="1"/>
        <v>979.8</v>
      </c>
      <c r="F11" s="294">
        <f t="shared" si="1"/>
        <v>780</v>
      </c>
      <c r="G11" s="294">
        <f t="shared" si="1"/>
        <v>754</v>
      </c>
      <c r="H11" s="294">
        <f t="shared" si="1"/>
        <v>841</v>
      </c>
      <c r="I11" s="294">
        <f t="shared" si="1"/>
        <v>1588.6</v>
      </c>
      <c r="J11" s="294">
        <f t="shared" si="1"/>
        <v>1457.4</v>
      </c>
      <c r="K11" s="294">
        <f t="shared" si="1"/>
        <v>1386.4</v>
      </c>
      <c r="L11" s="294">
        <f t="shared" si="1"/>
        <v>1412</v>
      </c>
      <c r="M11" s="294">
        <f t="shared" si="1"/>
        <v>1569.6</v>
      </c>
      <c r="N11" s="294">
        <f t="shared" si="1"/>
        <v>1765.4</v>
      </c>
      <c r="O11" s="295">
        <f t="shared" si="1"/>
        <v>1239.1500000000001</v>
      </c>
      <c r="Q11" s="362"/>
      <c r="R11" s="362" t="s">
        <v>263</v>
      </c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</row>
    <row r="12" spans="2:30" ht="20.100000000000001" customHeight="1" x14ac:dyDescent="0.15">
      <c r="Q12" s="362"/>
      <c r="R12" s="362">
        <v>7308</v>
      </c>
      <c r="S12" s="362">
        <v>292</v>
      </c>
      <c r="T12" s="362">
        <v>326</v>
      </c>
      <c r="U12" s="362">
        <v>537</v>
      </c>
      <c r="V12" s="362">
        <v>379</v>
      </c>
      <c r="W12" s="362">
        <v>199</v>
      </c>
      <c r="X12" s="362">
        <v>278</v>
      </c>
      <c r="Y12" s="362">
        <v>2461</v>
      </c>
      <c r="Z12" s="362">
        <v>752</v>
      </c>
      <c r="AA12" s="362">
        <v>1009</v>
      </c>
      <c r="AB12" s="362">
        <v>525</v>
      </c>
      <c r="AC12" s="362">
        <v>374</v>
      </c>
      <c r="AD12" s="362">
        <v>176</v>
      </c>
    </row>
    <row r="13" spans="2:30" ht="20.100000000000001" customHeight="1" thickBot="1" x14ac:dyDescent="0.2">
      <c r="B13" s="5" t="s">
        <v>207</v>
      </c>
      <c r="C13" s="5" t="s">
        <v>255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362"/>
      <c r="R13" s="362">
        <v>14040792</v>
      </c>
      <c r="S13" s="362">
        <v>438793</v>
      </c>
      <c r="T13" s="362">
        <v>457543</v>
      </c>
      <c r="U13" s="362">
        <v>584587</v>
      </c>
      <c r="V13" s="362">
        <v>264942</v>
      </c>
      <c r="W13" s="362">
        <v>253771</v>
      </c>
      <c r="X13" s="362">
        <v>643283</v>
      </c>
      <c r="Y13" s="362">
        <v>5283443</v>
      </c>
      <c r="Z13" s="362">
        <v>1703836</v>
      </c>
      <c r="AA13" s="362">
        <v>2179015</v>
      </c>
      <c r="AB13" s="362">
        <v>1174374</v>
      </c>
      <c r="AC13" s="362">
        <v>836589</v>
      </c>
      <c r="AD13" s="362">
        <v>220616</v>
      </c>
    </row>
    <row r="14" spans="2:30" ht="20.100000000000001" customHeight="1" x14ac:dyDescent="0.15">
      <c r="B14" s="293" t="s">
        <v>254</v>
      </c>
      <c r="C14" s="297">
        <v>1</v>
      </c>
      <c r="D14" s="297">
        <v>2</v>
      </c>
      <c r="E14" s="297">
        <v>3</v>
      </c>
      <c r="F14" s="297">
        <v>4</v>
      </c>
      <c r="G14" s="297">
        <v>5</v>
      </c>
      <c r="H14" s="297">
        <v>6</v>
      </c>
      <c r="I14" s="297">
        <v>7</v>
      </c>
      <c r="J14" s="297">
        <v>8</v>
      </c>
      <c r="K14" s="297">
        <v>9</v>
      </c>
      <c r="L14" s="297">
        <v>10</v>
      </c>
      <c r="M14" s="297">
        <v>11</v>
      </c>
      <c r="N14" s="297">
        <v>12</v>
      </c>
      <c r="O14" s="140" t="s">
        <v>209</v>
      </c>
      <c r="Q14" s="362"/>
      <c r="R14" s="362">
        <v>1921</v>
      </c>
      <c r="S14" s="362">
        <v>1503</v>
      </c>
      <c r="T14" s="362">
        <v>1404</v>
      </c>
      <c r="U14" s="362">
        <v>1089</v>
      </c>
      <c r="V14" s="362">
        <v>699</v>
      </c>
      <c r="W14" s="362">
        <v>1275</v>
      </c>
      <c r="X14" s="362">
        <v>2314</v>
      </c>
      <c r="Y14" s="362">
        <v>2147</v>
      </c>
      <c r="Z14" s="362">
        <v>2266</v>
      </c>
      <c r="AA14" s="362">
        <v>2160</v>
      </c>
      <c r="AB14" s="362">
        <v>2237</v>
      </c>
      <c r="AC14" s="362">
        <v>2237</v>
      </c>
      <c r="AD14" s="362">
        <v>1254</v>
      </c>
    </row>
    <row r="15" spans="2:30" ht="20.100000000000001" customHeight="1" x14ac:dyDescent="0.15">
      <c r="B15" s="298" t="s">
        <v>268</v>
      </c>
      <c r="C15" s="299">
        <v>1700</v>
      </c>
      <c r="D15" s="299">
        <v>1520</v>
      </c>
      <c r="E15" s="299">
        <v>1777</v>
      </c>
      <c r="F15" s="299">
        <v>1568</v>
      </c>
      <c r="G15" s="299">
        <v>1276</v>
      </c>
      <c r="H15" s="299">
        <v>2590</v>
      </c>
      <c r="I15" s="299">
        <v>2456</v>
      </c>
      <c r="J15" s="299">
        <v>2367</v>
      </c>
      <c r="K15" s="299">
        <v>2362</v>
      </c>
      <c r="L15" s="299">
        <v>2523</v>
      </c>
      <c r="M15" s="299">
        <v>2051</v>
      </c>
      <c r="N15" s="299">
        <v>929</v>
      </c>
      <c r="O15" s="306">
        <f>AVERAGE(C15:N15)</f>
        <v>1926.5833333333333</v>
      </c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</row>
    <row r="16" spans="2:30" ht="20.100000000000001" customHeight="1" x14ac:dyDescent="0.15">
      <c r="B16" s="298" t="s">
        <v>269</v>
      </c>
      <c r="C16" s="151">
        <v>1503</v>
      </c>
      <c r="D16" s="151">
        <v>1404</v>
      </c>
      <c r="E16" s="151">
        <v>1089</v>
      </c>
      <c r="F16" s="151">
        <v>699</v>
      </c>
      <c r="G16" s="151">
        <v>1275</v>
      </c>
      <c r="H16" s="151">
        <v>2314</v>
      </c>
      <c r="I16" s="151">
        <v>2147</v>
      </c>
      <c r="J16" s="151">
        <v>2266</v>
      </c>
      <c r="K16" s="151">
        <v>2160</v>
      </c>
      <c r="L16" s="151">
        <v>2237</v>
      </c>
      <c r="M16" s="151">
        <v>2237</v>
      </c>
      <c r="N16" s="151">
        <v>1254</v>
      </c>
      <c r="O16" s="306">
        <f>AVERAGE(C16:N16)</f>
        <v>1715.4166666666667</v>
      </c>
      <c r="Q16" s="362"/>
      <c r="R16" s="362" t="s">
        <v>264</v>
      </c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</row>
    <row r="17" spans="2:30" ht="20.100000000000001" customHeight="1" x14ac:dyDescent="0.15">
      <c r="B17" s="298" t="s">
        <v>270</v>
      </c>
      <c r="C17" s="151">
        <v>1254</v>
      </c>
      <c r="D17" s="151">
        <v>1206</v>
      </c>
      <c r="E17" s="151">
        <v>1075</v>
      </c>
      <c r="F17" s="151">
        <v>1122</v>
      </c>
      <c r="G17" s="151">
        <v>1175</v>
      </c>
      <c r="H17" s="151">
        <v>1000</v>
      </c>
      <c r="I17" s="151">
        <v>2652</v>
      </c>
      <c r="J17" s="151">
        <v>2447</v>
      </c>
      <c r="K17" s="151">
        <v>2734</v>
      </c>
      <c r="L17" s="151">
        <v>2819</v>
      </c>
      <c r="M17" s="151">
        <v>2004</v>
      </c>
      <c r="N17" s="151">
        <v>1072</v>
      </c>
      <c r="O17" s="306">
        <f t="shared" ref="O17:O19" si="2">AVERAGE(C17:N17)</f>
        <v>1713.3333333333333</v>
      </c>
      <c r="Q17" s="362"/>
      <c r="R17" s="362">
        <v>7159</v>
      </c>
      <c r="S17" s="362">
        <v>424</v>
      </c>
      <c r="T17" s="362">
        <v>604</v>
      </c>
      <c r="U17" s="362">
        <v>1098</v>
      </c>
      <c r="V17" s="362">
        <v>762</v>
      </c>
      <c r="W17" s="362">
        <v>210</v>
      </c>
      <c r="X17" s="362">
        <v>179</v>
      </c>
      <c r="Y17" s="362">
        <v>1145</v>
      </c>
      <c r="Z17" s="362">
        <v>721</v>
      </c>
      <c r="AA17" s="362">
        <v>791</v>
      </c>
      <c r="AB17" s="362">
        <v>567</v>
      </c>
      <c r="AC17" s="362">
        <v>438</v>
      </c>
      <c r="AD17" s="362">
        <v>220</v>
      </c>
    </row>
    <row r="18" spans="2:30" ht="20.100000000000001" customHeight="1" x14ac:dyDescent="0.15">
      <c r="B18" s="298" t="s">
        <v>271</v>
      </c>
      <c r="C18" s="151">
        <v>1052</v>
      </c>
      <c r="D18" s="151">
        <v>1020</v>
      </c>
      <c r="E18" s="151">
        <v>1019</v>
      </c>
      <c r="F18" s="151">
        <v>733</v>
      </c>
      <c r="G18" s="151">
        <v>873</v>
      </c>
      <c r="H18" s="151">
        <v>2249</v>
      </c>
      <c r="I18" s="151">
        <v>2676</v>
      </c>
      <c r="J18" s="151">
        <v>2487</v>
      </c>
      <c r="K18" s="151">
        <v>2498</v>
      </c>
      <c r="L18" s="151">
        <v>2808</v>
      </c>
      <c r="M18" s="151">
        <v>2777</v>
      </c>
      <c r="N18" s="151">
        <v>1756</v>
      </c>
      <c r="O18" s="306">
        <f t="shared" si="2"/>
        <v>1829</v>
      </c>
      <c r="Q18" s="362"/>
      <c r="R18" s="362">
        <v>13395945</v>
      </c>
      <c r="S18" s="362">
        <v>531584</v>
      </c>
      <c r="T18" s="362">
        <v>728692</v>
      </c>
      <c r="U18" s="362">
        <v>1180318</v>
      </c>
      <c r="V18" s="362">
        <v>855282</v>
      </c>
      <c r="W18" s="362">
        <v>246699</v>
      </c>
      <c r="X18" s="362">
        <v>179067</v>
      </c>
      <c r="Y18" s="362">
        <v>3036516</v>
      </c>
      <c r="Z18" s="362">
        <v>1764000</v>
      </c>
      <c r="AA18" s="362">
        <v>2162266</v>
      </c>
      <c r="AB18" s="362">
        <v>1598174</v>
      </c>
      <c r="AC18" s="362">
        <v>877590</v>
      </c>
      <c r="AD18" s="362">
        <v>235757</v>
      </c>
    </row>
    <row r="19" spans="2:30" ht="20.100000000000001" customHeight="1" x14ac:dyDescent="0.15">
      <c r="B19" s="298" t="s">
        <v>272</v>
      </c>
      <c r="C19" s="151">
        <v>1197</v>
      </c>
      <c r="D19" s="151">
        <v>1100</v>
      </c>
      <c r="E19" s="151">
        <v>999</v>
      </c>
      <c r="F19" s="151">
        <v>873</v>
      </c>
      <c r="G19" s="151">
        <v>795</v>
      </c>
      <c r="H19" s="151">
        <v>1759</v>
      </c>
      <c r="I19" s="151">
        <v>2299</v>
      </c>
      <c r="J19" s="151">
        <v>2544</v>
      </c>
      <c r="K19" s="151">
        <v>2536</v>
      </c>
      <c r="L19" s="151">
        <v>2417</v>
      </c>
      <c r="M19" s="151">
        <v>2541</v>
      </c>
      <c r="N19" s="151">
        <v>1387</v>
      </c>
      <c r="O19" s="306">
        <f t="shared" si="2"/>
        <v>1703.9166666666667</v>
      </c>
      <c r="Q19" s="362"/>
      <c r="R19" s="362">
        <v>1871</v>
      </c>
      <c r="S19" s="362">
        <v>1254</v>
      </c>
      <c r="T19" s="362">
        <v>1206</v>
      </c>
      <c r="U19" s="362">
        <v>1075</v>
      </c>
      <c r="V19" s="362">
        <v>1122</v>
      </c>
      <c r="W19" s="362">
        <v>1175</v>
      </c>
      <c r="X19" s="362">
        <v>1000</v>
      </c>
      <c r="Y19" s="362">
        <v>2652</v>
      </c>
      <c r="Z19" s="362">
        <v>2447</v>
      </c>
      <c r="AA19" s="362">
        <v>2734</v>
      </c>
      <c r="AB19" s="362">
        <v>2819</v>
      </c>
      <c r="AC19" s="362">
        <v>2004</v>
      </c>
      <c r="AD19" s="362">
        <v>1072</v>
      </c>
    </row>
    <row r="20" spans="2:30" ht="20.100000000000001" customHeight="1" thickBot="1" x14ac:dyDescent="0.2">
      <c r="B20" s="296" t="s">
        <v>210</v>
      </c>
      <c r="C20" s="294">
        <f>AVERAGE(C15:C19)</f>
        <v>1341.2</v>
      </c>
      <c r="D20" s="294">
        <f t="shared" ref="D20" si="3">AVERAGE(D15:D19)</f>
        <v>1250</v>
      </c>
      <c r="E20" s="294">
        <f t="shared" ref="E20" si="4">AVERAGE(E15:E19)</f>
        <v>1191.8</v>
      </c>
      <c r="F20" s="294">
        <f t="shared" ref="F20" si="5">AVERAGE(F15:F19)</f>
        <v>999</v>
      </c>
      <c r="G20" s="294">
        <f t="shared" ref="G20" si="6">AVERAGE(G15:G19)</f>
        <v>1078.8</v>
      </c>
      <c r="H20" s="294">
        <f t="shared" ref="H20" si="7">AVERAGE(H15:H19)</f>
        <v>1982.4</v>
      </c>
      <c r="I20" s="294">
        <f t="shared" ref="I20" si="8">AVERAGE(I15:I19)</f>
        <v>2446</v>
      </c>
      <c r="J20" s="294">
        <f t="shared" ref="J20" si="9">AVERAGE(J15:J19)</f>
        <v>2422.1999999999998</v>
      </c>
      <c r="K20" s="294">
        <f t="shared" ref="K20" si="10">AVERAGE(K15:K19)</f>
        <v>2458</v>
      </c>
      <c r="L20" s="294">
        <f t="shared" ref="L20" si="11">AVERAGE(L15:L19)</f>
        <v>2560.8000000000002</v>
      </c>
      <c r="M20" s="294">
        <f t="shared" ref="M20" si="12">AVERAGE(M15:M19)</f>
        <v>2322</v>
      </c>
      <c r="N20" s="294">
        <f t="shared" ref="N20" si="13">AVERAGE(N15:N19)</f>
        <v>1279.5999999999999</v>
      </c>
      <c r="O20" s="295">
        <f t="shared" ref="O20" si="14">AVERAGE(O15:O19)</f>
        <v>1777.65</v>
      </c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</row>
    <row r="21" spans="2:30" x14ac:dyDescent="0.15">
      <c r="Q21" s="362"/>
      <c r="R21" s="362" t="s">
        <v>266</v>
      </c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</row>
    <row r="22" spans="2:30" x14ac:dyDescent="0.15">
      <c r="Q22" s="362"/>
      <c r="R22" s="362">
        <v>10971</v>
      </c>
      <c r="S22" s="362">
        <v>1221</v>
      </c>
      <c r="T22" s="362">
        <v>1211</v>
      </c>
      <c r="U22" s="362">
        <v>1170</v>
      </c>
      <c r="V22" s="362">
        <v>1704</v>
      </c>
      <c r="W22" s="362">
        <v>457</v>
      </c>
      <c r="X22" s="362">
        <v>159</v>
      </c>
      <c r="Y22" s="362">
        <v>1124</v>
      </c>
      <c r="Z22" s="362">
        <v>1269</v>
      </c>
      <c r="AA22" s="362">
        <v>765</v>
      </c>
      <c r="AB22" s="362">
        <v>897</v>
      </c>
      <c r="AC22" s="362">
        <v>578</v>
      </c>
      <c r="AD22" s="362">
        <v>416</v>
      </c>
    </row>
    <row r="23" spans="2:30" x14ac:dyDescent="0.15">
      <c r="Q23" s="362"/>
      <c r="R23" s="362">
        <v>18646488</v>
      </c>
      <c r="S23" s="362">
        <v>1284396</v>
      </c>
      <c r="T23" s="362">
        <v>1234969</v>
      </c>
      <c r="U23" s="362">
        <v>1192145</v>
      </c>
      <c r="V23" s="362">
        <v>1248326</v>
      </c>
      <c r="W23" s="362">
        <v>399071</v>
      </c>
      <c r="X23" s="362">
        <v>357597</v>
      </c>
      <c r="Y23" s="362">
        <v>3007410</v>
      </c>
      <c r="Z23" s="362">
        <v>3156615</v>
      </c>
      <c r="AA23" s="362">
        <v>1911210</v>
      </c>
      <c r="AB23" s="362">
        <v>2518950</v>
      </c>
      <c r="AC23" s="362">
        <v>1605345</v>
      </c>
      <c r="AD23" s="362">
        <v>730454</v>
      </c>
    </row>
    <row r="24" spans="2:30" x14ac:dyDescent="0.15">
      <c r="Q24" s="362"/>
      <c r="R24" s="362">
        <v>1700</v>
      </c>
      <c r="S24" s="362">
        <v>1052</v>
      </c>
      <c r="T24" s="362">
        <v>1020</v>
      </c>
      <c r="U24" s="362">
        <v>1019</v>
      </c>
      <c r="V24" s="362">
        <v>733</v>
      </c>
      <c r="W24" s="362">
        <v>873</v>
      </c>
      <c r="X24" s="362">
        <v>2249</v>
      </c>
      <c r="Y24" s="362">
        <v>2676</v>
      </c>
      <c r="Z24" s="362">
        <v>2487</v>
      </c>
      <c r="AA24" s="362">
        <v>2498</v>
      </c>
      <c r="AB24" s="362">
        <v>2808</v>
      </c>
      <c r="AC24" s="362">
        <v>2777</v>
      </c>
      <c r="AD24" s="362">
        <v>1756</v>
      </c>
    </row>
    <row r="25" spans="2:30" x14ac:dyDescent="0.15"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</row>
    <row r="26" spans="2:30" x14ac:dyDescent="0.15">
      <c r="Q26" s="362"/>
      <c r="R26" s="362" t="s">
        <v>267</v>
      </c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</row>
    <row r="27" spans="2:30" x14ac:dyDescent="0.15">
      <c r="Q27" s="362"/>
      <c r="R27" s="362">
        <v>8324</v>
      </c>
      <c r="S27" s="362">
        <v>802</v>
      </c>
      <c r="T27" s="362">
        <v>933</v>
      </c>
      <c r="U27" s="362">
        <v>1179</v>
      </c>
      <c r="V27" s="362">
        <v>1180</v>
      </c>
      <c r="W27" s="362">
        <v>503</v>
      </c>
      <c r="X27" s="362">
        <v>184</v>
      </c>
      <c r="Y27" s="362">
        <v>1156</v>
      </c>
      <c r="Z27" s="362">
        <v>527</v>
      </c>
      <c r="AA27" s="362">
        <v>630</v>
      </c>
      <c r="AB27" s="362">
        <v>754</v>
      </c>
      <c r="AC27" s="362">
        <v>319</v>
      </c>
      <c r="AD27" s="362">
        <v>157</v>
      </c>
    </row>
    <row r="28" spans="2:30" x14ac:dyDescent="0.15">
      <c r="Q28" s="362"/>
      <c r="R28" s="362">
        <v>13363644</v>
      </c>
      <c r="S28" s="362">
        <v>960186</v>
      </c>
      <c r="T28" s="362">
        <v>1026718</v>
      </c>
      <c r="U28" s="362">
        <v>1177252</v>
      </c>
      <c r="V28" s="362">
        <v>1029761</v>
      </c>
      <c r="W28" s="362">
        <v>399820</v>
      </c>
      <c r="X28" s="362">
        <v>323663</v>
      </c>
      <c r="Y28" s="362">
        <v>2657393</v>
      </c>
      <c r="Z28" s="362">
        <v>1340535</v>
      </c>
      <c r="AA28" s="362">
        <v>1597470</v>
      </c>
      <c r="AB28" s="362">
        <v>1822538</v>
      </c>
      <c r="AC28" s="362">
        <v>810600</v>
      </c>
      <c r="AD28" s="362">
        <v>217708</v>
      </c>
    </row>
    <row r="29" spans="2:30" x14ac:dyDescent="0.15">
      <c r="Q29" s="362"/>
      <c r="R29" s="362">
        <v>1605</v>
      </c>
      <c r="S29" s="362">
        <v>1197</v>
      </c>
      <c r="T29" s="362">
        <v>1100</v>
      </c>
      <c r="U29" s="362">
        <v>999</v>
      </c>
      <c r="V29" s="362">
        <v>873</v>
      </c>
      <c r="W29" s="362">
        <v>795</v>
      </c>
      <c r="X29" s="362">
        <v>1759</v>
      </c>
      <c r="Y29" s="362">
        <v>2299</v>
      </c>
      <c r="Z29" s="362">
        <v>2544</v>
      </c>
      <c r="AA29" s="362">
        <v>2536</v>
      </c>
      <c r="AB29" s="362">
        <v>2417</v>
      </c>
      <c r="AC29" s="362">
        <v>2541</v>
      </c>
      <c r="AD29" s="362">
        <v>1387</v>
      </c>
    </row>
    <row r="30" spans="2:30" x14ac:dyDescent="0.15"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</row>
    <row r="31" spans="2:30" x14ac:dyDescent="0.15"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</row>
    <row r="32" spans="2:30" x14ac:dyDescent="0.15"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</row>
    <row r="33" spans="17:30" x14ac:dyDescent="0.15">
      <c r="Q33" s="362"/>
      <c r="R33" s="362" t="s">
        <v>274</v>
      </c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</row>
    <row r="34" spans="17:30" x14ac:dyDescent="0.15">
      <c r="Q34" s="362"/>
      <c r="R34" s="362" t="s">
        <v>262</v>
      </c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</row>
    <row r="35" spans="17:30" x14ac:dyDescent="0.15">
      <c r="Q35" s="362"/>
      <c r="R35" s="362">
        <v>1714769</v>
      </c>
      <c r="S35" s="362">
        <v>234814</v>
      </c>
      <c r="T35" s="362">
        <v>282126</v>
      </c>
      <c r="U35" s="362">
        <v>361355</v>
      </c>
      <c r="V35" s="362">
        <v>318899</v>
      </c>
      <c r="W35" s="362">
        <v>229465</v>
      </c>
      <c r="X35" s="362">
        <v>48237</v>
      </c>
      <c r="Y35" s="362">
        <v>9519</v>
      </c>
      <c r="Z35" s="362">
        <v>9186</v>
      </c>
      <c r="AA35" s="362">
        <v>8492</v>
      </c>
      <c r="AB35" s="362">
        <v>8382</v>
      </c>
      <c r="AC35" s="362">
        <v>50166</v>
      </c>
      <c r="AD35" s="362">
        <v>154128</v>
      </c>
    </row>
    <row r="36" spans="17:30" x14ac:dyDescent="0.15">
      <c r="Q36" s="362"/>
      <c r="R36" s="362">
        <v>1922967665</v>
      </c>
      <c r="S36" s="362">
        <v>289541512</v>
      </c>
      <c r="T36" s="362">
        <v>322647822</v>
      </c>
      <c r="U36" s="362">
        <v>360098266</v>
      </c>
      <c r="V36" s="362">
        <v>295044533</v>
      </c>
      <c r="W36" s="362">
        <v>186661674</v>
      </c>
      <c r="X36" s="362">
        <v>45083693</v>
      </c>
      <c r="Y36" s="362">
        <v>16315668</v>
      </c>
      <c r="Z36" s="362">
        <v>12797776</v>
      </c>
      <c r="AA36" s="362">
        <v>11634711</v>
      </c>
      <c r="AB36" s="362">
        <v>12193923</v>
      </c>
      <c r="AC36" s="362">
        <v>77957116</v>
      </c>
      <c r="AD36" s="362">
        <v>292990971</v>
      </c>
    </row>
    <row r="37" spans="17:30" x14ac:dyDescent="0.15">
      <c r="Q37" s="362"/>
      <c r="R37" s="362">
        <v>1121</v>
      </c>
      <c r="S37" s="362">
        <v>1233</v>
      </c>
      <c r="T37" s="362">
        <v>1144</v>
      </c>
      <c r="U37" s="362">
        <v>997</v>
      </c>
      <c r="V37" s="362">
        <v>925</v>
      </c>
      <c r="W37" s="362">
        <v>813</v>
      </c>
      <c r="X37" s="362">
        <v>935</v>
      </c>
      <c r="Y37" s="362">
        <v>1714</v>
      </c>
      <c r="Z37" s="362">
        <v>1393</v>
      </c>
      <c r="AA37" s="362">
        <v>1370</v>
      </c>
      <c r="AB37" s="362">
        <v>1455</v>
      </c>
      <c r="AC37" s="362">
        <v>1554</v>
      </c>
      <c r="AD37" s="362">
        <v>1901</v>
      </c>
    </row>
    <row r="38" spans="17:30" x14ac:dyDescent="0.15"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</row>
    <row r="39" spans="17:30" x14ac:dyDescent="0.15">
      <c r="Q39" s="362"/>
      <c r="R39" s="362" t="s">
        <v>263</v>
      </c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</row>
    <row r="40" spans="17:30" x14ac:dyDescent="0.15">
      <c r="Q40" s="362"/>
      <c r="R40" s="362">
        <v>1553080</v>
      </c>
      <c r="S40" s="362">
        <v>179476</v>
      </c>
      <c r="T40" s="362">
        <v>213442</v>
      </c>
      <c r="U40" s="362">
        <v>324553</v>
      </c>
      <c r="V40" s="362">
        <v>363664</v>
      </c>
      <c r="W40" s="362">
        <v>207618</v>
      </c>
      <c r="X40" s="362">
        <v>44661</v>
      </c>
      <c r="Y40" s="362">
        <v>9857</v>
      </c>
      <c r="Z40" s="362">
        <v>9602</v>
      </c>
      <c r="AA40" s="362">
        <v>9770</v>
      </c>
      <c r="AB40" s="362">
        <v>10453</v>
      </c>
      <c r="AC40" s="362">
        <v>25651</v>
      </c>
      <c r="AD40" s="362">
        <v>154333</v>
      </c>
    </row>
    <row r="41" spans="17:30" x14ac:dyDescent="0.15">
      <c r="Q41" s="362"/>
      <c r="R41" s="362">
        <v>1857747561</v>
      </c>
      <c r="S41" s="362">
        <v>254149750</v>
      </c>
      <c r="T41" s="362">
        <v>308977247</v>
      </c>
      <c r="U41" s="362">
        <v>361663684</v>
      </c>
      <c r="V41" s="362">
        <v>270516564</v>
      </c>
      <c r="W41" s="362">
        <v>175175322</v>
      </c>
      <c r="X41" s="362">
        <v>39968491</v>
      </c>
      <c r="Y41" s="362">
        <v>15377478</v>
      </c>
      <c r="Z41" s="362">
        <v>13910438</v>
      </c>
      <c r="AA41" s="362">
        <v>11688463</v>
      </c>
      <c r="AB41" s="362">
        <v>13168852</v>
      </c>
      <c r="AC41" s="362">
        <v>43502984</v>
      </c>
      <c r="AD41" s="362">
        <v>349648288</v>
      </c>
    </row>
    <row r="42" spans="17:30" x14ac:dyDescent="0.15">
      <c r="Q42" s="362"/>
      <c r="R42" s="362">
        <v>1196</v>
      </c>
      <c r="S42" s="362">
        <v>1416</v>
      </c>
      <c r="T42" s="362">
        <v>1448</v>
      </c>
      <c r="U42" s="362">
        <v>1114</v>
      </c>
      <c r="V42" s="362">
        <v>744</v>
      </c>
      <c r="W42" s="362">
        <v>844</v>
      </c>
      <c r="X42" s="362">
        <v>895</v>
      </c>
      <c r="Y42" s="362">
        <v>1560</v>
      </c>
      <c r="Z42" s="362">
        <v>1449</v>
      </c>
      <c r="AA42" s="362">
        <v>1196</v>
      </c>
      <c r="AB42" s="362">
        <v>1260</v>
      </c>
      <c r="AC42" s="362">
        <v>1696</v>
      </c>
      <c r="AD42" s="362">
        <v>2266</v>
      </c>
    </row>
    <row r="43" spans="17:30" x14ac:dyDescent="0.15"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</row>
    <row r="44" spans="17:30" x14ac:dyDescent="0.15">
      <c r="Q44" s="362"/>
      <c r="R44" s="362" t="s">
        <v>264</v>
      </c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</row>
    <row r="45" spans="17:30" x14ac:dyDescent="0.15">
      <c r="Q45" s="362"/>
      <c r="R45" s="362">
        <v>1856037</v>
      </c>
      <c r="S45" s="362">
        <v>206089</v>
      </c>
      <c r="T45" s="362">
        <v>312796</v>
      </c>
      <c r="U45" s="362">
        <v>395116</v>
      </c>
      <c r="V45" s="362">
        <v>409847</v>
      </c>
      <c r="W45" s="362">
        <v>218080</v>
      </c>
      <c r="X45" s="362">
        <v>38268</v>
      </c>
      <c r="Y45" s="362">
        <v>8161</v>
      </c>
      <c r="Z45" s="362">
        <v>7875</v>
      </c>
      <c r="AA45" s="362">
        <v>7838</v>
      </c>
      <c r="AB45" s="362">
        <v>9089</v>
      </c>
      <c r="AC45" s="362">
        <v>53554</v>
      </c>
      <c r="AD45" s="362">
        <v>189324</v>
      </c>
    </row>
    <row r="46" spans="17:30" x14ac:dyDescent="0.15">
      <c r="Q46" s="362"/>
      <c r="R46" s="362">
        <v>1835564902</v>
      </c>
      <c r="S46" s="362">
        <v>256090774</v>
      </c>
      <c r="T46" s="362">
        <v>315165795</v>
      </c>
      <c r="U46" s="362">
        <v>342994876</v>
      </c>
      <c r="V46" s="362">
        <v>303885234</v>
      </c>
      <c r="W46" s="362">
        <v>161477323</v>
      </c>
      <c r="X46" s="362">
        <v>31754708</v>
      </c>
      <c r="Y46" s="362">
        <v>12686579</v>
      </c>
      <c r="Z46" s="362">
        <v>11123840</v>
      </c>
      <c r="AA46" s="362">
        <v>11289430</v>
      </c>
      <c r="AB46" s="362">
        <v>12555946</v>
      </c>
      <c r="AC46" s="362">
        <v>68314587</v>
      </c>
      <c r="AD46" s="362">
        <v>308225810</v>
      </c>
    </row>
    <row r="47" spans="17:30" x14ac:dyDescent="0.15">
      <c r="Q47" s="362"/>
      <c r="R47" s="362">
        <v>989</v>
      </c>
      <c r="S47" s="362">
        <v>1243</v>
      </c>
      <c r="T47" s="362">
        <v>1008</v>
      </c>
      <c r="U47" s="362">
        <v>868</v>
      </c>
      <c r="V47" s="362">
        <v>741</v>
      </c>
      <c r="W47" s="362">
        <v>740</v>
      </c>
      <c r="X47" s="362">
        <v>830</v>
      </c>
      <c r="Y47" s="362">
        <v>1555</v>
      </c>
      <c r="Z47" s="362">
        <v>1413</v>
      </c>
      <c r="AA47" s="362">
        <v>1440</v>
      </c>
      <c r="AB47" s="362">
        <v>1381</v>
      </c>
      <c r="AC47" s="362">
        <v>1276</v>
      </c>
      <c r="AD47" s="362">
        <v>1628</v>
      </c>
    </row>
    <row r="48" spans="17:30" x14ac:dyDescent="0.15"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</row>
    <row r="49" spans="17:30" x14ac:dyDescent="0.15">
      <c r="Q49" s="362"/>
      <c r="R49" s="362" t="s">
        <v>266</v>
      </c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</row>
    <row r="50" spans="17:30" x14ac:dyDescent="0.15">
      <c r="Q50" s="362"/>
      <c r="R50" s="362">
        <v>1901469</v>
      </c>
      <c r="S50" s="362">
        <v>258753</v>
      </c>
      <c r="T50" s="362">
        <v>316615</v>
      </c>
      <c r="U50" s="362">
        <v>371179</v>
      </c>
      <c r="V50" s="362">
        <v>357993</v>
      </c>
      <c r="W50" s="362">
        <v>277550</v>
      </c>
      <c r="X50" s="362">
        <v>65849</v>
      </c>
      <c r="Y50" s="362">
        <v>7724</v>
      </c>
      <c r="Z50" s="362">
        <v>7370</v>
      </c>
      <c r="AA50" s="362">
        <v>7795</v>
      </c>
      <c r="AB50" s="362">
        <v>8599</v>
      </c>
      <c r="AC50" s="362">
        <v>23734</v>
      </c>
      <c r="AD50" s="362">
        <v>198308</v>
      </c>
    </row>
    <row r="51" spans="17:30" x14ac:dyDescent="0.15">
      <c r="Q51" s="362"/>
      <c r="R51" s="362">
        <v>1876239364</v>
      </c>
      <c r="S51" s="362">
        <v>270797395</v>
      </c>
      <c r="T51" s="362">
        <v>314043597</v>
      </c>
      <c r="U51" s="362">
        <v>370613913</v>
      </c>
      <c r="V51" s="362">
        <v>278391478</v>
      </c>
      <c r="W51" s="362">
        <v>185844340</v>
      </c>
      <c r="X51" s="362">
        <v>50075589</v>
      </c>
      <c r="Y51" s="362">
        <v>11825328</v>
      </c>
      <c r="Z51" s="362">
        <v>11123549</v>
      </c>
      <c r="AA51" s="362">
        <v>10771548</v>
      </c>
      <c r="AB51" s="362">
        <v>12756846</v>
      </c>
      <c r="AC51" s="362">
        <v>37786925</v>
      </c>
      <c r="AD51" s="362">
        <v>322208856</v>
      </c>
    </row>
    <row r="52" spans="17:30" x14ac:dyDescent="0.15">
      <c r="Q52" s="362"/>
      <c r="R52" s="362">
        <v>987</v>
      </c>
      <c r="S52" s="362">
        <v>1047</v>
      </c>
      <c r="T52" s="362">
        <v>992</v>
      </c>
      <c r="U52" s="362">
        <v>998</v>
      </c>
      <c r="V52" s="362">
        <v>778</v>
      </c>
      <c r="W52" s="362">
        <v>670</v>
      </c>
      <c r="X52" s="362">
        <v>760</v>
      </c>
      <c r="Y52" s="362">
        <v>1531</v>
      </c>
      <c r="Z52" s="362">
        <v>1509</v>
      </c>
      <c r="AA52" s="362">
        <v>1382</v>
      </c>
      <c r="AB52" s="362">
        <v>1484</v>
      </c>
      <c r="AC52" s="362">
        <v>1592</v>
      </c>
      <c r="AD52" s="362">
        <v>1625</v>
      </c>
    </row>
    <row r="53" spans="17:30" x14ac:dyDescent="0.15"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</row>
    <row r="54" spans="17:30" x14ac:dyDescent="0.15">
      <c r="Q54" s="362"/>
      <c r="R54" s="362" t="s">
        <v>267</v>
      </c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</row>
    <row r="55" spans="17:30" x14ac:dyDescent="0.15">
      <c r="Q55" s="362"/>
      <c r="R55" s="362">
        <v>1953437</v>
      </c>
      <c r="S55" s="362">
        <v>247792</v>
      </c>
      <c r="T55" s="362">
        <v>312479</v>
      </c>
      <c r="U55" s="362">
        <v>402567</v>
      </c>
      <c r="V55" s="362">
        <v>411095</v>
      </c>
      <c r="W55" s="362">
        <v>250582</v>
      </c>
      <c r="X55" s="362">
        <v>59199</v>
      </c>
      <c r="Y55" s="362">
        <v>7824</v>
      </c>
      <c r="Z55" s="362">
        <v>7032</v>
      </c>
      <c r="AA55" s="362">
        <v>7538</v>
      </c>
      <c r="AB55" s="362">
        <v>8256</v>
      </c>
      <c r="AC55" s="362">
        <v>34455</v>
      </c>
      <c r="AD55" s="362">
        <v>204618</v>
      </c>
    </row>
    <row r="56" spans="17:30" x14ac:dyDescent="0.15">
      <c r="Q56" s="362"/>
      <c r="R56" s="362">
        <v>1878967279</v>
      </c>
      <c r="S56" s="362">
        <v>279705514</v>
      </c>
      <c r="T56" s="362">
        <v>318029189</v>
      </c>
      <c r="U56" s="362">
        <v>371307379</v>
      </c>
      <c r="V56" s="362">
        <v>292775029</v>
      </c>
      <c r="W56" s="362">
        <v>176123320</v>
      </c>
      <c r="X56" s="362">
        <v>46496787</v>
      </c>
      <c r="Y56" s="362">
        <v>12383076</v>
      </c>
      <c r="Z56" s="362">
        <v>10707261</v>
      </c>
      <c r="AA56" s="362">
        <v>11638931</v>
      </c>
      <c r="AB56" s="362">
        <v>12220645</v>
      </c>
      <c r="AC56" s="362">
        <v>59594677</v>
      </c>
      <c r="AD56" s="362">
        <v>287985471</v>
      </c>
    </row>
    <row r="57" spans="17:30" x14ac:dyDescent="0.15">
      <c r="Q57" s="362"/>
      <c r="R57" s="362">
        <v>962</v>
      </c>
      <c r="S57" s="362">
        <v>1129</v>
      </c>
      <c r="T57" s="362">
        <v>1018</v>
      </c>
      <c r="U57" s="362">
        <v>922</v>
      </c>
      <c r="V57" s="362">
        <v>712</v>
      </c>
      <c r="W57" s="362">
        <v>703</v>
      </c>
      <c r="X57" s="362">
        <v>785</v>
      </c>
      <c r="Y57" s="362">
        <v>1583</v>
      </c>
      <c r="Z57" s="362">
        <v>1523</v>
      </c>
      <c r="AA57" s="362">
        <v>1544</v>
      </c>
      <c r="AB57" s="362">
        <v>1480</v>
      </c>
      <c r="AC57" s="362">
        <v>1730</v>
      </c>
      <c r="AD57" s="362">
        <v>1407</v>
      </c>
    </row>
    <row r="80" ht="12.75" customHeight="1" x14ac:dyDescent="0.15"/>
  </sheetData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　対象経営の概要，２　前提条件</vt:lpstr>
      <vt:lpstr>３　イチゴ標準技術</vt:lpstr>
      <vt:lpstr>４　経営収支</vt:lpstr>
      <vt:lpstr>５　イチゴ作業時間</vt:lpstr>
      <vt:lpstr>６　固定資本装備と減価償却費</vt:lpstr>
      <vt:lpstr>７　イチゴ部門収支</vt:lpstr>
      <vt:lpstr>８　イチゴ算出基礎</vt:lpstr>
      <vt:lpstr>９　単価算出基礎</vt:lpstr>
      <vt:lpstr>'４　経営収支'!Print_Area</vt:lpstr>
      <vt:lpstr>'５　イチゴ作業時間'!Print_Area</vt:lpstr>
      <vt:lpstr>'６　固定資本装備と減価償却費'!Print_Area</vt:lpstr>
      <vt:lpstr>'７　イチゴ部門収支'!Print_Area</vt:lpstr>
      <vt:lpstr>'８　イチゴ算出基礎'!Print_Area</vt:lpstr>
      <vt:lpstr>'９　単価算出基礎'!Print_Area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2015-02-17T07:22:31Z</cp:lastPrinted>
  <dcterms:created xsi:type="dcterms:W3CDTF">2005-02-26T02:20:11Z</dcterms:created>
  <dcterms:modified xsi:type="dcterms:W3CDTF">2015-03-24T04:40:44Z</dcterms:modified>
</cp:coreProperties>
</file>