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0" windowWidth="12510" windowHeight="9465" tabRatio="881"/>
  </bookViews>
  <sheets>
    <sheet name="１　対象経営の概要，２　前提条件" sheetId="19" r:id="rId1"/>
    <sheet name="３　ハウスアスパラガス標準技術" sheetId="24" r:id="rId2"/>
    <sheet name="４　経営収支" sheetId="22" r:id="rId3"/>
    <sheet name="５　ハウスアスパラガス作業時間" sheetId="27" r:id="rId4"/>
    <sheet name="６　固定資本装備と減価償却費" sheetId="30" r:id="rId5"/>
    <sheet name="７　ハウスアスパラガス部門収支" sheetId="35" r:id="rId6"/>
    <sheet name="８　ハウスアスパラガス算出基礎" sheetId="36" r:id="rId7"/>
    <sheet name="９　ハウスアスパラガス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1">'３　ハウスアスパラガス標準技術'!$A$1:$L$11</definedName>
    <definedName name="_xlnm.Print_Area" localSheetId="2">'４　経営収支'!$A$1:$N$38</definedName>
    <definedName name="_xlnm.Print_Area" localSheetId="3">'５　ハウスアスパラガス作業時間'!$A$1:$AN$51</definedName>
    <definedName name="_xlnm.Print_Area" localSheetId="4">'６　固定資本装備と減価償却費'!$1:$44</definedName>
    <definedName name="_xlnm.Print_Area" localSheetId="5">'７　ハウスアスパラガス部門収支'!$A$1:$S$45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R5" i="35" l="1"/>
  <c r="F18" i="35" l="1"/>
  <c r="V28" i="36" l="1"/>
  <c r="V27" i="36"/>
  <c r="V25" i="36"/>
  <c r="V26" i="36"/>
  <c r="V24" i="36"/>
  <c r="N43" i="36"/>
  <c r="N36" i="36"/>
  <c r="N37" i="36"/>
  <c r="N20" i="36"/>
  <c r="N6" i="36"/>
  <c r="N11" i="36"/>
  <c r="N20" i="30"/>
  <c r="K20" i="30"/>
  <c r="I7" i="30"/>
  <c r="L7" i="30" s="1"/>
  <c r="G7" i="30"/>
  <c r="P7" i="30" l="1"/>
  <c r="N7" i="30"/>
  <c r="V38" i="36"/>
  <c r="V10" i="36" l="1"/>
  <c r="V9" i="36" l="1"/>
  <c r="AN13" i="27"/>
  <c r="G8" i="24" s="1"/>
  <c r="K19" i="30" l="1"/>
  <c r="I19" i="30"/>
  <c r="I5" i="30"/>
  <c r="L5" i="30" s="1"/>
  <c r="L19" i="30" l="1"/>
  <c r="N19" i="30" s="1"/>
  <c r="N5" i="30"/>
  <c r="P5" i="30" s="1"/>
  <c r="P19" i="30" l="1"/>
  <c r="K39" i="30" l="1"/>
  <c r="G39" i="30"/>
  <c r="K14" i="30"/>
  <c r="G14" i="30"/>
  <c r="K18" i="30" l="1"/>
  <c r="K17" i="30"/>
  <c r="K16" i="30"/>
  <c r="K15" i="30"/>
  <c r="K13" i="30"/>
  <c r="P11" i="35" l="1"/>
  <c r="G50" i="36" l="1"/>
  <c r="N35" i="36"/>
  <c r="G44" i="36"/>
  <c r="F12" i="35" l="1"/>
  <c r="G13" i="30" l="1"/>
  <c r="I13" i="30"/>
  <c r="L13" i="30" s="1"/>
  <c r="V51" i="36" l="1"/>
  <c r="V45" i="36"/>
  <c r="G16" i="30"/>
  <c r="I16" i="30"/>
  <c r="G26" i="22" l="1"/>
  <c r="F26" i="22" s="1"/>
  <c r="G27" i="22"/>
  <c r="F27" i="22" s="1"/>
  <c r="G29" i="22"/>
  <c r="F29" i="22" s="1"/>
  <c r="G20" i="22"/>
  <c r="F20" i="22" s="1"/>
  <c r="O20" i="42"/>
  <c r="N20" i="42"/>
  <c r="M20" i="42"/>
  <c r="L20" i="42"/>
  <c r="Q5" i="35" s="1"/>
  <c r="K20" i="42"/>
  <c r="M11" i="35" s="1"/>
  <c r="N11" i="35" s="1"/>
  <c r="J20" i="42"/>
  <c r="M10" i="35" s="1"/>
  <c r="N10" i="35" s="1"/>
  <c r="I20" i="42"/>
  <c r="M9" i="35" s="1"/>
  <c r="N9" i="35" s="1"/>
  <c r="H20" i="42"/>
  <c r="M8" i="35" s="1"/>
  <c r="N8" i="35" s="1"/>
  <c r="G20" i="42"/>
  <c r="M7" i="35" s="1"/>
  <c r="N7" i="35" s="1"/>
  <c r="F20" i="42"/>
  <c r="M6" i="35" s="1"/>
  <c r="N6" i="35" s="1"/>
  <c r="E20" i="42"/>
  <c r="M5" i="35" s="1"/>
  <c r="N5" i="35" s="1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G6" i="22"/>
  <c r="F6" i="22" s="1"/>
  <c r="G41" i="36" l="1"/>
  <c r="G42" i="36"/>
  <c r="G43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4" i="36"/>
  <c r="N27" i="36" l="1"/>
  <c r="P35" i="35" s="1"/>
  <c r="N50" i="36"/>
  <c r="N46" i="36"/>
  <c r="V56" i="36"/>
  <c r="V50" i="36"/>
  <c r="N51" i="36"/>
  <c r="N56" i="36" s="1"/>
  <c r="V44" i="36"/>
  <c r="V57" i="36" l="1"/>
  <c r="N42" i="36"/>
  <c r="N57" i="36" s="1"/>
  <c r="P9" i="30"/>
  <c r="P10" i="30"/>
  <c r="I6" i="30"/>
  <c r="L6" i="30" l="1"/>
  <c r="AM49" i="27" l="1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AN48" i="27"/>
  <c r="AN47" i="27"/>
  <c r="AN46" i="27"/>
  <c r="AN45" i="27"/>
  <c r="G19" i="36"/>
  <c r="G18" i="36"/>
  <c r="L31" i="36"/>
  <c r="K31" i="36"/>
  <c r="L23" i="36"/>
  <c r="K23" i="36"/>
  <c r="L19" i="36"/>
  <c r="K19" i="36"/>
  <c r="N30" i="36"/>
  <c r="N29" i="36"/>
  <c r="N28" i="36"/>
  <c r="N22" i="36"/>
  <c r="N18" i="36"/>
  <c r="N17" i="36"/>
  <c r="N16" i="36"/>
  <c r="L15" i="36"/>
  <c r="K15" i="36"/>
  <c r="L10" i="36"/>
  <c r="K10" i="36"/>
  <c r="N14" i="36"/>
  <c r="N13" i="36"/>
  <c r="N12" i="36"/>
  <c r="N7" i="36"/>
  <c r="N8" i="36"/>
  <c r="N9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V8" i="36"/>
  <c r="V7" i="36"/>
  <c r="V6" i="36"/>
  <c r="V5" i="36"/>
  <c r="G56" i="36"/>
  <c r="G55" i="36"/>
  <c r="G54" i="36"/>
  <c r="G48" i="36"/>
  <c r="G40" i="36"/>
  <c r="G39" i="36"/>
  <c r="G37" i="36"/>
  <c r="G36" i="36"/>
  <c r="G30" i="36"/>
  <c r="G29" i="36"/>
  <c r="G28" i="36"/>
  <c r="P15" i="35"/>
  <c r="L18" i="30"/>
  <c r="I14" i="30"/>
  <c r="L14" i="30" s="1"/>
  <c r="P27" i="30"/>
  <c r="P26" i="30"/>
  <c r="P20" i="30"/>
  <c r="I20" i="30"/>
  <c r="L20" i="30" s="1"/>
  <c r="I15" i="30"/>
  <c r="L15" i="30" s="1"/>
  <c r="P36" i="30"/>
  <c r="G43" i="30"/>
  <c r="P42" i="30"/>
  <c r="P41" i="30"/>
  <c r="P40" i="30"/>
  <c r="I39" i="30"/>
  <c r="G38" i="30"/>
  <c r="P35" i="30"/>
  <c r="P34" i="30"/>
  <c r="P33" i="30"/>
  <c r="P30" i="30"/>
  <c r="P29" i="30"/>
  <c r="P28" i="30"/>
  <c r="P25" i="30"/>
  <c r="P21" i="30"/>
  <c r="I17" i="30"/>
  <c r="L17" i="30" s="1"/>
  <c r="G12" i="30"/>
  <c r="P11" i="30"/>
  <c r="P8" i="30"/>
  <c r="AN32" i="27"/>
  <c r="AN33" i="27"/>
  <c r="AN24" i="27"/>
  <c r="AN25" i="27"/>
  <c r="AN26" i="27"/>
  <c r="AN27" i="27"/>
  <c r="AN28" i="27"/>
  <c r="AN29" i="27"/>
  <c r="AN30" i="27"/>
  <c r="AN31" i="27"/>
  <c r="AN9" i="27"/>
  <c r="AM34" i="27"/>
  <c r="AM43" i="27" s="1"/>
  <c r="AL34" i="27"/>
  <c r="AL43" i="27" s="1"/>
  <c r="AK34" i="27"/>
  <c r="AK43" i="27" s="1"/>
  <c r="AJ34" i="27"/>
  <c r="AJ43" i="27" s="1"/>
  <c r="AI34" i="27"/>
  <c r="AI43" i="27" s="1"/>
  <c r="AH34" i="27"/>
  <c r="AH43" i="27" s="1"/>
  <c r="AG34" i="27"/>
  <c r="AG43" i="27" s="1"/>
  <c r="AF34" i="27"/>
  <c r="AF43" i="27" s="1"/>
  <c r="AE34" i="27"/>
  <c r="AE43" i="27" s="1"/>
  <c r="AD34" i="27"/>
  <c r="AD43" i="27" s="1"/>
  <c r="AC34" i="27"/>
  <c r="AC43" i="27" s="1"/>
  <c r="AB34" i="27"/>
  <c r="AB43" i="27" s="1"/>
  <c r="AA34" i="27"/>
  <c r="AA43" i="27" s="1"/>
  <c r="Z34" i="27"/>
  <c r="Z43" i="27" s="1"/>
  <c r="Y34" i="27"/>
  <c r="Y43" i="27" s="1"/>
  <c r="X34" i="27"/>
  <c r="X43" i="27" s="1"/>
  <c r="W34" i="27"/>
  <c r="W43" i="27" s="1"/>
  <c r="V34" i="27"/>
  <c r="V43" i="27" s="1"/>
  <c r="U34" i="27"/>
  <c r="U43" i="27" s="1"/>
  <c r="T34" i="27"/>
  <c r="T43" i="27" s="1"/>
  <c r="S34" i="27"/>
  <c r="S43" i="27" s="1"/>
  <c r="R34" i="27"/>
  <c r="R43" i="27" s="1"/>
  <c r="Q34" i="27"/>
  <c r="Q43" i="27" s="1"/>
  <c r="P34" i="27"/>
  <c r="P43" i="27" s="1"/>
  <c r="O34" i="27"/>
  <c r="O43" i="27" s="1"/>
  <c r="N34" i="27"/>
  <c r="N43" i="27" s="1"/>
  <c r="M34" i="27"/>
  <c r="M43" i="27" s="1"/>
  <c r="L34" i="27"/>
  <c r="L43" i="27" s="1"/>
  <c r="K34" i="27"/>
  <c r="K43" i="27" s="1"/>
  <c r="J34" i="27"/>
  <c r="J43" i="27" s="1"/>
  <c r="I34" i="27"/>
  <c r="I43" i="27" s="1"/>
  <c r="H34" i="27"/>
  <c r="H43" i="27" s="1"/>
  <c r="G34" i="27"/>
  <c r="G43" i="27" s="1"/>
  <c r="F34" i="27"/>
  <c r="F43" i="27" s="1"/>
  <c r="E34" i="27"/>
  <c r="E43" i="27" s="1"/>
  <c r="D34" i="27"/>
  <c r="D43" i="27" s="1"/>
  <c r="AN23" i="27"/>
  <c r="AN22" i="27"/>
  <c r="AN21" i="27"/>
  <c r="AN20" i="27"/>
  <c r="AN19" i="27"/>
  <c r="AN18" i="27"/>
  <c r="L8" i="24" s="1"/>
  <c r="AN17" i="27"/>
  <c r="K8" i="24" s="1"/>
  <c r="AN16" i="27"/>
  <c r="J8" i="24" s="1"/>
  <c r="AN15" i="27"/>
  <c r="I8" i="24" s="1"/>
  <c r="AN14" i="27"/>
  <c r="H8" i="24" s="1"/>
  <c r="AN12" i="27"/>
  <c r="AN11" i="27"/>
  <c r="AN10" i="27"/>
  <c r="E8" i="24" s="1"/>
  <c r="R11" i="35" l="1"/>
  <c r="Q11" i="35" s="1"/>
  <c r="F8" i="24"/>
  <c r="D8" i="24"/>
  <c r="D7" i="24"/>
  <c r="F22" i="35"/>
  <c r="G24" i="22" s="1"/>
  <c r="F24" i="22" s="1"/>
  <c r="G23" i="22"/>
  <c r="F23" i="22" s="1"/>
  <c r="G14" i="22"/>
  <c r="F14" i="22" s="1"/>
  <c r="F6" i="35"/>
  <c r="G8" i="22" s="1"/>
  <c r="F8" i="22" s="1"/>
  <c r="I43" i="30"/>
  <c r="S50" i="27"/>
  <c r="S51" i="27" s="1"/>
  <c r="G50" i="27"/>
  <c r="K50" i="27"/>
  <c r="O50" i="27"/>
  <c r="O51" i="27" s="1"/>
  <c r="W50" i="27"/>
  <c r="W51" i="27" s="1"/>
  <c r="AE50" i="27"/>
  <c r="AI50" i="27"/>
  <c r="AM50" i="27"/>
  <c r="N50" i="27"/>
  <c r="N51" i="27" s="1"/>
  <c r="V50" i="27"/>
  <c r="V51" i="27" s="1"/>
  <c r="AD50" i="27"/>
  <c r="AH50" i="27"/>
  <c r="E50" i="27"/>
  <c r="M50" i="27"/>
  <c r="M51" i="27" s="1"/>
  <c r="U50" i="27"/>
  <c r="U51" i="27" s="1"/>
  <c r="Y50" i="27"/>
  <c r="Y51" i="27" s="1"/>
  <c r="AG50" i="27"/>
  <c r="AK50" i="27"/>
  <c r="F50" i="27"/>
  <c r="J50" i="27"/>
  <c r="R50" i="27"/>
  <c r="R51" i="27" s="1"/>
  <c r="Z50" i="27"/>
  <c r="Z51" i="27" s="1"/>
  <c r="AL50" i="27"/>
  <c r="I50" i="27"/>
  <c r="Q50" i="27"/>
  <c r="Q51" i="27" s="1"/>
  <c r="AC50" i="27"/>
  <c r="AC51" i="27" s="1"/>
  <c r="T50" i="27"/>
  <c r="T51" i="27" s="1"/>
  <c r="AF50" i="27"/>
  <c r="AA50" i="27"/>
  <c r="AA51" i="27" s="1"/>
  <c r="X50" i="27"/>
  <c r="X51" i="27" s="1"/>
  <c r="P50" i="27"/>
  <c r="P51" i="27" s="1"/>
  <c r="H50" i="27"/>
  <c r="L50" i="27"/>
  <c r="L51" i="27" s="1"/>
  <c r="AJ50" i="27"/>
  <c r="AB50" i="27"/>
  <c r="AB51" i="27" s="1"/>
  <c r="D50" i="27"/>
  <c r="AN49" i="27"/>
  <c r="K35" i="27"/>
  <c r="H35" i="27"/>
  <c r="G20" i="36"/>
  <c r="N15" i="36"/>
  <c r="P31" i="35" s="1"/>
  <c r="V34" i="36"/>
  <c r="F11" i="35" s="1"/>
  <c r="G13" i="22" s="1"/>
  <c r="F13" i="22" s="1"/>
  <c r="N31" i="36"/>
  <c r="P36" i="35" s="1"/>
  <c r="N19" i="36"/>
  <c r="P33" i="35" s="1"/>
  <c r="N23" i="36"/>
  <c r="P34" i="35" s="1"/>
  <c r="N10" i="36"/>
  <c r="P30" i="35" s="1"/>
  <c r="G7" i="36"/>
  <c r="P17" i="35" s="1"/>
  <c r="G11" i="36"/>
  <c r="P18" i="35" s="1"/>
  <c r="G16" i="36"/>
  <c r="P19" i="35" s="1"/>
  <c r="G24" i="36"/>
  <c r="G53" i="36"/>
  <c r="P26" i="35" s="1"/>
  <c r="V20" i="36"/>
  <c r="F10" i="35" s="1"/>
  <c r="G12" i="22" s="1"/>
  <c r="F12" i="22" s="1"/>
  <c r="G57" i="36"/>
  <c r="P27" i="35" s="1"/>
  <c r="G49" i="36"/>
  <c r="P25" i="35" s="1"/>
  <c r="G38" i="36"/>
  <c r="P24" i="35" s="1"/>
  <c r="L16" i="30"/>
  <c r="N15" i="30"/>
  <c r="P15" i="30" s="1"/>
  <c r="I38" i="30"/>
  <c r="G44" i="30"/>
  <c r="I12" i="30"/>
  <c r="P37" i="30"/>
  <c r="P32" i="30"/>
  <c r="N6" i="30"/>
  <c r="P6" i="30" s="1"/>
  <c r="P23" i="30"/>
  <c r="P24" i="30"/>
  <c r="N18" i="30"/>
  <c r="P18" i="30" s="1"/>
  <c r="P31" i="30"/>
  <c r="L39" i="30"/>
  <c r="AN34" i="27"/>
  <c r="T35" i="27"/>
  <c r="T44" i="27" s="1"/>
  <c r="AF35" i="27"/>
  <c r="AF44" i="27" s="1"/>
  <c r="W35" i="27"/>
  <c r="W44" i="27" s="1"/>
  <c r="AI35" i="27"/>
  <c r="AI44" i="27" s="1"/>
  <c r="AL35" i="27"/>
  <c r="AL44" i="27" s="1"/>
  <c r="AN35" i="27"/>
  <c r="E35" i="27"/>
  <c r="E44" i="27" s="1"/>
  <c r="Q35" i="27"/>
  <c r="Q44" i="27" s="1"/>
  <c r="AC35" i="27"/>
  <c r="AC44" i="27" s="1"/>
  <c r="N35" i="27"/>
  <c r="N44" i="27" s="1"/>
  <c r="Z35" i="27"/>
  <c r="Z44" i="27" s="1"/>
  <c r="AN51" i="27" l="1"/>
  <c r="G33" i="22" s="1"/>
  <c r="F4" i="35"/>
  <c r="P12" i="30"/>
  <c r="F15" i="35" s="1"/>
  <c r="G17" i="22" s="1"/>
  <c r="F17" i="22" s="1"/>
  <c r="N16" i="30"/>
  <c r="P16" i="30" s="1"/>
  <c r="F26" i="35"/>
  <c r="G28" i="22" s="1"/>
  <c r="F28" i="22" s="1"/>
  <c r="L12" i="30"/>
  <c r="F13" i="35" s="1"/>
  <c r="G15" i="22" s="1"/>
  <c r="F15" i="22" s="1"/>
  <c r="AN50" i="27"/>
  <c r="K44" i="27"/>
  <c r="H44" i="27"/>
  <c r="AN43" i="27"/>
  <c r="P32" i="35"/>
  <c r="P37" i="35" s="1"/>
  <c r="F9" i="35" s="1"/>
  <c r="G11" i="22" s="1"/>
  <c r="F11" i="22" s="1"/>
  <c r="P22" i="35"/>
  <c r="F7" i="35" s="1"/>
  <c r="G9" i="22" s="1"/>
  <c r="F9" i="22" s="1"/>
  <c r="P28" i="35"/>
  <c r="F8" i="35" s="1"/>
  <c r="G10" i="22" s="1"/>
  <c r="F10" i="22" s="1"/>
  <c r="I44" i="30"/>
  <c r="P22" i="30"/>
  <c r="N17" i="30"/>
  <c r="P17" i="30" s="1"/>
  <c r="L38" i="30"/>
  <c r="F14" i="35" s="1"/>
  <c r="G16" i="22" s="1"/>
  <c r="F16" i="22" s="1"/>
  <c r="N13" i="30"/>
  <c r="P13" i="30" s="1"/>
  <c r="L43" i="30"/>
  <c r="N39" i="30"/>
  <c r="P39" i="30" s="1"/>
  <c r="P43" i="30" s="1"/>
  <c r="F17" i="35" s="1"/>
  <c r="G19" i="22" s="1"/>
  <c r="F19" i="22" s="1"/>
  <c r="N14" i="30"/>
  <c r="P14" i="30" s="1"/>
  <c r="G5" i="22" l="1"/>
  <c r="F23" i="35"/>
  <c r="F33" i="22"/>
  <c r="L37" i="22"/>
  <c r="F5" i="22"/>
  <c r="G25" i="22"/>
  <c r="F25" i="22" s="1"/>
  <c r="P38" i="30"/>
  <c r="F16" i="35" s="1"/>
  <c r="G18" i="22" s="1"/>
  <c r="F18" i="22" s="1"/>
  <c r="F28" i="35"/>
  <c r="L44" i="30"/>
  <c r="AN44" i="27"/>
  <c r="I37" i="22" l="1"/>
  <c r="G37" i="22" s="1"/>
  <c r="F37" i="22" s="1"/>
  <c r="F29" i="35"/>
  <c r="G31" i="22" s="1"/>
  <c r="F31" i="22" s="1"/>
  <c r="G30" i="22"/>
  <c r="F30" i="22" s="1"/>
  <c r="P44" i="30"/>
  <c r="G7" i="22"/>
  <c r="F32" i="22" l="1"/>
  <c r="F30" i="35"/>
  <c r="F19" i="35"/>
  <c r="G21" i="22" s="1"/>
  <c r="F21" i="22" s="1"/>
  <c r="F22" i="22" s="1"/>
  <c r="F7" i="22"/>
  <c r="F34" i="22" l="1"/>
  <c r="F35" i="22" s="1"/>
  <c r="F38" i="22" s="1"/>
  <c r="F20" i="35"/>
  <c r="G22" i="22"/>
  <c r="F36" i="22" l="1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<sst xmlns="http://schemas.openxmlformats.org/spreadsheetml/2006/main" count="678" uniqueCount="438">
  <si>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</si>
  <si>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</si>
  <si>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</si>
  <si>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</si>
  <si>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</si>
  <si>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</si>
  <si>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</si>
  <si>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</si>
  <si>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</si>
  <si>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</si>
  <si>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</si>
  <si>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</si>
  <si>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</si>
  <si>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</si>
  <si>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</si>
  <si>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</si>
  <si>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</si>
  <si>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</si>
  <si>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</si>
  <si>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</si>
  <si>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</si>
  <si>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</si>
  <si>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</si>
  <si>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</si>
  <si>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</si>
  <si>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</si>
  <si>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</si>
  <si>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</si>
  <si>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</si>
  <si>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</si>
  <si>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</si>
  <si>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</si>
  <si>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</si>
  <si>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</si>
  <si>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</si>
  <si>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</si>
  <si>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</si>
  <si>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</si>
  <si>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</si>
  <si>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</si>
  <si>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</si>
  <si>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</si>
  <si>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</si>
  <si>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</si>
  <si>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</si>
  <si>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</si>
  <si>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</si>
  <si>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</si>
  <si>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</si>
  <si>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</si>
  <si>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</si>
  <si>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</si>
  <si>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</si>
  <si>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</si>
  <si>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</si>
  <si>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</si>
  <si>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</si>
  <si>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</si>
  <si>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</si>
  <si>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</si>
  <si>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そ の 他 の 作 物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</si>
  <si>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</si>
  <si>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</si>
  <si>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</si>
  <si>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</si>
  <si>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</si>
  <si>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</si>
  <si>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</si>
  <si>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</si>
  <si>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</si>
  <si>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</si>
  <si>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</si>
  <si>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</si>
  <si>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</si>
  <si>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</si>
  <si>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</si>
  <si>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</si>
  <si>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</si>
  <si>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</si>
  <si>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</si>
  <si>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</si>
  <si>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</si>
  <si>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</si>
  <si>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</si>
  <si>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</si>
  <si>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</si>
  <si>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</si>
  <si>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</si>
  <si>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</si>
  <si>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</si>
  <si>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</si>
  <si>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</si>
  <si>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</si>
  <si>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</si>
  <si>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</si>
  <si>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</si>
  <si>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</si>
  <si>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</si>
  <si>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</si>
  <si>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</si>
  <si>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</si>
  <si>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</si>
  <si>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</si>
  <si>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</si>
  <si>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</si>
  <si>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</si>
  <si>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</si>
  <si>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</si>
  <si>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</si>
  <si>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</si>
  <si>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</si>
  <si>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</si>
  <si>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</si>
  <si>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</si>
  <si>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</si>
  <si>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</si>
  <si>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</si>
  <si>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</si>
  <si>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</si>
  <si>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</si>
  <si>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</si>
  <si>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</si>
  <si>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</si>
  <si>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</si>
  <si>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</si>
  <si>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</si>
  <si>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</si>
  <si>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</si>
  <si>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</si>
  <si>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</si>
  <si>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</si>
  <si>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</si>
  <si>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</si>
  <si>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</si>
  <si>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</si>
  <si>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</si>
  <si>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</si>
  <si>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</si>
  <si>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</si>
  <si>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</si>
  <si>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</si>
  <si>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</si>
  <si>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</si>
  <si>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</si>
  <si>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</si>
  <si>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</si>
  <si>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</si>
  <si>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</si>
  <si>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枚</t>
    <rPh sb="0" eb="1">
      <t>マイ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</si>
  <si>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</si>
  <si>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</si>
  <si>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</si>
  <si>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</si>
  <si>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</si>
  <si>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</si>
  <si>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</si>
  <si>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</si>
  <si>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</si>
  <si>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</si>
  <si>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</si>
  <si>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</si>
  <si>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</si>
  <si>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</si>
  <si>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</si>
  <si>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</si>
  <si>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</si>
  <si>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</si>
  <si>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</si>
  <si>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</si>
  <si>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</si>
  <si>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</si>
  <si>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</si>
  <si>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</si>
  <si>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</si>
  <si>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</si>
  <si>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</si>
  <si>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</si>
  <si>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</si>
  <si>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</si>
  <si>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</si>
  <si>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</si>
  <si>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</si>
  <si>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</si>
  <si>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</si>
  <si>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個</t>
    <phoneticPr fontId="4"/>
  </si>
  <si>
    <t>本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</si>
  <si>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</si>
  <si>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</si>
  <si>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</si>
  <si>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</si>
  <si>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</si>
  <si>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</si>
  <si>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</si>
  <si>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</si>
  <si>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</si>
  <si>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</si>
  <si>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</si>
  <si>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</si>
  <si>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</si>
  <si>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</si>
  <si>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</si>
  <si>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</si>
  <si>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</si>
  <si>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</si>
  <si>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</si>
  <si>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</si>
  <si>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</si>
  <si>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</si>
  <si>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</si>
  <si>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</si>
  <si>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</si>
  <si>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</si>
  <si>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</si>
  <si>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</si>
  <si>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㎡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</si>
  <si>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</si>
  <si>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</si>
  <si>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</si>
  <si>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</si>
  <si>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</si>
  <si>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</si>
  <si>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</si>
  <si>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</si>
  <si>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</si>
  <si>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</si>
  <si>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</si>
  <si>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</si>
  <si>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</si>
  <si>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台</t>
    <rPh sb="0" eb="1">
      <t>ダイ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</si>
  <si>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</si>
  <si>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</si>
  <si>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</si>
  <si>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</si>
  <si>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</si>
  <si>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</si>
  <si>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</si>
  <si>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</si>
  <si>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</si>
  <si>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</si>
  <si>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</si>
  <si>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</si>
  <si>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</si>
  <si>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</si>
  <si>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</si>
  <si>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</si>
  <si>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</si>
  <si>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</si>
  <si>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</si>
  <si>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</si>
  <si>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</si>
  <si>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</si>
  <si>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</si>
  <si>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</si>
  <si>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袋</t>
    <phoneticPr fontId="4"/>
  </si>
  <si>
    <t>畦焼き</t>
    <rPh sb="0" eb="1">
      <t>ウネ</t>
    </rPh>
    <rPh sb="1" eb="2">
      <t>ヤ</t>
    </rPh>
    <phoneticPr fontId="4"/>
  </si>
  <si>
    <t>防除機</t>
    <rPh sb="0" eb="2">
      <t>ボウジョ</t>
    </rPh>
    <rPh sb="2" eb="3">
      <t>キ</t>
    </rPh>
    <phoneticPr fontId="4"/>
  </si>
  <si>
    <t>はさみ</t>
    <phoneticPr fontId="4"/>
  </si>
  <si>
    <t>フラワーネット</t>
    <phoneticPr fontId="4"/>
  </si>
  <si>
    <t>ハリコード</t>
    <phoneticPr fontId="4"/>
  </si>
  <si>
    <t>アスパラガス</t>
    <phoneticPr fontId="4"/>
  </si>
  <si>
    <t>平成２５年</t>
    <phoneticPr fontId="4"/>
  </si>
  <si>
    <t>平成２４年</t>
    <phoneticPr fontId="4"/>
  </si>
  <si>
    <t>平成２３年</t>
    <phoneticPr fontId="4"/>
  </si>
  <si>
    <t>平成２２年</t>
    <phoneticPr fontId="4"/>
  </si>
  <si>
    <t>平成２１年</t>
    <phoneticPr fontId="4"/>
  </si>
  <si>
    <t>潅水施設（ポンプ）</t>
    <rPh sb="0" eb="2">
      <t>カンスイ</t>
    </rPh>
    <rPh sb="2" eb="4">
      <t>シセツ</t>
    </rPh>
    <phoneticPr fontId="4"/>
  </si>
  <si>
    <t>潅水施設（配管）</t>
    <rPh sb="0" eb="2">
      <t>カンスイ</t>
    </rPh>
    <rPh sb="2" eb="4">
      <t>シセツ</t>
    </rPh>
    <rPh sb="5" eb="7">
      <t>ハイカン</t>
    </rPh>
    <phoneticPr fontId="4"/>
  </si>
  <si>
    <t>トップカー</t>
    <phoneticPr fontId="4"/>
  </si>
  <si>
    <t>バーナー</t>
    <phoneticPr fontId="4"/>
  </si>
  <si>
    <t>アスパラガス</t>
    <phoneticPr fontId="4"/>
  </si>
  <si>
    <t>式</t>
    <rPh sb="0" eb="1">
      <t>シキ</t>
    </rPh>
    <phoneticPr fontId="4"/>
  </si>
  <si>
    <t>台</t>
    <rPh sb="0" eb="1">
      <t>ダイ</t>
    </rPh>
    <phoneticPr fontId="4"/>
  </si>
  <si>
    <t>袋</t>
    <rPh sb="0" eb="1">
      <t>フクロ</t>
    </rPh>
    <phoneticPr fontId="4"/>
  </si>
  <si>
    <t>収穫台車</t>
    <rPh sb="0" eb="2">
      <t>シュウカク</t>
    </rPh>
    <rPh sb="2" eb="4">
      <t>ダイシャ</t>
    </rPh>
    <phoneticPr fontId="4"/>
  </si>
  <si>
    <t>支柱</t>
    <rPh sb="0" eb="2">
      <t>シチュウ</t>
    </rPh>
    <phoneticPr fontId="4"/>
  </si>
  <si>
    <t>ダブルユニバーサル</t>
    <phoneticPr fontId="4"/>
  </si>
  <si>
    <t>袋</t>
    <rPh sb="0" eb="1">
      <t>フクロ</t>
    </rPh>
    <phoneticPr fontId="4"/>
  </si>
  <si>
    <t>1種類</t>
    <phoneticPr fontId="4"/>
  </si>
  <si>
    <t>1種類</t>
    <phoneticPr fontId="4"/>
  </si>
  <si>
    <t>2種類</t>
    <phoneticPr fontId="4"/>
  </si>
  <si>
    <t>5種類</t>
    <phoneticPr fontId="4"/>
  </si>
  <si>
    <t>1種類</t>
    <phoneticPr fontId="4"/>
  </si>
  <si>
    <t>選果料174.85円/kg</t>
    <rPh sb="0" eb="1">
      <t>セン</t>
    </rPh>
    <rPh sb="1" eb="2">
      <t>カ</t>
    </rPh>
    <rPh sb="2" eb="3">
      <t>リョウ</t>
    </rPh>
    <rPh sb="9" eb="10">
      <t>エン</t>
    </rPh>
    <phoneticPr fontId="4"/>
  </si>
  <si>
    <t>20円/kg</t>
    <rPh sb="2" eb="3">
      <t>エン</t>
    </rPh>
    <phoneticPr fontId="4"/>
  </si>
  <si>
    <t>施肥</t>
    <rPh sb="0" eb="2">
      <t>セヒ</t>
    </rPh>
    <phoneticPr fontId="4"/>
  </si>
  <si>
    <t>堆肥マルチ</t>
    <rPh sb="0" eb="2">
      <t>タイヒ</t>
    </rPh>
    <phoneticPr fontId="4"/>
  </si>
  <si>
    <t>立茎管理</t>
    <rPh sb="0" eb="1">
      <t>タ</t>
    </rPh>
    <rPh sb="1" eb="2">
      <t>クキ</t>
    </rPh>
    <rPh sb="2" eb="4">
      <t>カンリ</t>
    </rPh>
    <phoneticPr fontId="4"/>
  </si>
  <si>
    <t>潅水</t>
    <rPh sb="0" eb="2">
      <t>カンスイ</t>
    </rPh>
    <phoneticPr fontId="4"/>
  </si>
  <si>
    <t>収穫・調整</t>
    <rPh sb="0" eb="2">
      <t>シュウカク</t>
    </rPh>
    <rPh sb="3" eb="5">
      <t>チョウセイ</t>
    </rPh>
    <phoneticPr fontId="4"/>
  </si>
  <si>
    <t>防除</t>
    <rPh sb="0" eb="2">
      <t>ボウジョ</t>
    </rPh>
    <phoneticPr fontId="4"/>
  </si>
  <si>
    <t>　　潅水パイプ，ネット設置</t>
    <rPh sb="2" eb="4">
      <t>カンスイ</t>
    </rPh>
    <rPh sb="11" eb="13">
      <t>セッチ</t>
    </rPh>
    <phoneticPr fontId="4"/>
  </si>
  <si>
    <t>親茎刈取り，撤去</t>
    <rPh sb="0" eb="1">
      <t>オヤ</t>
    </rPh>
    <rPh sb="1" eb="2">
      <t>クキ</t>
    </rPh>
    <rPh sb="2" eb="4">
      <t>カリト</t>
    </rPh>
    <rPh sb="6" eb="8">
      <t>テッキョ</t>
    </rPh>
    <phoneticPr fontId="4"/>
  </si>
  <si>
    <t>潅水パイプ，ネット撤去</t>
    <rPh sb="9" eb="11">
      <t>テッキョ</t>
    </rPh>
    <phoneticPr fontId="4"/>
  </si>
  <si>
    <t>10a機械</t>
    <phoneticPr fontId="4"/>
  </si>
  <si>
    <t>アスパラガス</t>
    <phoneticPr fontId="4"/>
  </si>
  <si>
    <t>アスパラガス</t>
    <phoneticPr fontId="4"/>
  </si>
  <si>
    <t>アスパラガス</t>
    <phoneticPr fontId="4"/>
  </si>
  <si>
    <t>アスパラガス</t>
    <phoneticPr fontId="4"/>
  </si>
  <si>
    <t>ウェルカム</t>
    <phoneticPr fontId="3"/>
  </si>
  <si>
    <t>畦焼き</t>
    <rPh sb="0" eb="1">
      <t>ウネ</t>
    </rPh>
    <rPh sb="1" eb="2">
      <t>ヤ</t>
    </rPh>
    <phoneticPr fontId="4"/>
  </si>
  <si>
    <t>堆肥マルチ</t>
    <rPh sb="0" eb="2">
      <t>タイヒ</t>
    </rPh>
    <phoneticPr fontId="4"/>
  </si>
  <si>
    <t>施肥</t>
    <rPh sb="0" eb="2">
      <t>セヒ</t>
    </rPh>
    <phoneticPr fontId="4"/>
  </si>
  <si>
    <t>バーナー</t>
    <phoneticPr fontId="4"/>
  </si>
  <si>
    <t>３～４月</t>
    <rPh sb="3" eb="4">
      <t>ガツ</t>
    </rPh>
    <phoneticPr fontId="4"/>
  </si>
  <si>
    <t>パイプハウス</t>
    <phoneticPr fontId="4"/>
  </si>
  <si>
    <t>㎡</t>
    <phoneticPr fontId="4"/>
  </si>
  <si>
    <t>1種類</t>
    <phoneticPr fontId="4"/>
  </si>
  <si>
    <t>6種類</t>
    <phoneticPr fontId="4"/>
  </si>
  <si>
    <t>ハウスアスパラガス</t>
    <phoneticPr fontId="4"/>
  </si>
  <si>
    <t>３　標準技術（ハウスアスパラガス）</t>
    <rPh sb="2" eb="4">
      <t>ヒョウジュン</t>
    </rPh>
    <rPh sb="4" eb="6">
      <t>ギジュツ</t>
    </rPh>
    <phoneticPr fontId="4"/>
  </si>
  <si>
    <t>５　作業別・旬別作業時間（ハウスアスパラガス）</t>
    <phoneticPr fontId="4"/>
  </si>
  <si>
    <t>８　経費の算出基礎（ハウスアスパラガス，10a当たり）</t>
    <rPh sb="2" eb="4">
      <t>ケイヒ</t>
    </rPh>
    <rPh sb="5" eb="7">
      <t>サンシュツ</t>
    </rPh>
    <rPh sb="7" eb="9">
      <t>キソ</t>
    </rPh>
    <rPh sb="23" eb="24">
      <t>ア</t>
    </rPh>
    <phoneticPr fontId="4"/>
  </si>
  <si>
    <t>９　単価の算出基礎（ハウスアスパラガス，1kg当たり）</t>
    <rPh sb="2" eb="4">
      <t>タンカ</t>
    </rPh>
    <phoneticPr fontId="4"/>
  </si>
  <si>
    <t>1ha</t>
    <phoneticPr fontId="4"/>
  </si>
  <si>
    <t>BBアスパラ一発700 260kg</t>
    <rPh sb="6" eb="8">
      <t>イッパツ</t>
    </rPh>
    <phoneticPr fontId="4"/>
  </si>
  <si>
    <t>３～１０月</t>
    <rPh sb="4" eb="5">
      <t>ガツ</t>
    </rPh>
    <phoneticPr fontId="4"/>
  </si>
  <si>
    <t>５～１０月</t>
    <rPh sb="4" eb="5">
      <t>ガツ</t>
    </rPh>
    <phoneticPr fontId="4"/>
  </si>
  <si>
    <t>灯油100ℓ</t>
    <rPh sb="0" eb="2">
      <t>トウユ</t>
    </rPh>
    <phoneticPr fontId="4"/>
  </si>
  <si>
    <t>1作業</t>
    <rPh sb="1" eb="3">
      <t>サギョウ</t>
    </rPh>
    <phoneticPr fontId="4"/>
  </si>
  <si>
    <t>1.3ha（借地0.8ha）</t>
    <phoneticPr fontId="4"/>
  </si>
  <si>
    <t>×</t>
    <phoneticPr fontId="3"/>
  </si>
  <si>
    <t>立茎管理</t>
    <rPh sb="0" eb="1">
      <t>タ</t>
    </rPh>
    <rPh sb="1" eb="2">
      <t>クキ</t>
    </rPh>
    <rPh sb="2" eb="4">
      <t>カンリ</t>
    </rPh>
    <phoneticPr fontId="4"/>
  </si>
  <si>
    <t>潅水</t>
    <rPh sb="0" eb="2">
      <t>カンスイ</t>
    </rPh>
    <phoneticPr fontId="4"/>
  </si>
  <si>
    <t>親茎刈取り</t>
    <rPh sb="0" eb="1">
      <t>オヤ</t>
    </rPh>
    <rPh sb="1" eb="2">
      <t>クキ</t>
    </rPh>
    <rPh sb="2" eb="4">
      <t>カリト</t>
    </rPh>
    <phoneticPr fontId="4"/>
  </si>
  <si>
    <t>収穫はさみ</t>
    <rPh sb="0" eb="2">
      <t>シュウカク</t>
    </rPh>
    <phoneticPr fontId="4"/>
  </si>
  <si>
    <t>５～６月</t>
    <rPh sb="3" eb="4">
      <t>ガツ</t>
    </rPh>
    <phoneticPr fontId="4"/>
  </si>
  <si>
    <t>潅水施設</t>
    <rPh sb="0" eb="2">
      <t>カンスイ</t>
    </rPh>
    <rPh sb="2" eb="4">
      <t>シセツ</t>
    </rPh>
    <phoneticPr fontId="4"/>
  </si>
  <si>
    <t>１２月</t>
    <rPh sb="2" eb="3">
      <t>ガツ</t>
    </rPh>
    <phoneticPr fontId="4"/>
  </si>
  <si>
    <t>作業場，軽トラック</t>
    <rPh sb="0" eb="2">
      <t>サギョウ</t>
    </rPh>
    <rPh sb="2" eb="3">
      <t>ジョウ</t>
    </rPh>
    <rPh sb="4" eb="5">
      <t>ケイ</t>
    </rPh>
    <phoneticPr fontId="4"/>
  </si>
  <si>
    <t>７　経営収支（ハウスアスパラガス部門，10a当たり）</t>
    <rPh sb="16" eb="18">
      <t>ブモン</t>
    </rPh>
    <rPh sb="22" eb="23">
      <t>ア</t>
    </rPh>
    <phoneticPr fontId="4"/>
  </si>
  <si>
    <t>５～９月</t>
    <rPh sb="3" eb="4">
      <t>ガツ</t>
    </rPh>
    <phoneticPr fontId="4"/>
  </si>
  <si>
    <t>１～３月</t>
    <rPh sb="3" eb="4">
      <t>ガツ</t>
    </rPh>
    <phoneticPr fontId="4"/>
  </si>
  <si>
    <t>鉄骨，ルーフデッキ</t>
    <rPh sb="0" eb="2">
      <t>テッコツ</t>
    </rPh>
    <phoneticPr fontId="1"/>
  </si>
  <si>
    <r>
      <t>1</t>
    </r>
    <r>
      <rPr>
        <sz val="11"/>
        <rFont val="ＭＳ Ｐゴシック"/>
        <family val="3"/>
        <charset val="128"/>
      </rPr>
      <t>ha</t>
    </r>
    <phoneticPr fontId="3"/>
  </si>
  <si>
    <t>薬剤散布と耕種的防除により病害を防ぐ。
一発肥料の活用により省力化を図る。
春は２重被覆を実施する。
ハウス周囲の排水を徹底する。</t>
    <rPh sb="0" eb="2">
      <t>ヤクザイ</t>
    </rPh>
    <rPh sb="2" eb="4">
      <t>サンプ</t>
    </rPh>
    <rPh sb="5" eb="7">
      <t>コウシュ</t>
    </rPh>
    <rPh sb="7" eb="8">
      <t>テキ</t>
    </rPh>
    <rPh sb="8" eb="10">
      <t>ボウジョ</t>
    </rPh>
    <rPh sb="13" eb="15">
      <t>ビョウガイ</t>
    </rPh>
    <rPh sb="16" eb="17">
      <t>フセ</t>
    </rPh>
    <rPh sb="20" eb="22">
      <t>イッパツ</t>
    </rPh>
    <rPh sb="22" eb="24">
      <t>ヒリョウ</t>
    </rPh>
    <rPh sb="25" eb="27">
      <t>カツヨウ</t>
    </rPh>
    <rPh sb="30" eb="33">
      <t>ショウリョクカ</t>
    </rPh>
    <rPh sb="34" eb="35">
      <t>ハカ</t>
    </rPh>
    <rPh sb="38" eb="39">
      <t>ハル</t>
    </rPh>
    <rPh sb="41" eb="42">
      <t>ジュウ</t>
    </rPh>
    <rPh sb="42" eb="44">
      <t>ヒフク</t>
    </rPh>
    <rPh sb="45" eb="47">
      <t>ジッシ</t>
    </rPh>
    <rPh sb="54" eb="56">
      <t>シュウイ</t>
    </rPh>
    <rPh sb="57" eb="59">
      <t>ハイスイ</t>
    </rPh>
    <rPh sb="60" eb="62">
      <t>テッテイ</t>
    </rPh>
    <phoneticPr fontId="3"/>
  </si>
  <si>
    <t>１２～３月</t>
    <rPh sb="4" eb="5">
      <t>ガツ</t>
    </rPh>
    <phoneticPr fontId="4"/>
  </si>
  <si>
    <t>堆肥4t～6t</t>
    <phoneticPr fontId="4"/>
  </si>
  <si>
    <t>　　ハウス温度管理</t>
    <rPh sb="5" eb="7">
      <t>オンド</t>
    </rPh>
    <rPh sb="7" eb="9">
      <t>カンリ</t>
    </rPh>
    <phoneticPr fontId="4"/>
  </si>
  <si>
    <t>ハウス温度管理</t>
    <rPh sb="3" eb="5">
      <t>オンド</t>
    </rPh>
    <rPh sb="5" eb="7">
      <t>カンリ</t>
    </rPh>
    <phoneticPr fontId="4"/>
  </si>
  <si>
    <t>３～５月</t>
    <rPh sb="3" eb="4">
      <t>ガツ</t>
    </rPh>
    <phoneticPr fontId="4"/>
  </si>
  <si>
    <t>パオパオ</t>
    <phoneticPr fontId="4"/>
  </si>
  <si>
    <t>パオパオ</t>
    <phoneticPr fontId="4"/>
  </si>
  <si>
    <t>円</t>
    <rPh sb="0" eb="1">
      <t>エン</t>
    </rPh>
    <phoneticPr fontId="4"/>
  </si>
  <si>
    <t>天井ビニール</t>
    <rPh sb="0" eb="2">
      <t>テンジョウ</t>
    </rPh>
    <phoneticPr fontId="4"/>
  </si>
  <si>
    <t>㎡</t>
    <phoneticPr fontId="4"/>
  </si>
  <si>
    <t>個別経営体</t>
    <rPh sb="0" eb="2">
      <t>コベツ</t>
    </rPh>
    <rPh sb="2" eb="5">
      <t>ケイエイタイ</t>
    </rPh>
    <phoneticPr fontId="3"/>
  </si>
  <si>
    <t>アスパラガス(ハウス）</t>
    <phoneticPr fontId="3"/>
  </si>
  <si>
    <t>長期どり</t>
    <rPh sb="0" eb="2">
      <t>チョウキ</t>
    </rPh>
    <phoneticPr fontId="3"/>
  </si>
  <si>
    <t>中部
南部</t>
    <rPh sb="0" eb="2">
      <t>チュウブ</t>
    </rPh>
    <rPh sb="3" eb="5">
      <t>ナンブ</t>
    </rPh>
    <phoneticPr fontId="3"/>
  </si>
  <si>
    <t>1ha</t>
    <phoneticPr fontId="3"/>
  </si>
  <si>
    <t>面積</t>
    <phoneticPr fontId="4"/>
  </si>
  <si>
    <t>水源確保，排水性，日当たり良好</t>
    <rPh sb="0" eb="2">
      <t>スイゲン</t>
    </rPh>
    <rPh sb="2" eb="4">
      <t>カクホ</t>
    </rPh>
    <rPh sb="5" eb="8">
      <t>ハイスイセイ</t>
    </rPh>
    <rPh sb="9" eb="11">
      <t>ヒア</t>
    </rPh>
    <rPh sb="13" eb="15">
      <t>リョウコウ</t>
    </rPh>
    <phoneticPr fontId="3"/>
  </si>
  <si>
    <t>共選共販</t>
    <rPh sb="0" eb="1">
      <t>キョウ</t>
    </rPh>
    <rPh sb="1" eb="2">
      <t>セン</t>
    </rPh>
    <rPh sb="2" eb="4">
      <t>キョウハン</t>
    </rPh>
    <phoneticPr fontId="3"/>
  </si>
  <si>
    <t>∩</t>
  </si>
  <si>
    <t>アスパラガス</t>
    <phoneticPr fontId="3"/>
  </si>
  <si>
    <t>アスパラガス（１年目）</t>
    <rPh sb="8" eb="9">
      <t>ネン</t>
    </rPh>
    <rPh sb="9" eb="10">
      <t>メ</t>
    </rPh>
    <phoneticPr fontId="3"/>
  </si>
  <si>
    <t>アスパラガス（２年目～）</t>
    <rPh sb="8" eb="9">
      <t>ネン</t>
    </rPh>
    <rPh sb="9" eb="10">
      <t>メ</t>
    </rPh>
    <phoneticPr fontId="3"/>
  </si>
  <si>
    <t>長期どり</t>
    <rPh sb="0" eb="2">
      <t>チョウキ</t>
    </rPh>
    <phoneticPr fontId="4"/>
  </si>
  <si>
    <t>袋</t>
    <phoneticPr fontId="4"/>
  </si>
  <si>
    <t>本</t>
    <phoneticPr fontId="4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</si>
  <si>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</si>
  <si>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ハウス</t>
    <phoneticPr fontId="4"/>
  </si>
  <si>
    <t>10a/100a</t>
  </si>
  <si>
    <t>10a/100a</t>
    <phoneticPr fontId="4"/>
  </si>
  <si>
    <t>2.5人</t>
    <rPh sb="3" eb="4">
      <t>ニン</t>
    </rPh>
    <phoneticPr fontId="3"/>
  </si>
  <si>
    <t>資材・農機具庫</t>
    <rPh sb="0" eb="2">
      <t>シザイ</t>
    </rPh>
    <rPh sb="3" eb="6">
      <t>ノウキグ</t>
    </rPh>
    <rPh sb="6" eb="7">
      <t>コ</t>
    </rPh>
    <phoneticPr fontId="4"/>
  </si>
  <si>
    <t>〃</t>
    <phoneticPr fontId="4"/>
  </si>
  <si>
    <t>予冷庫</t>
    <rPh sb="0" eb="3">
      <t>ヨレイコ</t>
    </rPh>
    <phoneticPr fontId="4"/>
  </si>
  <si>
    <t>㎡</t>
    <phoneticPr fontId="4"/>
  </si>
  <si>
    <t>右表　広島中央卸売市場広島産5ヵ年平均</t>
    <rPh sb="0" eb="1">
      <t>ミギ</t>
    </rPh>
    <rPh sb="1" eb="2">
      <t>ヒョウ</t>
    </rPh>
    <rPh sb="3" eb="5">
      <t>ヒロシマ</t>
    </rPh>
    <rPh sb="5" eb="7">
      <t>チュウオウ</t>
    </rPh>
    <rPh sb="7" eb="9">
      <t>オロシウリ</t>
    </rPh>
    <rPh sb="9" eb="11">
      <t>シジョウ</t>
    </rPh>
    <rPh sb="11" eb="13">
      <t>ヒロシマ</t>
    </rPh>
    <rPh sb="13" eb="14">
      <t>サン</t>
    </rPh>
    <rPh sb="16" eb="17">
      <t>ネン</t>
    </rPh>
    <rPh sb="17" eb="19">
      <t>ヘイキン</t>
    </rPh>
    <phoneticPr fontId="4"/>
  </si>
  <si>
    <t>1作業</t>
    <rPh sb="1" eb="3">
      <t>サギョウ</t>
    </rPh>
    <phoneticPr fontId="4"/>
  </si>
  <si>
    <t>防除（防除機）</t>
    <rPh sb="0" eb="2">
      <t>ボウジョ</t>
    </rPh>
    <rPh sb="3" eb="5">
      <t>ボウジョ</t>
    </rPh>
    <rPh sb="5" eb="6">
      <t>キ</t>
    </rPh>
    <phoneticPr fontId="4"/>
  </si>
  <si>
    <t>運搬（軽トラック）</t>
    <rPh sb="0" eb="2">
      <t>ウンパン</t>
    </rPh>
    <rPh sb="3" eb="4">
      <t>ケイ</t>
    </rPh>
    <phoneticPr fontId="4"/>
  </si>
  <si>
    <t>運搬（トップカー）</t>
    <rPh sb="0" eb="2">
      <t>ウンパン</t>
    </rPh>
    <phoneticPr fontId="4"/>
  </si>
  <si>
    <t>灌水（灌水ポンプ）</t>
    <rPh sb="0" eb="2">
      <t>カンスイ</t>
    </rPh>
    <rPh sb="3" eb="5">
      <t>カンスイ</t>
    </rPh>
    <phoneticPr fontId="4"/>
  </si>
  <si>
    <t>草刈り機</t>
    <rPh sb="0" eb="2">
      <t>クサカ</t>
    </rPh>
    <rPh sb="3" eb="4">
      <t>キ</t>
    </rPh>
    <phoneticPr fontId="4"/>
  </si>
  <si>
    <t>畦焼き（バーナー）</t>
    <rPh sb="0" eb="1">
      <t>ウネ</t>
    </rPh>
    <rPh sb="1" eb="2">
      <t>ヤ</t>
    </rPh>
    <phoneticPr fontId="4"/>
  </si>
  <si>
    <t>保冷（予冷庫）</t>
    <rPh sb="0" eb="2">
      <t>ホレイ</t>
    </rPh>
    <rPh sb="3" eb="6">
      <t>ヨレイコ</t>
    </rPh>
    <phoneticPr fontId="4"/>
  </si>
  <si>
    <t>作業場</t>
    <rPh sb="0" eb="2">
      <t>サギョウ</t>
    </rPh>
    <rPh sb="2" eb="3">
      <t>ジョウ</t>
    </rPh>
    <phoneticPr fontId="4"/>
  </si>
  <si>
    <t>水田（50a)</t>
    <rPh sb="0" eb="2">
      <t>スイデン</t>
    </rPh>
    <phoneticPr fontId="4"/>
  </si>
  <si>
    <t>軽トラック</t>
    <rPh sb="0" eb="1">
      <t>ケイ</t>
    </rPh>
    <phoneticPr fontId="4"/>
  </si>
  <si>
    <t>台</t>
    <rPh sb="0" eb="1">
      <t>ダイ</t>
    </rPh>
    <phoneticPr fontId="4"/>
  </si>
  <si>
    <t>収穫コンテナ</t>
    <rPh sb="0" eb="2">
      <t>シュウカク</t>
    </rPh>
    <phoneticPr fontId="4"/>
  </si>
  <si>
    <t>個</t>
    <rPh sb="0" eb="1">
      <t>コ</t>
    </rPh>
    <phoneticPr fontId="4"/>
  </si>
  <si>
    <t>包丁</t>
    <rPh sb="0" eb="2">
      <t>ホウチョウ</t>
    </rPh>
    <phoneticPr fontId="4"/>
  </si>
  <si>
    <t>丁</t>
    <rPh sb="0" eb="1">
      <t>チョウ</t>
    </rPh>
    <phoneticPr fontId="4"/>
  </si>
  <si>
    <t>潅水設備，バーナー，防除機，トップカー，軽トラック，パイプハウス，マルチスプレッダー</t>
    <rPh sb="0" eb="2">
      <t>カンスイ</t>
    </rPh>
    <rPh sb="2" eb="4">
      <t>セツビ</t>
    </rPh>
    <rPh sb="10" eb="12">
      <t>ボウジョ</t>
    </rPh>
    <rPh sb="12" eb="13">
      <t>キ</t>
    </rPh>
    <rPh sb="20" eb="21">
      <t>ケイ</t>
    </rPh>
    <phoneticPr fontId="3"/>
  </si>
  <si>
    <t>トップカー
マルチスプレッダー</t>
    <phoneticPr fontId="4"/>
  </si>
  <si>
    <t>堆肥散布（ﾏﾙﾁｽﾌﾟﾚｯﾀ‐ﾞ）</t>
    <rPh sb="0" eb="2">
      <t>タイヒ</t>
    </rPh>
    <rPh sb="2" eb="4">
      <t>サンプ</t>
    </rPh>
    <phoneticPr fontId="4"/>
  </si>
  <si>
    <t>マルチスプレッダー</t>
    <phoneticPr fontId="4"/>
  </si>
  <si>
    <t>ハウス栽培，購入セル苗定植，全期立茎栽培</t>
    <rPh sb="3" eb="5">
      <t>サイバイ</t>
    </rPh>
    <rPh sb="6" eb="8">
      <t>コウニュウ</t>
    </rPh>
    <rPh sb="10" eb="11">
      <t>ナエ</t>
    </rPh>
    <rPh sb="11" eb="13">
      <t>テイショク</t>
    </rPh>
    <rPh sb="14" eb="16">
      <t>ゼンキ</t>
    </rPh>
    <rPh sb="16" eb="17">
      <t>リツ</t>
    </rPh>
    <rPh sb="17" eb="18">
      <t>ケイ</t>
    </rPh>
    <rPh sb="18" eb="20">
      <t>サイバイ</t>
    </rPh>
    <phoneticPr fontId="3"/>
  </si>
  <si>
    <t>自家労力2.5人，雇用労力</t>
    <rPh sb="0" eb="1">
      <t>ジ</t>
    </rPh>
    <rPh sb="2" eb="4">
      <t>ロウリョク</t>
    </rPh>
    <rPh sb="7" eb="8">
      <t>ニン</t>
    </rPh>
    <rPh sb="9" eb="11">
      <t>コヨウ</t>
    </rPh>
    <rPh sb="11" eb="13">
      <t>ロウリョク</t>
    </rPh>
    <phoneticPr fontId="3"/>
  </si>
  <si>
    <t>3000円＊80a/（施設100a）</t>
    <rPh sb="4" eb="5">
      <t>エン</t>
    </rPh>
    <rPh sb="11" eb="13">
      <t>シセツ</t>
    </rPh>
    <phoneticPr fontId="4"/>
  </si>
  <si>
    <r>
      <t>H25年</t>
    </r>
    <r>
      <rPr>
        <sz val="11"/>
        <rFont val="ＭＳ Ｐゴシック"/>
        <family val="3"/>
        <charset val="128"/>
      </rPr>
      <t>県内産地法人平均</t>
    </r>
    <rPh sb="3" eb="4">
      <t>ネン</t>
    </rPh>
    <rPh sb="4" eb="6">
      <t>ケンナイ</t>
    </rPh>
    <rPh sb="6" eb="8">
      <t>サンチ</t>
    </rPh>
    <rPh sb="8" eb="10">
      <t>ホウジン</t>
    </rPh>
    <rPh sb="10" eb="12">
      <t>ヘイキン</t>
    </rPh>
    <phoneticPr fontId="4"/>
  </si>
  <si>
    <r>
      <rPr>
        <sz val="11"/>
        <rFont val="ＭＳ Ｐゴシック"/>
        <family val="3"/>
        <charset val="128"/>
      </rPr>
      <t>4作業</t>
    </r>
    <rPh sb="1" eb="3">
      <t>サギョウ</t>
    </rPh>
    <phoneticPr fontId="4"/>
  </si>
  <si>
    <t>ℓ・kw／時</t>
    <rPh sb="5" eb="6">
      <t>ジ</t>
    </rPh>
    <phoneticPr fontId="4"/>
  </si>
  <si>
    <t>○：播種　△：仮植　×：定植　■：収穫　∩：小トンネル</t>
    <rPh sb="17" eb="19">
      <t>シュウカク</t>
    </rPh>
    <rPh sb="22" eb="23">
      <t>コ</t>
    </rPh>
    <phoneticPr fontId="4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</si>
  <si>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</si>
  <si>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</si>
  <si>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</si>
  <si>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 xml:space="preserve">
　アスパラガス残さを焼き払い，茎枯病等の病害を防止する。</t>
    <rPh sb="8" eb="9">
      <t>ザン</t>
    </rPh>
    <rPh sb="11" eb="12">
      <t>ヤ</t>
    </rPh>
    <rPh sb="13" eb="14">
      <t>ハラ</t>
    </rPh>
    <rPh sb="16" eb="17">
      <t>クキ</t>
    </rPh>
    <rPh sb="17" eb="18">
      <t>カ</t>
    </rPh>
    <rPh sb="18" eb="19">
      <t>ビョウ</t>
    </rPh>
    <rPh sb="19" eb="20">
      <t>トウ</t>
    </rPh>
    <rPh sb="21" eb="23">
      <t>ビョウガイ</t>
    </rPh>
    <rPh sb="24" eb="26">
      <t>ボウシ</t>
    </rPh>
    <phoneticPr fontId="4"/>
  </si>
  <si>
    <t xml:space="preserve">
　緩効性肥料を活用し，省力化を図る。</t>
    <rPh sb="2" eb="3">
      <t>ユル</t>
    </rPh>
    <rPh sb="3" eb="4">
      <t>キ</t>
    </rPh>
    <rPh sb="4" eb="5">
      <t>セイ</t>
    </rPh>
    <rPh sb="5" eb="7">
      <t>ヒリョウ</t>
    </rPh>
    <rPh sb="8" eb="10">
      <t>カツヨウ</t>
    </rPh>
    <rPh sb="12" eb="15">
      <t>ショウリョクカ</t>
    </rPh>
    <rPh sb="16" eb="17">
      <t>ハカ</t>
    </rPh>
    <phoneticPr fontId="4"/>
  </si>
  <si>
    <t xml:space="preserve">
　畦表面を堆肥で覆うことにより，茎枯病，雑草繁茂，畦内部の乾燥を防止するとともに，土づくりを行う。</t>
    <rPh sb="2" eb="3">
      <t>ウネ</t>
    </rPh>
    <rPh sb="3" eb="5">
      <t>ヒョウメン</t>
    </rPh>
    <rPh sb="6" eb="8">
      <t>タイヒ</t>
    </rPh>
    <rPh sb="9" eb="10">
      <t>オオ</t>
    </rPh>
    <rPh sb="17" eb="18">
      <t>クキ</t>
    </rPh>
    <rPh sb="18" eb="19">
      <t>カ</t>
    </rPh>
    <rPh sb="19" eb="20">
      <t>ビョウ</t>
    </rPh>
    <rPh sb="21" eb="23">
      <t>ザッソウ</t>
    </rPh>
    <rPh sb="23" eb="25">
      <t>ハンモ</t>
    </rPh>
    <rPh sb="26" eb="27">
      <t>ウネ</t>
    </rPh>
    <rPh sb="27" eb="29">
      <t>ナイブ</t>
    </rPh>
    <rPh sb="30" eb="32">
      <t>カンソウ</t>
    </rPh>
    <rPh sb="33" eb="35">
      <t>ボウシ</t>
    </rPh>
    <rPh sb="42" eb="43">
      <t>ツチ</t>
    </rPh>
    <rPh sb="47" eb="48">
      <t>オコナ</t>
    </rPh>
    <phoneticPr fontId="4"/>
  </si>
  <si>
    <t xml:space="preserve">
３月～４月はパオパオを使用した２重被覆を実施する。夜温が10℃を超えるまでは夜間はサイドビニールを下して保温する。</t>
    <rPh sb="2" eb="3">
      <t>ガツ</t>
    </rPh>
    <rPh sb="5" eb="6">
      <t>ガツ</t>
    </rPh>
    <rPh sb="12" eb="14">
      <t>シヨウ</t>
    </rPh>
    <rPh sb="17" eb="18">
      <t>ジュウ</t>
    </rPh>
    <rPh sb="18" eb="20">
      <t>ヒフク</t>
    </rPh>
    <rPh sb="21" eb="23">
      <t>ジッシ</t>
    </rPh>
    <rPh sb="26" eb="28">
      <t>ヤオン</t>
    </rPh>
    <rPh sb="33" eb="34">
      <t>コ</t>
    </rPh>
    <rPh sb="39" eb="41">
      <t>ヤカン</t>
    </rPh>
    <rPh sb="50" eb="51">
      <t>オロ</t>
    </rPh>
    <rPh sb="53" eb="55">
      <t>ホオン</t>
    </rPh>
    <phoneticPr fontId="4"/>
  </si>
  <si>
    <t xml:space="preserve">
　低温期は1回／日，高温期は朝夕２回／日，収穫とする。</t>
    <rPh sb="2" eb="4">
      <t>テイオン</t>
    </rPh>
    <rPh sb="4" eb="5">
      <t>キ</t>
    </rPh>
    <rPh sb="7" eb="8">
      <t>カイ</t>
    </rPh>
    <rPh sb="9" eb="10">
      <t>ニチ</t>
    </rPh>
    <rPh sb="11" eb="13">
      <t>コウオン</t>
    </rPh>
    <rPh sb="13" eb="14">
      <t>キ</t>
    </rPh>
    <rPh sb="15" eb="16">
      <t>アサ</t>
    </rPh>
    <rPh sb="16" eb="17">
      <t>ユウ</t>
    </rPh>
    <rPh sb="18" eb="19">
      <t>カイ</t>
    </rPh>
    <rPh sb="20" eb="21">
      <t>ニチ</t>
    </rPh>
    <rPh sb="22" eb="24">
      <t>シュウカク</t>
    </rPh>
    <phoneticPr fontId="4"/>
  </si>
  <si>
    <t xml:space="preserve">
　春芽を30日程度収穫後，Lサイズの若芽（直径12～14mm）を畦1mあたり10本程度を立茎させる。畦にできるだけ均一に立茎が配置するよう調整する。</t>
    <rPh sb="2" eb="3">
      <t>ハル</t>
    </rPh>
    <rPh sb="3" eb="4">
      <t>メ</t>
    </rPh>
    <rPh sb="7" eb="8">
      <t>ニチ</t>
    </rPh>
    <rPh sb="8" eb="10">
      <t>テイド</t>
    </rPh>
    <rPh sb="10" eb="12">
      <t>シュウカク</t>
    </rPh>
    <rPh sb="12" eb="13">
      <t>ゴ</t>
    </rPh>
    <rPh sb="19" eb="20">
      <t>ワカ</t>
    </rPh>
    <rPh sb="20" eb="21">
      <t>メ</t>
    </rPh>
    <rPh sb="22" eb="24">
      <t>チョッケイ</t>
    </rPh>
    <rPh sb="33" eb="34">
      <t>ウネ</t>
    </rPh>
    <rPh sb="41" eb="42">
      <t>ホン</t>
    </rPh>
    <rPh sb="42" eb="44">
      <t>テイド</t>
    </rPh>
    <rPh sb="45" eb="46">
      <t>タ</t>
    </rPh>
    <rPh sb="46" eb="47">
      <t>クキ</t>
    </rPh>
    <rPh sb="51" eb="52">
      <t>ウネ</t>
    </rPh>
    <rPh sb="58" eb="60">
      <t>キンイツ</t>
    </rPh>
    <rPh sb="61" eb="62">
      <t>タ</t>
    </rPh>
    <rPh sb="62" eb="63">
      <t>クキ</t>
    </rPh>
    <rPh sb="64" eb="66">
      <t>ハイチ</t>
    </rPh>
    <rPh sb="70" eb="72">
      <t>チョウセイ</t>
    </rPh>
    <phoneticPr fontId="4"/>
  </si>
  <si>
    <t xml:space="preserve">
　少量多回数を基本に，畦内部の水分量を確認しながら潅水を行う。</t>
    <rPh sb="2" eb="4">
      <t>ショウリョウ</t>
    </rPh>
    <rPh sb="4" eb="5">
      <t>タ</t>
    </rPh>
    <rPh sb="5" eb="7">
      <t>カイスウ</t>
    </rPh>
    <rPh sb="8" eb="10">
      <t>キホン</t>
    </rPh>
    <rPh sb="12" eb="13">
      <t>ウネ</t>
    </rPh>
    <rPh sb="13" eb="15">
      <t>ナイブ</t>
    </rPh>
    <rPh sb="16" eb="18">
      <t>スイブン</t>
    </rPh>
    <rPh sb="18" eb="19">
      <t>リョウ</t>
    </rPh>
    <rPh sb="20" eb="22">
      <t>カクニン</t>
    </rPh>
    <rPh sb="26" eb="28">
      <t>カンスイ</t>
    </rPh>
    <rPh sb="29" eb="30">
      <t>オコナ</t>
    </rPh>
    <phoneticPr fontId="4"/>
  </si>
  <si>
    <t xml:space="preserve">
　定期的に殺菌剤，殺虫剤の散布を行う。</t>
    <rPh sb="2" eb="5">
      <t>テイキテキ</t>
    </rPh>
    <rPh sb="6" eb="9">
      <t>サッキンザイ</t>
    </rPh>
    <rPh sb="10" eb="13">
      <t>サッチュウザイ</t>
    </rPh>
    <rPh sb="14" eb="16">
      <t>サンプ</t>
    </rPh>
    <rPh sb="17" eb="18">
      <t>オコナ</t>
    </rPh>
    <phoneticPr fontId="4"/>
  </si>
  <si>
    <t xml:space="preserve">
　親茎を地際で刈り払い，トップカーによりハウス外に持ち出し，焼却または水田にすき込む。</t>
    <rPh sb="2" eb="3">
      <t>オヤ</t>
    </rPh>
    <rPh sb="3" eb="4">
      <t>クキ</t>
    </rPh>
    <rPh sb="5" eb="6">
      <t>チ</t>
    </rPh>
    <rPh sb="6" eb="7">
      <t>キワ</t>
    </rPh>
    <rPh sb="8" eb="9">
      <t>カ</t>
    </rPh>
    <rPh sb="10" eb="11">
      <t>ハラ</t>
    </rPh>
    <rPh sb="24" eb="25">
      <t>ガイ</t>
    </rPh>
    <rPh sb="26" eb="27">
      <t>モ</t>
    </rPh>
    <rPh sb="28" eb="29">
      <t>ダ</t>
    </rPh>
    <rPh sb="31" eb="33">
      <t>ショウキャク</t>
    </rPh>
    <rPh sb="36" eb="38">
      <t>スイデン</t>
    </rPh>
    <rPh sb="41" eb="42">
      <t>コ</t>
    </rPh>
    <phoneticPr fontId="4"/>
  </si>
  <si>
    <t xml:space="preserve">
前年の病害の発生程度により灯油の使用量を調節する。</t>
    <rPh sb="1" eb="3">
      <t>ゼンネン</t>
    </rPh>
    <rPh sb="4" eb="6">
      <t>ビョウガイ</t>
    </rPh>
    <rPh sb="7" eb="9">
      <t>ハッセイ</t>
    </rPh>
    <rPh sb="9" eb="11">
      <t>テイド</t>
    </rPh>
    <rPh sb="14" eb="16">
      <t>トウユ</t>
    </rPh>
    <rPh sb="17" eb="19">
      <t>シヨウ</t>
    </rPh>
    <rPh sb="19" eb="20">
      <t>リョウ</t>
    </rPh>
    <rPh sb="21" eb="23">
      <t>チョウセツ</t>
    </rPh>
    <phoneticPr fontId="4"/>
  </si>
  <si>
    <t xml:space="preserve">
収量が落ちる場合等，必要があれば追肥を行う（６～９月）。</t>
    <rPh sb="1" eb="3">
      <t>シュウリョウ</t>
    </rPh>
    <rPh sb="4" eb="5">
      <t>オ</t>
    </rPh>
    <rPh sb="7" eb="9">
      <t>バアイ</t>
    </rPh>
    <rPh sb="9" eb="10">
      <t>トウ</t>
    </rPh>
    <rPh sb="11" eb="13">
      <t>ヒツヨウ</t>
    </rPh>
    <rPh sb="17" eb="19">
      <t>ツイヒ</t>
    </rPh>
    <rPh sb="20" eb="21">
      <t>オコナ</t>
    </rPh>
    <rPh sb="26" eb="27">
      <t>ガツ</t>
    </rPh>
    <phoneticPr fontId="4"/>
  </si>
  <si>
    <t xml:space="preserve">
萌芽初めまでは，地温を上げるためにハウスを密閉し蒸し込む。
　積雪のある地帯は，支柱等で補強するか，ビニール除去（12月～2/中）</t>
    <rPh sb="1" eb="3">
      <t>ホウガ</t>
    </rPh>
    <rPh sb="3" eb="4">
      <t>ハジ</t>
    </rPh>
    <rPh sb="9" eb="11">
      <t>チオン</t>
    </rPh>
    <rPh sb="12" eb="13">
      <t>ア</t>
    </rPh>
    <rPh sb="22" eb="24">
      <t>ミッペイ</t>
    </rPh>
    <rPh sb="25" eb="26">
      <t>ム</t>
    </rPh>
    <rPh sb="27" eb="28">
      <t>コ</t>
    </rPh>
    <rPh sb="32" eb="34">
      <t>セキセツ</t>
    </rPh>
    <rPh sb="37" eb="39">
      <t>チタイ</t>
    </rPh>
    <rPh sb="41" eb="43">
      <t>シチュウ</t>
    </rPh>
    <rPh sb="43" eb="44">
      <t>トウ</t>
    </rPh>
    <rPh sb="45" eb="47">
      <t>ホキョウ</t>
    </rPh>
    <rPh sb="55" eb="57">
      <t>ジョキョ</t>
    </rPh>
    <rPh sb="60" eb="61">
      <t>ガツ</t>
    </rPh>
    <rPh sb="64" eb="65">
      <t>チュウ</t>
    </rPh>
    <phoneticPr fontId="4"/>
  </si>
  <si>
    <t xml:space="preserve">
穂先の開き等の品質低下に合わせて収穫回数を切り替える。</t>
    <rPh sb="1" eb="3">
      <t>ホサキ</t>
    </rPh>
    <rPh sb="4" eb="5">
      <t>ヒラ</t>
    </rPh>
    <rPh sb="6" eb="7">
      <t>トウ</t>
    </rPh>
    <rPh sb="8" eb="10">
      <t>ヒンシツ</t>
    </rPh>
    <rPh sb="10" eb="12">
      <t>テイカ</t>
    </rPh>
    <rPh sb="13" eb="14">
      <t>ア</t>
    </rPh>
    <rPh sb="17" eb="19">
      <t>シュウカク</t>
    </rPh>
    <rPh sb="19" eb="21">
      <t>カイスウ</t>
    </rPh>
    <rPh sb="22" eb="23">
      <t>キ</t>
    </rPh>
    <rPh sb="24" eb="25">
      <t>カ</t>
    </rPh>
    <phoneticPr fontId="4"/>
  </si>
  <si>
    <t xml:space="preserve">
前年の生育状況，春芽の収量・太さ等を考慮し，春芽収穫期間を調整する。</t>
    <rPh sb="1" eb="3">
      <t>ゼンネン</t>
    </rPh>
    <rPh sb="4" eb="6">
      <t>セイイク</t>
    </rPh>
    <rPh sb="6" eb="8">
      <t>ジョウキョウ</t>
    </rPh>
    <rPh sb="9" eb="10">
      <t>ハル</t>
    </rPh>
    <rPh sb="10" eb="11">
      <t>メ</t>
    </rPh>
    <rPh sb="12" eb="14">
      <t>シュウリョウ</t>
    </rPh>
    <rPh sb="15" eb="16">
      <t>フト</t>
    </rPh>
    <rPh sb="17" eb="18">
      <t>トウ</t>
    </rPh>
    <rPh sb="19" eb="21">
      <t>コウリョ</t>
    </rPh>
    <rPh sb="23" eb="24">
      <t>ハル</t>
    </rPh>
    <rPh sb="24" eb="25">
      <t>メ</t>
    </rPh>
    <rPh sb="25" eb="27">
      <t>シュウカク</t>
    </rPh>
    <rPh sb="27" eb="29">
      <t>キカン</t>
    </rPh>
    <rPh sb="30" eb="32">
      <t>チョウセイ</t>
    </rPh>
    <phoneticPr fontId="4"/>
  </si>
  <si>
    <t xml:space="preserve">
病害虫の発生状況に応じて散布薬剤を選択するとともに，必要に応じて随時防除を行う。病害は予防散布を徹底する。</t>
    <rPh sb="1" eb="4">
      <t>ビョウガイチュウ</t>
    </rPh>
    <rPh sb="5" eb="7">
      <t>ハッセイ</t>
    </rPh>
    <rPh sb="7" eb="9">
      <t>ジョウキョウ</t>
    </rPh>
    <rPh sb="10" eb="11">
      <t>オウ</t>
    </rPh>
    <rPh sb="13" eb="15">
      <t>サンプ</t>
    </rPh>
    <rPh sb="15" eb="17">
      <t>ヤクザイ</t>
    </rPh>
    <rPh sb="18" eb="20">
      <t>センタク</t>
    </rPh>
    <rPh sb="27" eb="29">
      <t>ヒツヨウ</t>
    </rPh>
    <rPh sb="30" eb="31">
      <t>オウ</t>
    </rPh>
    <rPh sb="33" eb="35">
      <t>ズイジ</t>
    </rPh>
    <rPh sb="35" eb="37">
      <t>ボウジョ</t>
    </rPh>
    <rPh sb="38" eb="39">
      <t>オコナ</t>
    </rPh>
    <rPh sb="41" eb="43">
      <t>ビョウガイ</t>
    </rPh>
    <rPh sb="44" eb="46">
      <t>ヨボウ</t>
    </rPh>
    <rPh sb="46" eb="48">
      <t>サンプ</t>
    </rPh>
    <rPh sb="49" eb="51">
      <t>テッテイ</t>
    </rPh>
    <phoneticPr fontId="4"/>
  </si>
  <si>
    <t xml:space="preserve">
病害の予防のため，アスパラガス茎葉をできる限り圃場外に持ち出す。</t>
    <rPh sb="1" eb="3">
      <t>ビョウガイ</t>
    </rPh>
    <rPh sb="4" eb="6">
      <t>ヨボウ</t>
    </rPh>
    <rPh sb="16" eb="17">
      <t>ケイ</t>
    </rPh>
    <rPh sb="17" eb="18">
      <t>ヨウ</t>
    </rPh>
    <rPh sb="22" eb="23">
      <t>カギ</t>
    </rPh>
    <rPh sb="24" eb="25">
      <t>ホ</t>
    </rPh>
    <rPh sb="25" eb="26">
      <t>ジョウ</t>
    </rPh>
    <rPh sb="26" eb="27">
      <t>ガイ</t>
    </rPh>
    <rPh sb="28" eb="29">
      <t>モ</t>
    </rPh>
    <rPh sb="30" eb="31">
      <t>ダ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</si>
  <si>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</si>
  <si>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</si>
  <si>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</si>
  <si>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11.5％</t>
    <phoneticPr fontId="4"/>
  </si>
  <si>
    <t>賃料料金に含む</t>
    <rPh sb="0" eb="2">
      <t>チンリョウ</t>
    </rPh>
    <rPh sb="2" eb="4">
      <t>リョウキン</t>
    </rPh>
    <rPh sb="5" eb="6">
      <t>フク</t>
    </rPh>
    <phoneticPr fontId="4"/>
  </si>
  <si>
    <t>刈払い機，
トップカー</t>
    <rPh sb="0" eb="1">
      <t>カリ</t>
    </rPh>
    <rPh sb="1" eb="2">
      <t>ハラ</t>
    </rPh>
    <rPh sb="3" eb="4">
      <t>キ</t>
    </rPh>
    <phoneticPr fontId="4"/>
  </si>
  <si>
    <t>収穫はさみ，
収穫台車，包丁</t>
    <rPh sb="0" eb="2">
      <t>シュウカク</t>
    </rPh>
    <rPh sb="7" eb="9">
      <t>シュウカク</t>
    </rPh>
    <rPh sb="9" eb="11">
      <t>ダイシャ</t>
    </rPh>
    <rPh sb="12" eb="14">
      <t>ホウチョウ</t>
    </rPh>
    <phoneticPr fontId="4"/>
  </si>
  <si>
    <t>各種殺菌剤，
殺虫剤</t>
    <rPh sb="0" eb="2">
      <t>カクシュ</t>
    </rPh>
    <rPh sb="2" eb="5">
      <t>サッキンザイ</t>
    </rPh>
    <rPh sb="7" eb="10">
      <t>サッチュウザイ</t>
    </rPh>
    <phoneticPr fontId="4"/>
  </si>
  <si>
    <t xml:space="preserve">
土壌水分計等で土壌水分を確認する。</t>
    <rPh sb="1" eb="3">
      <t>ドジョウ</t>
    </rPh>
    <rPh sb="3" eb="5">
      <t>スイブン</t>
    </rPh>
    <rPh sb="5" eb="6">
      <t>ケイ</t>
    </rPh>
    <rPh sb="6" eb="7">
      <t>トウ</t>
    </rPh>
    <rPh sb="8" eb="10">
      <t>ドジョウ</t>
    </rPh>
    <rPh sb="10" eb="12">
      <t>スイブン</t>
    </rPh>
    <rPh sb="13" eb="15">
      <t>カクニン</t>
    </rPh>
    <phoneticPr fontId="4"/>
  </si>
  <si>
    <t>A</t>
    <phoneticPr fontId="4"/>
  </si>
  <si>
    <t>B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</si>
  <si>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</si>
  <si>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</si>
  <si>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</si>
  <si>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</si>
  <si>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</si>
  <si>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A</t>
    <phoneticPr fontId="4"/>
  </si>
  <si>
    <t>D</t>
    <phoneticPr fontId="4"/>
  </si>
  <si>
    <t>E</t>
    <phoneticPr fontId="4"/>
  </si>
  <si>
    <t>F</t>
    <phoneticPr fontId="4"/>
  </si>
  <si>
    <t>A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</si>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</sst>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0_);[Red]\(0\)"/>
    <numFmt numFmtId="187" formatCode="#,##0.00_);[Red]\(#,##0.0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rgb="FF92D05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247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69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6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6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4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0" fillId="0" borderId="63" xfId="0" applyFont="1" applyBorder="1" applyAlignment="1">
      <alignment vertical="center"/>
    </xf>
    <xf numFmtId="181" fontId="0" fillId="0" borderId="36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2" xfId="0" applyNumberFormat="1" applyFont="1" applyBorder="1" applyAlignment="1">
      <alignment horizontal="right" vertical="center"/>
    </xf>
    <xf numFmtId="0" fontId="9" fillId="0" borderId="39" xfId="0" applyFont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0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82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6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7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86" xfId="2" applyFont="1" applyBorder="1" applyAlignment="1">
      <alignment vertical="center" wrapText="1"/>
    </xf>
    <xf numFmtId="0" fontId="1" fillId="0" borderId="86" xfId="2" applyFont="1" applyBorder="1" applyAlignment="1">
      <alignment vertical="center" wrapText="1"/>
    </xf>
    <xf numFmtId="0" fontId="8" fillId="0" borderId="86" xfId="2" applyFont="1" applyBorder="1" applyAlignment="1">
      <alignment horizontal="center" vertical="center"/>
    </xf>
    <xf numFmtId="0" fontId="8" fillId="0" borderId="86" xfId="2" applyFont="1" applyBorder="1" applyAlignment="1">
      <alignment horizontal="right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0" xfId="2" applyFont="1" applyBorder="1" applyAlignment="1">
      <alignment horizontal="center" vertical="center" wrapText="1"/>
    </xf>
    <xf numFmtId="0" fontId="1" fillId="0" borderId="116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4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57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0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2" borderId="108" xfId="0" applyNumberFormat="1" applyFont="1" applyFill="1" applyBorder="1" applyAlignment="1">
      <alignment vertical="center" shrinkToFit="1"/>
    </xf>
    <xf numFmtId="178" fontId="0" fillId="2" borderId="108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/>
    </xf>
    <xf numFmtId="177" fontId="0" fillId="0" borderId="86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0" xfId="0" applyNumberFormat="1" applyFont="1" applyBorder="1" applyAlignment="1">
      <alignment horizontal="center" vertical="center" shrinkToFit="1"/>
    </xf>
    <xf numFmtId="176" fontId="0" fillId="0" borderId="73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8" xfId="0" applyNumberFormat="1" applyFont="1" applyFill="1" applyBorder="1" applyAlignment="1">
      <alignment vertical="center" shrinkToFit="1"/>
    </xf>
    <xf numFmtId="176" fontId="0" fillId="2" borderId="120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1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9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5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0" xfId="0" applyNumberFormat="1" applyFont="1" applyFill="1" applyBorder="1" applyAlignment="1">
      <alignment vertical="center" shrinkToFit="1"/>
    </xf>
    <xf numFmtId="179" fontId="0" fillId="0" borderId="125" xfId="0" applyNumberFormat="1" applyFont="1" applyBorder="1" applyAlignment="1">
      <alignment horizontal="center" vertical="center" shrinkToFit="1"/>
    </xf>
    <xf numFmtId="176" fontId="0" fillId="6" borderId="112" xfId="0" applyNumberFormat="1" applyFont="1" applyFill="1" applyBorder="1" applyAlignment="1">
      <alignment vertical="center" shrinkToFit="1"/>
    </xf>
    <xf numFmtId="179" fontId="0" fillId="0" borderId="128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08" xfId="0" applyNumberFormat="1" applyFont="1" applyFill="1" applyBorder="1" applyAlignment="1">
      <alignment vertical="center" shrinkToFit="1"/>
    </xf>
    <xf numFmtId="183" fontId="0" fillId="6" borderId="53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1" xfId="0" applyNumberFormat="1" applyFont="1" applyFill="1" applyBorder="1" applyAlignment="1">
      <alignment vertical="center" shrinkToFit="1"/>
    </xf>
    <xf numFmtId="183" fontId="0" fillId="6" borderId="130" xfId="0" applyNumberFormat="1" applyFont="1" applyFill="1" applyBorder="1" applyAlignment="1">
      <alignment vertical="center" shrinkToFit="1"/>
    </xf>
    <xf numFmtId="177" fontId="0" fillId="0" borderId="73" xfId="0" applyNumberFormat="1" applyFont="1" applyBorder="1" applyAlignment="1">
      <alignment vertical="center" shrinkToFit="1"/>
    </xf>
    <xf numFmtId="177" fontId="0" fillId="2" borderId="131" xfId="0" applyNumberFormat="1" applyFont="1" applyFill="1" applyBorder="1" applyAlignment="1">
      <alignment vertical="center" shrinkToFit="1"/>
    </xf>
    <xf numFmtId="177" fontId="0" fillId="2" borderId="111" xfId="0" applyNumberFormat="1" applyFont="1" applyFill="1" applyBorder="1" applyAlignment="1">
      <alignment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7" fontId="0" fillId="2" borderId="122" xfId="0" applyNumberFormat="1" applyFont="1" applyFill="1" applyBorder="1" applyAlignment="1">
      <alignment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39" xfId="0" applyNumberFormat="1" applyFill="1" applyBorder="1" applyAlignment="1">
      <alignment vertical="center"/>
    </xf>
    <xf numFmtId="177" fontId="0" fillId="6" borderId="140" xfId="0" applyNumberFormat="1" applyFont="1" applyFill="1" applyBorder="1" applyAlignment="1">
      <alignment vertical="center" shrinkToFit="1"/>
    </xf>
    <xf numFmtId="177" fontId="0" fillId="0" borderId="140" xfId="3" applyNumberFormat="1" applyFont="1" applyBorder="1" applyAlignment="1">
      <alignment vertical="center"/>
    </xf>
    <xf numFmtId="177" fontId="0" fillId="0" borderId="106" xfId="3" applyNumberFormat="1" applyFont="1" applyBorder="1" applyAlignment="1">
      <alignment horizontal="right" vertical="center"/>
    </xf>
    <xf numFmtId="177" fontId="0" fillId="0" borderId="106" xfId="3" applyNumberFormat="1" applyFont="1" applyBorder="1" applyAlignment="1">
      <alignment horizontal="left" vertical="center" shrinkToFit="1"/>
    </xf>
    <xf numFmtId="177" fontId="0" fillId="0" borderId="141" xfId="0" applyNumberFormat="1" applyFont="1" applyBorder="1" applyAlignment="1">
      <alignment vertical="center"/>
    </xf>
    <xf numFmtId="177" fontId="0" fillId="0" borderId="139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2" xfId="3" applyNumberFormat="1" applyFont="1" applyBorder="1" applyAlignment="1">
      <alignment vertical="center" shrinkToFit="1"/>
    </xf>
    <xf numFmtId="177" fontId="0" fillId="0" borderId="142" xfId="0" applyNumberFormat="1" applyFont="1" applyFill="1" applyBorder="1" applyAlignment="1">
      <alignment vertical="center"/>
    </xf>
    <xf numFmtId="177" fontId="0" fillId="0" borderId="139" xfId="0" applyNumberFormat="1" applyFont="1" applyFill="1" applyBorder="1" applyAlignment="1">
      <alignment horizontal="center" vertical="center"/>
    </xf>
    <xf numFmtId="177" fontId="0" fillId="0" borderId="139" xfId="0" applyNumberFormat="1" applyFont="1" applyFill="1" applyBorder="1" applyAlignment="1">
      <alignment vertical="center"/>
    </xf>
    <xf numFmtId="177" fontId="0" fillId="0" borderId="142" xfId="0" applyNumberFormat="1" applyFill="1" applyBorder="1" applyAlignment="1">
      <alignment vertical="center"/>
    </xf>
    <xf numFmtId="178" fontId="0" fillId="0" borderId="139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3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6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0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2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1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0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43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39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45" xfId="3" applyNumberFormat="1" applyFont="1" applyBorder="1" applyAlignment="1">
      <alignment horizontal="center" vertical="center" shrinkToFit="1"/>
    </xf>
    <xf numFmtId="176" fontId="0" fillId="2" borderId="51" xfId="0" applyNumberFormat="1" applyFont="1" applyFill="1" applyBorder="1" applyAlignment="1">
      <alignment horizontal="center" vertical="center" shrinkToFit="1"/>
    </xf>
    <xf numFmtId="177" fontId="0" fillId="2" borderId="51" xfId="0" applyNumberFormat="1" applyFont="1" applyFill="1" applyBorder="1" applyAlignment="1">
      <alignment vertical="center" shrinkToFit="1"/>
    </xf>
    <xf numFmtId="177" fontId="0" fillId="0" borderId="150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148" xfId="0" applyNumberFormat="1" applyFont="1" applyFill="1" applyBorder="1" applyAlignment="1">
      <alignment vertical="center" shrinkToFit="1"/>
    </xf>
    <xf numFmtId="177" fontId="0" fillId="0" borderId="36" xfId="3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vertical="center"/>
    </xf>
    <xf numFmtId="177" fontId="0" fillId="2" borderId="51" xfId="3" applyNumberFormat="1" applyFont="1" applyFill="1" applyBorder="1" applyAlignment="1">
      <alignment horizontal="center" vertical="center" shrinkToFit="1"/>
    </xf>
    <xf numFmtId="177" fontId="0" fillId="2" borderId="51" xfId="3" applyNumberFormat="1" applyFont="1" applyFill="1" applyBorder="1" applyAlignment="1">
      <alignment vertical="center" shrinkToFit="1"/>
    </xf>
    <xf numFmtId="176" fontId="0" fillId="6" borderId="148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09" xfId="0" applyNumberFormat="1" applyFont="1" applyBorder="1" applyAlignment="1">
      <alignment vertical="center" shrinkToFit="1"/>
    </xf>
    <xf numFmtId="177" fontId="0" fillId="0" borderId="109" xfId="0" applyNumberFormat="1" applyFont="1" applyBorder="1" applyAlignment="1">
      <alignment horizontal="center" vertical="center" shrinkToFit="1"/>
    </xf>
    <xf numFmtId="177" fontId="0" fillId="0" borderId="55" xfId="0" applyNumberFormat="1" applyFont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vertical="center" shrinkToFit="1"/>
    </xf>
    <xf numFmtId="176" fontId="0" fillId="6" borderId="108" xfId="0" applyNumberFormat="1" applyFont="1" applyFill="1" applyBorder="1" applyAlignment="1">
      <alignment horizontal="center" vertical="center" shrinkToFit="1"/>
    </xf>
    <xf numFmtId="176" fontId="0" fillId="6" borderId="122" xfId="0" applyNumberFormat="1" applyFont="1" applyFill="1" applyBorder="1" applyAlignment="1">
      <alignment horizontal="center" vertical="center" shrinkToFit="1"/>
    </xf>
    <xf numFmtId="177" fontId="0" fillId="2" borderId="131" xfId="0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center" vertical="center" shrinkToFit="1"/>
    </xf>
    <xf numFmtId="176" fontId="0" fillId="0" borderId="151" xfId="0" applyNumberFormat="1" applyFont="1" applyBorder="1" applyAlignment="1">
      <alignment vertical="center"/>
    </xf>
    <xf numFmtId="176" fontId="0" fillId="0" borderId="129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7" fontId="0" fillId="2" borderId="156" xfId="0" applyNumberFormat="1" applyFont="1" applyFill="1" applyBorder="1" applyAlignment="1">
      <alignment vertical="center" shrinkToFit="1"/>
    </xf>
    <xf numFmtId="176" fontId="0" fillId="2" borderId="157" xfId="0" applyNumberFormat="1" applyFont="1" applyFill="1" applyBorder="1" applyAlignment="1">
      <alignment vertical="center" shrinkToFit="1"/>
    </xf>
    <xf numFmtId="177" fontId="0" fillId="2" borderId="153" xfId="3" applyNumberFormat="1" applyFont="1" applyFill="1" applyBorder="1" applyAlignment="1">
      <alignment horizontal="center" vertical="center" shrinkToFit="1"/>
    </xf>
    <xf numFmtId="177" fontId="0" fillId="2" borderId="153" xfId="3" applyNumberFormat="1" applyFont="1" applyFill="1" applyBorder="1" applyAlignment="1">
      <alignment vertical="center" shrinkToFit="1"/>
    </xf>
    <xf numFmtId="176" fontId="0" fillId="6" borderId="158" xfId="0" applyNumberFormat="1" applyFont="1" applyFill="1" applyBorder="1" applyAlignment="1">
      <alignment vertical="center"/>
    </xf>
    <xf numFmtId="181" fontId="0" fillId="0" borderId="125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3" xfId="0" applyFont="1" applyBorder="1" applyAlignment="1">
      <alignment horizontal="center" vertical="center" shrinkToFit="1"/>
    </xf>
    <xf numFmtId="0" fontId="8" fillId="0" borderId="166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0" xfId="0" applyNumberFormat="1" applyFont="1" applyBorder="1" applyAlignment="1">
      <alignment vertical="center"/>
    </xf>
    <xf numFmtId="176" fontId="0" fillId="0" borderId="86" xfId="0" applyNumberFormat="1" applyBorder="1" applyAlignment="1">
      <alignment vertical="center"/>
    </xf>
    <xf numFmtId="176" fontId="0" fillId="0" borderId="86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1" xfId="0" applyNumberFormat="1" applyFont="1" applyBorder="1" applyAlignment="1">
      <alignment vertical="center" shrinkToFit="1"/>
    </xf>
    <xf numFmtId="176" fontId="0" fillId="0" borderId="76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3" xfId="0" applyNumberFormat="1" applyFont="1" applyBorder="1" applyAlignment="1">
      <alignment vertical="center" shrinkToFit="1"/>
    </xf>
    <xf numFmtId="179" fontId="0" fillId="0" borderId="174" xfId="0" applyNumberFormat="1" applyFont="1" applyBorder="1" applyAlignment="1">
      <alignment vertical="center" shrinkToFit="1"/>
    </xf>
    <xf numFmtId="179" fontId="0" fillId="0" borderId="139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76" xfId="0" applyNumberFormat="1" applyFont="1" applyBorder="1" applyAlignment="1">
      <alignment vertical="center" shrinkToFit="1"/>
    </xf>
    <xf numFmtId="179" fontId="0" fillId="0" borderId="121" xfId="0" applyNumberFormat="1" applyFont="1" applyBorder="1" applyAlignment="1">
      <alignment vertical="center" shrinkToFit="1"/>
    </xf>
    <xf numFmtId="179" fontId="0" fillId="0" borderId="122" xfId="0" applyNumberFormat="1" applyFont="1" applyBorder="1" applyAlignment="1">
      <alignment vertical="center" shrinkToFit="1"/>
    </xf>
    <xf numFmtId="179" fontId="0" fillId="0" borderId="178" xfId="0" applyNumberFormat="1" applyFont="1" applyBorder="1" applyAlignment="1">
      <alignment vertical="center" shrinkToFit="1"/>
    </xf>
    <xf numFmtId="179" fontId="0" fillId="0" borderId="157" xfId="0" applyNumberFormat="1" applyFont="1" applyBorder="1" applyAlignment="1">
      <alignment vertical="center" shrinkToFit="1"/>
    </xf>
    <xf numFmtId="176" fontId="0" fillId="0" borderId="53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73" xfId="0" applyNumberFormat="1" applyFont="1" applyBorder="1" applyAlignment="1">
      <alignment vertical="center" shrinkToFit="1"/>
    </xf>
    <xf numFmtId="184" fontId="13" fillId="0" borderId="173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0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176" fontId="0" fillId="0" borderId="86" xfId="0" applyNumberFormat="1" applyFont="1" applyBorder="1" applyAlignment="1">
      <alignment vertical="center" shrinkToFit="1"/>
    </xf>
    <xf numFmtId="9" fontId="0" fillId="0" borderId="86" xfId="0" applyNumberFormat="1" applyFont="1" applyBorder="1" applyAlignment="1">
      <alignment vertical="center" shrinkToFit="1"/>
    </xf>
    <xf numFmtId="182" fontId="0" fillId="0" borderId="86" xfId="4" applyNumberFormat="1" applyFont="1" applyBorder="1" applyAlignment="1">
      <alignment vertical="center" shrinkToFit="1"/>
    </xf>
    <xf numFmtId="176" fontId="0" fillId="0" borderId="86" xfId="0" applyNumberFormat="1" applyFont="1" applyBorder="1" applyAlignment="1">
      <alignment horizontal="right" vertical="center" shrinkToFit="1"/>
    </xf>
    <xf numFmtId="49" fontId="0" fillId="0" borderId="86" xfId="0" applyNumberFormat="1" applyFont="1" applyBorder="1" applyAlignment="1">
      <alignment vertical="center" shrinkToFit="1"/>
    </xf>
    <xf numFmtId="176" fontId="0" fillId="2" borderId="86" xfId="0" applyNumberFormat="1" applyFont="1" applyFill="1" applyBorder="1" applyAlignment="1">
      <alignment vertical="center" shrinkToFit="1"/>
    </xf>
    <xf numFmtId="176" fontId="0" fillId="2" borderId="86" xfId="0" applyNumberFormat="1" applyFont="1" applyFill="1" applyBorder="1" applyAlignment="1">
      <alignment horizontal="left" vertical="center" shrinkToFit="1"/>
    </xf>
    <xf numFmtId="179" fontId="0" fillId="2" borderId="86" xfId="0" applyNumberFormat="1" applyFont="1" applyFill="1" applyBorder="1" applyAlignment="1">
      <alignment vertical="center" shrinkToFit="1"/>
    </xf>
    <xf numFmtId="9" fontId="0" fillId="0" borderId="86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6" xfId="0" applyNumberFormat="1" applyBorder="1" applyAlignment="1">
      <alignment horizontal="center" vertical="center" shrinkToFit="1"/>
    </xf>
    <xf numFmtId="176" fontId="0" fillId="0" borderId="86" xfId="0" applyNumberFormat="1" applyBorder="1" applyAlignment="1">
      <alignment horizontal="center" vertical="center" shrinkToFit="1"/>
    </xf>
    <xf numFmtId="177" fontId="0" fillId="0" borderId="36" xfId="0" applyNumberFormat="1" applyBorder="1" applyAlignment="1">
      <alignment horizontal="center" vertical="center" shrinkToFit="1"/>
    </xf>
    <xf numFmtId="177" fontId="0" fillId="0" borderId="50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154" xfId="0" applyNumberFormat="1" applyFont="1" applyFill="1" applyBorder="1" applyAlignment="1">
      <alignment vertical="center"/>
    </xf>
    <xf numFmtId="177" fontId="0" fillId="0" borderId="161" xfId="0" applyNumberFormat="1" applyFont="1" applyFill="1" applyBorder="1" applyAlignment="1">
      <alignment vertical="center"/>
    </xf>
    <xf numFmtId="177" fontId="0" fillId="0" borderId="162" xfId="0" applyNumberFormat="1" applyFont="1" applyFill="1" applyBorder="1" applyAlignment="1">
      <alignment vertical="center"/>
    </xf>
    <xf numFmtId="177" fontId="0" fillId="0" borderId="154" xfId="0" applyNumberFormat="1" applyFont="1" applyBorder="1" applyAlignment="1">
      <alignment vertical="center" shrinkToFit="1"/>
    </xf>
    <xf numFmtId="176" fontId="0" fillId="0" borderId="139" xfId="0" applyNumberFormat="1" applyFont="1" applyBorder="1" applyAlignment="1">
      <alignment vertical="center" shrinkToFit="1"/>
    </xf>
    <xf numFmtId="185" fontId="0" fillId="0" borderId="75" xfId="0" applyNumberFormat="1" applyFont="1" applyBorder="1" applyAlignment="1">
      <alignment horizontal="center" vertical="center"/>
    </xf>
    <xf numFmtId="181" fontId="0" fillId="4" borderId="41" xfId="0" applyNumberFormat="1" applyFont="1" applyFill="1" applyBorder="1" applyAlignment="1">
      <alignment horizontal="right" vertical="center"/>
    </xf>
    <xf numFmtId="181" fontId="0" fillId="0" borderId="39" xfId="0" applyNumberFormat="1" applyFont="1" applyFill="1" applyBorder="1" applyAlignment="1">
      <alignment horizontal="right" vertical="center"/>
    </xf>
    <xf numFmtId="181" fontId="0" fillId="7" borderId="39" xfId="0" applyNumberFormat="1" applyFont="1" applyFill="1" applyBorder="1" applyAlignment="1">
      <alignment horizontal="right" vertical="center"/>
    </xf>
    <xf numFmtId="181" fontId="0" fillId="7" borderId="42" xfId="1" applyNumberFormat="1" applyFont="1" applyFill="1" applyBorder="1" applyAlignment="1">
      <alignment horizontal="right" vertical="center"/>
    </xf>
    <xf numFmtId="181" fontId="0" fillId="0" borderId="38" xfId="0" applyNumberFormat="1" applyFont="1" applyBorder="1" applyAlignment="1">
      <alignment vertical="center"/>
    </xf>
    <xf numFmtId="181" fontId="0" fillId="0" borderId="185" xfId="0" applyNumberFormat="1" applyFont="1" applyBorder="1" applyAlignment="1">
      <alignment vertical="center"/>
    </xf>
    <xf numFmtId="181" fontId="0" fillId="5" borderId="38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38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7" xfId="1" applyNumberFormat="1" applyFont="1" applyFill="1" applyBorder="1" applyAlignment="1">
      <alignment horizontal="right" vertical="center"/>
    </xf>
    <xf numFmtId="177" fontId="0" fillId="0" borderId="139" xfId="3" applyNumberFormat="1" applyFont="1" applyFill="1" applyBorder="1" applyAlignment="1">
      <alignment vertical="center" shrinkToFit="1"/>
    </xf>
    <xf numFmtId="176" fontId="4" fillId="0" borderId="192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69" xfId="0" applyNumberFormat="1" applyFont="1" applyBorder="1" applyAlignment="1">
      <alignment vertical="center" shrinkToFit="1"/>
    </xf>
    <xf numFmtId="176" fontId="0" fillId="0" borderId="68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3" xfId="0" applyNumberFormat="1" applyFont="1" applyBorder="1" applyAlignment="1">
      <alignment horizontal="center" vertical="center" shrinkToFit="1"/>
    </xf>
    <xf numFmtId="176" fontId="0" fillId="0" borderId="194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69" xfId="0" applyNumberFormat="1" applyFont="1" applyFill="1" applyBorder="1" applyAlignment="1">
      <alignment vertical="center" shrinkToFit="1"/>
    </xf>
    <xf numFmtId="0" fontId="8" fillId="0" borderId="191" xfId="2" applyFont="1" applyBorder="1" applyAlignment="1">
      <alignment horizontal="center" vertical="center" wrapText="1"/>
    </xf>
    <xf numFmtId="186" fontId="0" fillId="0" borderId="86" xfId="0" applyNumberFormat="1" applyFont="1" applyBorder="1" applyAlignment="1">
      <alignment vertical="center" shrinkToFit="1"/>
    </xf>
    <xf numFmtId="187" fontId="0" fillId="0" borderId="1" xfId="0" applyNumberFormat="1" applyFont="1" applyBorder="1" applyAlignment="1">
      <alignment vertical="center" shrinkToFit="1"/>
    </xf>
    <xf numFmtId="176" fontId="0" fillId="0" borderId="139" xfId="0" applyNumberFormat="1" applyFont="1" applyBorder="1" applyAlignment="1">
      <alignment horizontal="center" vertical="center"/>
    </xf>
    <xf numFmtId="176" fontId="0" fillId="0" borderId="142" xfId="0" applyNumberFormat="1" applyFont="1" applyBorder="1" applyAlignment="1">
      <alignment horizontal="center" vertical="center"/>
    </xf>
    <xf numFmtId="176" fontId="0" fillId="0" borderId="205" xfId="0" applyNumberFormat="1" applyFont="1" applyBorder="1" applyAlignment="1">
      <alignment vertical="center"/>
    </xf>
    <xf numFmtId="176" fontId="0" fillId="0" borderId="139" xfId="0" applyNumberFormat="1" applyFont="1" applyBorder="1" applyAlignment="1">
      <alignment vertical="center"/>
    </xf>
    <xf numFmtId="176" fontId="0" fillId="0" borderId="142" xfId="0" applyNumberFormat="1" applyFont="1" applyBorder="1" applyAlignment="1">
      <alignment vertical="center"/>
    </xf>
    <xf numFmtId="176" fontId="0" fillId="0" borderId="214" xfId="0" applyNumberFormat="1" applyFont="1" applyBorder="1" applyAlignment="1">
      <alignment vertical="center"/>
    </xf>
    <xf numFmtId="179" fontId="0" fillId="0" borderId="212" xfId="0" applyNumberFormat="1" applyFont="1" applyBorder="1" applyAlignment="1">
      <alignment vertical="center" shrinkToFit="1"/>
    </xf>
    <xf numFmtId="176" fontId="0" fillId="0" borderId="187" xfId="0" applyNumberFormat="1" applyFont="1" applyBorder="1" applyAlignment="1">
      <alignment vertical="center"/>
    </xf>
    <xf numFmtId="179" fontId="0" fillId="0" borderId="142" xfId="0" applyNumberFormat="1" applyFont="1" applyBorder="1" applyAlignment="1">
      <alignment vertical="center" shrinkToFit="1"/>
    </xf>
    <xf numFmtId="179" fontId="0" fillId="0" borderId="140" xfId="0" applyNumberFormat="1" applyFont="1" applyBorder="1" applyAlignment="1">
      <alignment vertical="center" shrinkToFit="1"/>
    </xf>
    <xf numFmtId="179" fontId="0" fillId="0" borderId="106" xfId="0" applyNumberFormat="1" applyFont="1" applyBorder="1" applyAlignment="1">
      <alignment vertical="center" shrinkToFit="1"/>
    </xf>
    <xf numFmtId="179" fontId="0" fillId="0" borderId="218" xfId="0" applyNumberFormat="1" applyFont="1" applyBorder="1" applyAlignment="1">
      <alignment vertical="center" shrinkToFit="1"/>
    </xf>
    <xf numFmtId="179" fontId="0" fillId="0" borderId="219" xfId="0" applyNumberFormat="1" applyFont="1" applyBorder="1" applyAlignment="1">
      <alignment vertical="center" shrinkToFit="1"/>
    </xf>
    <xf numFmtId="179" fontId="0" fillId="0" borderId="220" xfId="0" applyNumberFormat="1" applyFont="1" applyBorder="1" applyAlignment="1">
      <alignment vertical="center" shrinkToFit="1"/>
    </xf>
    <xf numFmtId="179" fontId="0" fillId="0" borderId="221" xfId="0" applyNumberFormat="1" applyFont="1" applyBorder="1" applyAlignment="1">
      <alignment vertical="center" shrinkToFit="1"/>
    </xf>
    <xf numFmtId="0" fontId="0" fillId="0" borderId="86" xfId="2" applyFont="1" applyBorder="1" applyAlignment="1">
      <alignment vertical="center" wrapText="1"/>
    </xf>
    <xf numFmtId="0" fontId="0" fillId="0" borderId="86" xfId="2" applyFont="1" applyBorder="1" applyAlignment="1">
      <alignment horizontal="center" vertical="center" wrapText="1"/>
    </xf>
    <xf numFmtId="177" fontId="0" fillId="0" borderId="10" xfId="0" applyNumberFormat="1" applyFont="1" applyFill="1" applyBorder="1" applyAlignment="1">
      <alignment horizontal="center" vertical="center" shrinkToFit="1"/>
    </xf>
    <xf numFmtId="177" fontId="0" fillId="0" borderId="24" xfId="0" applyNumberFormat="1" applyFont="1" applyBorder="1" applyAlignment="1">
      <alignment vertical="center"/>
    </xf>
    <xf numFmtId="177" fontId="0" fillId="0" borderId="10" xfId="0" applyNumberFormat="1" applyFill="1" applyBorder="1" applyAlignment="1">
      <alignment horizontal="center" vertical="center" shrinkToFit="1"/>
    </xf>
    <xf numFmtId="177" fontId="0" fillId="0" borderId="32" xfId="0" applyNumberFormat="1" applyFont="1" applyBorder="1" applyAlignment="1">
      <alignment vertical="center"/>
    </xf>
    <xf numFmtId="177" fontId="0" fillId="0" borderId="139" xfId="0" applyNumberFormat="1" applyFont="1" applyFill="1" applyBorder="1" applyAlignment="1">
      <alignment vertical="center" shrinkToFit="1"/>
    </xf>
    <xf numFmtId="177" fontId="0" fillId="0" borderId="139" xfId="0" applyNumberFormat="1" applyFill="1" applyBorder="1" applyAlignment="1">
      <alignment horizontal="center" vertical="center" shrinkToFit="1"/>
    </xf>
    <xf numFmtId="177" fontId="0" fillId="0" borderId="24" xfId="0" applyNumberFormat="1" applyFont="1" applyFill="1" applyBorder="1" applyAlignment="1">
      <alignment vertical="center" shrinkToFit="1"/>
    </xf>
    <xf numFmtId="177" fontId="0" fillId="0" borderId="142" xfId="0" applyNumberFormat="1" applyFill="1" applyBorder="1" applyAlignment="1">
      <alignment vertical="center" shrinkToFit="1"/>
    </xf>
    <xf numFmtId="177" fontId="0" fillId="0" borderId="142" xfId="0" applyNumberFormat="1" applyFont="1" applyFill="1" applyBorder="1" applyAlignment="1">
      <alignment horizontal="center" vertical="center" shrinkToFit="1"/>
    </xf>
    <xf numFmtId="177" fontId="0" fillId="0" borderId="139" xfId="0" applyNumberFormat="1" applyFont="1" applyFill="1" applyBorder="1" applyAlignment="1">
      <alignment horizontal="center" vertical="center" shrinkToFit="1"/>
    </xf>
    <xf numFmtId="177" fontId="0" fillId="0" borderId="193" xfId="0" applyNumberFormat="1" applyFont="1" applyFill="1" applyBorder="1" applyAlignment="1">
      <alignment vertical="center" shrinkToFit="1"/>
    </xf>
    <xf numFmtId="177" fontId="0" fillId="0" borderId="175" xfId="0" applyNumberFormat="1" applyFont="1" applyBorder="1" applyAlignment="1">
      <alignment vertical="center" shrinkToFit="1"/>
    </xf>
    <xf numFmtId="177" fontId="0" fillId="0" borderId="11" xfId="0" applyNumberFormat="1" applyFont="1" applyBorder="1" applyAlignment="1">
      <alignment vertical="center" shrinkToFit="1"/>
    </xf>
    <xf numFmtId="177" fontId="0" fillId="0" borderId="11" xfId="0" applyNumberFormat="1" applyFont="1" applyFill="1" applyBorder="1" applyAlignment="1">
      <alignment vertical="center" shrinkToFit="1"/>
    </xf>
    <xf numFmtId="177" fontId="0" fillId="0" borderId="222" xfId="0" applyNumberFormat="1" applyFont="1" applyFill="1" applyBorder="1" applyAlignment="1">
      <alignment vertical="center" shrinkToFit="1"/>
    </xf>
    <xf numFmtId="177" fontId="0" fillId="2" borderId="17" xfId="0" applyNumberFormat="1" applyFont="1" applyFill="1" applyBorder="1" applyAlignment="1">
      <alignment horizontal="center" vertical="center" shrinkToFit="1"/>
    </xf>
    <xf numFmtId="176" fontId="0" fillId="0" borderId="215" xfId="0" applyNumberFormat="1" applyFont="1" applyBorder="1" applyAlignment="1">
      <alignment horizontal="left" vertical="center" indent="1"/>
    </xf>
    <xf numFmtId="176" fontId="0" fillId="0" borderId="50" xfId="0" applyNumberFormat="1" applyFont="1" applyBorder="1" applyAlignment="1">
      <alignment horizontal="left" vertical="center" indent="1"/>
    </xf>
    <xf numFmtId="9" fontId="0" fillId="0" borderId="139" xfId="0" applyNumberFormat="1" applyFont="1" applyBorder="1" applyAlignment="1">
      <alignment vertical="center" shrinkToFit="1"/>
    </xf>
    <xf numFmtId="183" fontId="0" fillId="0" borderId="139" xfId="0" applyNumberFormat="1" applyFont="1" applyBorder="1" applyAlignment="1">
      <alignment vertical="center" shrinkToFit="1"/>
    </xf>
    <xf numFmtId="176" fontId="0" fillId="0" borderId="226" xfId="0" applyNumberFormat="1" applyFont="1" applyBorder="1" applyAlignment="1">
      <alignment vertical="center"/>
    </xf>
    <xf numFmtId="176" fontId="0" fillId="0" borderId="134" xfId="0" applyNumberFormat="1" applyFont="1" applyBorder="1" applyAlignment="1">
      <alignment vertical="center"/>
    </xf>
    <xf numFmtId="178" fontId="0" fillId="0" borderId="86" xfId="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9" fontId="0" fillId="0" borderId="24" xfId="0" applyNumberFormat="1" applyFill="1" applyBorder="1" applyAlignment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176" fontId="0" fillId="2" borderId="86" xfId="0" applyNumberFormat="1" applyFont="1" applyFill="1" applyBorder="1" applyAlignment="1">
      <alignment horizontal="center" vertical="center" shrinkToFit="1"/>
    </xf>
    <xf numFmtId="176" fontId="0" fillId="0" borderId="19" xfId="0" applyNumberFormat="1" applyFont="1" applyFill="1" applyBorder="1" applyAlignment="1">
      <alignment horizontal="center" vertical="center" shrinkToFit="1"/>
    </xf>
    <xf numFmtId="179" fontId="0" fillId="0" borderId="24" xfId="0" applyNumberFormat="1" applyFont="1" applyFill="1" applyBorder="1" applyAlignment="1">
      <alignment vertical="center" shrinkToFit="1"/>
    </xf>
    <xf numFmtId="9" fontId="0" fillId="0" borderId="24" xfId="4" applyNumberFormat="1" applyFont="1" applyFill="1" applyBorder="1" applyAlignment="1">
      <alignment vertical="center" shrinkToFit="1"/>
    </xf>
    <xf numFmtId="177" fontId="16" fillId="0" borderId="1" xfId="0" applyNumberFormat="1" applyFont="1" applyFill="1" applyBorder="1" applyAlignment="1">
      <alignment vertical="center"/>
    </xf>
    <xf numFmtId="177" fontId="16" fillId="0" borderId="142" xfId="0" applyNumberFormat="1" applyFont="1" applyFill="1" applyBorder="1" applyAlignment="1">
      <alignment vertical="center"/>
    </xf>
    <xf numFmtId="177" fontId="16" fillId="0" borderId="24" xfId="3" applyNumberFormat="1" applyFont="1" applyBorder="1" applyAlignment="1">
      <alignment vertical="center" shrinkToFit="1"/>
    </xf>
    <xf numFmtId="0" fontId="0" fillId="0" borderId="24" xfId="0" applyFont="1" applyBorder="1">
      <alignment vertical="center"/>
    </xf>
    <xf numFmtId="9" fontId="0" fillId="0" borderId="139" xfId="0" applyNumberFormat="1" applyFont="1" applyFill="1" applyBorder="1" applyAlignment="1">
      <alignment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38" fontId="0" fillId="0" borderId="2" xfId="1" applyFont="1" applyBorder="1" applyAlignment="1">
      <alignment vertical="center" shrinkToFit="1"/>
    </xf>
    <xf numFmtId="177" fontId="1" fillId="0" borderId="150" xfId="3" applyNumberFormat="1" applyFont="1" applyBorder="1" applyAlignment="1">
      <alignment vertical="center" shrinkToFit="1"/>
    </xf>
    <xf numFmtId="176" fontId="1" fillId="0" borderId="151" xfId="0" applyNumberFormat="1" applyFont="1" applyBorder="1" applyAlignment="1">
      <alignment vertical="center"/>
    </xf>
    <xf numFmtId="177" fontId="1" fillId="0" borderId="24" xfId="3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39" xfId="0" applyNumberFormat="1" applyFont="1" applyBorder="1" applyAlignment="1">
      <alignment vertical="center"/>
    </xf>
    <xf numFmtId="176" fontId="0" fillId="0" borderId="150" xfId="0" applyNumberFormat="1" applyFont="1" applyBorder="1" applyAlignment="1">
      <alignment vertical="center"/>
    </xf>
    <xf numFmtId="176" fontId="1" fillId="0" borderId="150" xfId="0" applyNumberFormat="1" applyFont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7" fontId="0" fillId="0" borderId="227" xfId="3" applyNumberFormat="1" applyFont="1" applyBorder="1" applyAlignment="1">
      <alignment horizontal="center" vertical="center" shrinkToFit="1"/>
    </xf>
    <xf numFmtId="177" fontId="0" fillId="0" borderId="227" xfId="0" applyNumberFormat="1" applyBorder="1" applyAlignment="1">
      <alignment horizontal="center" vertical="center" shrinkToFit="1"/>
    </xf>
    <xf numFmtId="177" fontId="0" fillId="0" borderId="228" xfId="0" applyNumberFormat="1" applyFont="1" applyBorder="1" applyAlignment="1">
      <alignment horizontal="center" vertical="center" shrinkToFit="1"/>
    </xf>
    <xf numFmtId="176" fontId="0" fillId="2" borderId="229" xfId="0" applyNumberFormat="1" applyFont="1" applyFill="1" applyBorder="1" applyAlignment="1">
      <alignment horizontal="center" vertical="center" shrinkToFit="1"/>
    </xf>
    <xf numFmtId="177" fontId="0" fillId="2" borderId="229" xfId="0" applyNumberFormat="1" applyFont="1" applyFill="1" applyBorder="1" applyAlignment="1">
      <alignment vertical="center" shrinkToFit="1"/>
    </xf>
    <xf numFmtId="176" fontId="0" fillId="2" borderId="230" xfId="0" applyNumberFormat="1" applyFont="1" applyFill="1" applyBorder="1" applyAlignment="1">
      <alignment vertical="center" shrinkToFit="1"/>
    </xf>
    <xf numFmtId="177" fontId="0" fillId="2" borderId="233" xfId="0" applyNumberFormat="1" applyFont="1" applyFill="1" applyBorder="1" applyAlignment="1">
      <alignment vertical="center" shrinkToFit="1"/>
    </xf>
    <xf numFmtId="176" fontId="0" fillId="2" borderId="234" xfId="0" applyNumberFormat="1" applyFont="1" applyFill="1" applyBorder="1" applyAlignment="1">
      <alignment vertical="center" shrinkToFit="1"/>
    </xf>
    <xf numFmtId="0" fontId="8" fillId="0" borderId="86" xfId="2" applyFont="1" applyBorder="1" applyAlignment="1">
      <alignment vertical="top" wrapText="1"/>
    </xf>
    <xf numFmtId="0" fontId="8" fillId="0" borderId="16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86" xfId="2" applyFont="1" applyBorder="1" applyAlignment="1">
      <alignment horizontal="center" vertical="center" wrapText="1"/>
    </xf>
    <xf numFmtId="0" fontId="1" fillId="0" borderId="139" xfId="2" applyFont="1" applyBorder="1" applyAlignment="1">
      <alignment horizontal="center" vertical="center" wrapText="1"/>
    </xf>
    <xf numFmtId="0" fontId="1" fillId="0" borderId="142" xfId="2" applyFont="1" applyBorder="1" applyAlignment="1">
      <alignment horizontal="center" vertical="center" wrapText="1"/>
    </xf>
    <xf numFmtId="0" fontId="1" fillId="0" borderId="195" xfId="2" applyFont="1" applyBorder="1" applyAlignment="1">
      <alignment horizontal="center" vertical="center" wrapText="1"/>
    </xf>
    <xf numFmtId="0" fontId="1" fillId="0" borderId="196" xfId="2" applyFont="1" applyBorder="1" applyAlignment="1">
      <alignment horizontal="center" vertical="center" wrapText="1"/>
    </xf>
    <xf numFmtId="0" fontId="1" fillId="0" borderId="143" xfId="2" applyFont="1" applyBorder="1" applyAlignment="1">
      <alignment horizontal="center" vertical="center" wrapText="1"/>
    </xf>
    <xf numFmtId="0" fontId="8" fillId="0" borderId="237" xfId="2" applyFont="1" applyBorder="1" applyAlignment="1">
      <alignment horizontal="center" vertical="center" wrapText="1"/>
    </xf>
    <xf numFmtId="0" fontId="1" fillId="0" borderId="235" xfId="2" applyFont="1" applyBorder="1" applyAlignment="1">
      <alignment horizontal="center" vertical="center" wrapText="1"/>
    </xf>
    <xf numFmtId="0" fontId="1" fillId="0" borderId="236" xfId="2" applyFont="1" applyBorder="1" applyAlignment="1">
      <alignment horizontal="center" vertical="center" wrapText="1"/>
    </xf>
    <xf numFmtId="0" fontId="1" fillId="0" borderId="238" xfId="2" applyFont="1" applyBorder="1" applyAlignment="1">
      <alignment horizontal="center" vertical="center" wrapText="1"/>
    </xf>
    <xf numFmtId="0" fontId="1" fillId="0" borderId="239" xfId="2" applyFont="1" applyBorder="1" applyAlignment="1">
      <alignment horizontal="center" vertical="center" wrapText="1"/>
    </xf>
    <xf numFmtId="0" fontId="0" fillId="0" borderId="235" xfId="2" applyFont="1" applyBorder="1" applyAlignment="1">
      <alignment horizontal="center" vertical="center" wrapText="1"/>
    </xf>
    <xf numFmtId="0" fontId="1" fillId="0" borderId="240" xfId="2" applyFont="1" applyBorder="1" applyAlignment="1">
      <alignment horizontal="center" vertical="center" wrapText="1"/>
    </xf>
    <xf numFmtId="0" fontId="1" fillId="0" borderId="241" xfId="2" applyFont="1" applyBorder="1" applyAlignment="1">
      <alignment horizontal="center" vertical="center" wrapText="1"/>
    </xf>
    <xf numFmtId="0" fontId="8" fillId="0" borderId="243" xfId="2" applyFont="1" applyBorder="1" applyAlignment="1">
      <alignment horizontal="center" vertical="center" wrapText="1"/>
    </xf>
    <xf numFmtId="0" fontId="8" fillId="0" borderId="244" xfId="2" applyFont="1" applyBorder="1" applyAlignment="1">
      <alignment horizontal="center" vertical="center" wrapText="1"/>
    </xf>
    <xf numFmtId="0" fontId="8" fillId="0" borderId="245" xfId="2" applyFont="1" applyBorder="1" applyAlignment="1">
      <alignment vertical="top" wrapText="1"/>
    </xf>
    <xf numFmtId="0" fontId="8" fillId="0" borderId="245" xfId="2" applyFont="1" applyBorder="1" applyAlignment="1">
      <alignment horizontal="center" vertical="center" wrapText="1"/>
    </xf>
    <xf numFmtId="0" fontId="8" fillId="0" borderId="245" xfId="2" applyFont="1" applyBorder="1" applyAlignment="1">
      <alignment vertical="center" wrapText="1"/>
    </xf>
    <xf numFmtId="0" fontId="8" fillId="0" borderId="246" xfId="2" applyFont="1" applyBorder="1" applyAlignment="1">
      <alignment horizontal="left" vertical="top" wrapText="1"/>
    </xf>
    <xf numFmtId="0" fontId="0" fillId="0" borderId="246" xfId="2" applyFont="1" applyBorder="1" applyAlignment="1">
      <alignment horizontal="left" vertical="top" wrapText="1"/>
    </xf>
    <xf numFmtId="0" fontId="0" fillId="0" borderId="234" xfId="2" applyFont="1" applyBorder="1" applyAlignment="1">
      <alignment horizontal="left" vertical="top" wrapText="1"/>
    </xf>
    <xf numFmtId="177" fontId="0" fillId="0" borderId="139" xfId="0" applyNumberFormat="1" applyFill="1" applyBorder="1" applyAlignment="1">
      <alignment horizontal="right" vertical="center"/>
    </xf>
    <xf numFmtId="182" fontId="0" fillId="0" borderId="142" xfId="0" applyNumberFormat="1" applyFont="1" applyFill="1" applyBorder="1" applyAlignment="1">
      <alignment horizontal="left" vertical="center"/>
    </xf>
    <xf numFmtId="177" fontId="0" fillId="0" borderId="13" xfId="0" applyNumberFormat="1" applyFont="1" applyFill="1" applyBorder="1" applyAlignment="1">
      <alignment vertical="center"/>
    </xf>
    <xf numFmtId="0" fontId="0" fillId="0" borderId="86" xfId="2" applyFont="1" applyBorder="1" applyAlignment="1">
      <alignment horizontal="left" vertical="center" wrapText="1"/>
    </xf>
    <xf numFmtId="0" fontId="1" fillId="0" borderId="86" xfId="2" applyFont="1" applyBorder="1" applyAlignment="1">
      <alignment horizontal="left" vertical="center" wrapText="1"/>
    </xf>
    <xf numFmtId="0" fontId="1" fillId="0" borderId="245" xfId="2" applyFont="1" applyBorder="1" applyAlignment="1">
      <alignment horizontal="left" vertical="center" wrapText="1"/>
    </xf>
    <xf numFmtId="0" fontId="8" fillId="0" borderId="224" xfId="0" applyFont="1" applyBorder="1" applyAlignment="1">
      <alignment horizontal="center" vertical="center" shrinkToFit="1"/>
    </xf>
    <xf numFmtId="0" fontId="8" fillId="0" borderId="225" xfId="0" applyFont="1" applyBorder="1" applyAlignment="1">
      <alignment horizontal="center" vertical="center" shrinkToFit="1"/>
    </xf>
    <xf numFmtId="0" fontId="8" fillId="0" borderId="164" xfId="0" applyFont="1" applyBorder="1" applyAlignment="1">
      <alignment horizontal="center" vertical="center" shrinkToFit="1"/>
    </xf>
    <xf numFmtId="0" fontId="8" fillId="0" borderId="167" xfId="0" applyFont="1" applyBorder="1" applyAlignment="1">
      <alignment horizontal="center" vertical="center" shrinkToFit="1"/>
    </xf>
    <xf numFmtId="0" fontId="8" fillId="0" borderId="165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wrapText="1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0" fillId="0" borderId="47" xfId="2" applyFont="1" applyBorder="1" applyAlignment="1">
      <alignment vertical="center" wrapText="1"/>
    </xf>
    <xf numFmtId="0" fontId="1" fillId="0" borderId="47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96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2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39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61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0" fillId="0" borderId="33" xfId="2" applyFont="1" applyBorder="1" applyAlignment="1">
      <alignment vertical="center" wrapText="1"/>
    </xf>
    <xf numFmtId="0" fontId="1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1" fillId="0" borderId="92" xfId="2" applyFont="1" applyBorder="1" applyAlignment="1">
      <alignment horizontal="center" vertical="center"/>
    </xf>
    <xf numFmtId="0" fontId="1" fillId="0" borderId="93" xfId="2" applyFont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1" fillId="0" borderId="95" xfId="2" applyFont="1" applyBorder="1" applyAlignment="1">
      <alignment horizontal="center" vertical="center"/>
    </xf>
    <xf numFmtId="0" fontId="0" fillId="0" borderId="48" xfId="2" applyFont="1" applyBorder="1" applyAlignment="1">
      <alignment vertical="center" wrapText="1"/>
    </xf>
    <xf numFmtId="0" fontId="1" fillId="0" borderId="48" xfId="2" applyFont="1" applyBorder="1" applyAlignment="1">
      <alignment vertical="center" wrapText="1"/>
    </xf>
    <xf numFmtId="0" fontId="1" fillId="0" borderId="64" xfId="2" applyFont="1" applyBorder="1" applyAlignment="1">
      <alignment vertical="center" wrapText="1"/>
    </xf>
    <xf numFmtId="0" fontId="8" fillId="0" borderId="58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235" xfId="2" applyFont="1" applyBorder="1" applyAlignment="1">
      <alignment horizontal="left" vertical="center" indent="1" shrinkToFit="1"/>
    </xf>
    <xf numFmtId="0" fontId="8" fillId="0" borderId="236" xfId="2" applyFont="1" applyBorder="1" applyAlignment="1">
      <alignment horizontal="left" vertical="center" indent="1" shrinkToFit="1"/>
    </xf>
    <xf numFmtId="0" fontId="8" fillId="0" borderId="139" xfId="2" applyFont="1" applyBorder="1" applyAlignment="1">
      <alignment horizontal="left" vertical="center" indent="1" shrinkToFit="1"/>
    </xf>
    <xf numFmtId="0" fontId="8" fillId="0" borderId="142" xfId="2" applyFont="1" applyBorder="1" applyAlignment="1">
      <alignment horizontal="left" vertical="center" indent="1" shrinkToFit="1"/>
    </xf>
    <xf numFmtId="0" fontId="8" fillId="0" borderId="114" xfId="2" applyFont="1" applyBorder="1" applyAlignment="1">
      <alignment horizontal="left" vertical="center" indent="1" shrinkToFi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8" fillId="0" borderId="5" xfId="2" applyFont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1" fillId="0" borderId="140" xfId="2" applyFont="1" applyBorder="1" applyAlignment="1">
      <alignment horizontal="left" vertical="center" wrapText="1"/>
    </xf>
    <xf numFmtId="0" fontId="1" fillId="0" borderId="106" xfId="2" applyFont="1" applyBorder="1" applyAlignment="1">
      <alignment horizontal="left" vertical="center" wrapText="1"/>
    </xf>
    <xf numFmtId="0" fontId="1" fillId="0" borderId="208" xfId="2" applyFont="1" applyBorder="1" applyAlignment="1">
      <alignment horizontal="left" vertical="center" wrapText="1"/>
    </xf>
    <xf numFmtId="0" fontId="8" fillId="0" borderId="106" xfId="2" applyFont="1" applyBorder="1" applyAlignment="1">
      <alignment horizontal="center" vertical="center" wrapText="1"/>
    </xf>
    <xf numFmtId="0" fontId="8" fillId="0" borderId="181" xfId="2" applyFont="1" applyBorder="1" applyAlignment="1">
      <alignment horizontal="center" vertical="center" wrapText="1"/>
    </xf>
    <xf numFmtId="0" fontId="8" fillId="0" borderId="139" xfId="2" applyFont="1" applyBorder="1" applyAlignment="1">
      <alignment horizontal="center" vertical="center" wrapText="1"/>
    </xf>
    <xf numFmtId="0" fontId="8" fillId="0" borderId="142" xfId="2" applyFont="1" applyBorder="1" applyAlignment="1">
      <alignment horizontal="center" vertical="center" wrapText="1"/>
    </xf>
    <xf numFmtId="0" fontId="8" fillId="0" borderId="114" xfId="2" applyFont="1" applyBorder="1" applyAlignment="1">
      <alignment horizontal="center" vertical="center" wrapText="1"/>
    </xf>
    <xf numFmtId="0" fontId="8" fillId="0" borderId="196" xfId="2" applyFont="1" applyBorder="1" applyAlignment="1">
      <alignment horizontal="center" vertical="center" wrapText="1"/>
    </xf>
    <xf numFmtId="0" fontId="8" fillId="0" borderId="195" xfId="2" applyFont="1" applyBorder="1" applyAlignment="1">
      <alignment horizontal="center" vertical="center" wrapText="1"/>
    </xf>
    <xf numFmtId="0" fontId="8" fillId="0" borderId="140" xfId="2" applyFont="1" applyBorder="1" applyAlignment="1">
      <alignment horizontal="center" vertical="center" wrapText="1"/>
    </xf>
    <xf numFmtId="0" fontId="8" fillId="0" borderId="154" xfId="2" applyFont="1" applyBorder="1" applyAlignment="1">
      <alignment vertical="center" wrapText="1"/>
    </xf>
    <xf numFmtId="0" fontId="8" fillId="0" borderId="161" xfId="2" applyFont="1" applyBorder="1" applyAlignment="1">
      <alignment vertical="center" wrapText="1"/>
    </xf>
    <xf numFmtId="0" fontId="8" fillId="0" borderId="154" xfId="2" applyFont="1" applyBorder="1" applyAlignment="1">
      <alignment horizontal="center" vertical="center" wrapText="1"/>
    </xf>
    <xf numFmtId="0" fontId="8" fillId="0" borderId="161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202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1" fillId="0" borderId="86" xfId="2" applyFont="1" applyBorder="1" applyAlignment="1">
      <alignment horizontal="center" vertical="center" wrapText="1"/>
    </xf>
    <xf numFmtId="0" fontId="1" fillId="0" borderId="154" xfId="2" applyFont="1" applyBorder="1" applyAlignment="1">
      <alignment horizontal="center" vertical="center" wrapText="1"/>
    </xf>
    <xf numFmtId="0" fontId="8" fillId="0" borderId="206" xfId="2" applyFont="1" applyBorder="1" applyAlignment="1">
      <alignment horizontal="center" vertical="center" wrapText="1"/>
    </xf>
    <xf numFmtId="0" fontId="8" fillId="0" borderId="207" xfId="2" applyFont="1" applyBorder="1" applyAlignment="1">
      <alignment horizontal="center" vertical="center" wrapText="1"/>
    </xf>
    <xf numFmtId="0" fontId="0" fillId="0" borderId="207" xfId="2" applyFont="1" applyBorder="1" applyAlignment="1">
      <alignment horizontal="center" vertical="center" wrapText="1"/>
    </xf>
    <xf numFmtId="0" fontId="1" fillId="0" borderId="207" xfId="2" applyFont="1" applyBorder="1" applyAlignment="1">
      <alignment horizontal="center" vertical="center" wrapText="1"/>
    </xf>
    <xf numFmtId="0" fontId="1" fillId="0" borderId="140" xfId="2" applyFont="1" applyBorder="1" applyAlignment="1">
      <alignment horizontal="center" vertical="center" wrapText="1"/>
    </xf>
    <xf numFmtId="0" fontId="8" fillId="0" borderId="140" xfId="2" applyFont="1" applyBorder="1" applyAlignment="1">
      <alignment vertical="center" wrapText="1"/>
    </xf>
    <xf numFmtId="0" fontId="8" fillId="0" borderId="106" xfId="2" applyFont="1" applyBorder="1" applyAlignment="1">
      <alignment vertical="center" wrapText="1"/>
    </xf>
    <xf numFmtId="0" fontId="8" fillId="0" borderId="56" xfId="2" applyFont="1" applyBorder="1" applyAlignment="1">
      <alignment horizontal="center" vertical="center" textRotation="255" shrinkToFit="1"/>
    </xf>
    <xf numFmtId="0" fontId="8" fillId="0" borderId="78" xfId="2" applyFont="1" applyBorder="1" applyAlignment="1">
      <alignment horizontal="center" vertical="center" textRotation="255" shrinkToFi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54" xfId="2" applyFont="1" applyBorder="1" applyAlignment="1">
      <alignment horizontal="left" vertical="center" wrapText="1"/>
    </xf>
    <xf numFmtId="0" fontId="1" fillId="0" borderId="161" xfId="2" applyFont="1" applyBorder="1" applyAlignment="1">
      <alignment horizontal="left" vertical="center" wrapText="1"/>
    </xf>
    <xf numFmtId="0" fontId="1" fillId="0" borderId="50" xfId="2" applyFont="1" applyBorder="1" applyAlignment="1">
      <alignment horizontal="left" vertical="center" wrapText="1"/>
    </xf>
    <xf numFmtId="0" fontId="8" fillId="0" borderId="203" xfId="2" applyFont="1" applyBorder="1" applyAlignment="1">
      <alignment horizontal="center" vertical="center" wrapText="1"/>
    </xf>
    <xf numFmtId="0" fontId="8" fillId="0" borderId="197" xfId="2" applyFont="1" applyBorder="1" applyAlignment="1">
      <alignment horizontal="center" vertical="center" wrapText="1"/>
    </xf>
    <xf numFmtId="0" fontId="8" fillId="0" borderId="198" xfId="2" applyFont="1" applyBorder="1" applyAlignment="1">
      <alignment horizontal="center" vertical="center" wrapText="1"/>
    </xf>
    <xf numFmtId="0" fontId="8" fillId="0" borderId="199" xfId="2" applyFont="1" applyBorder="1" applyAlignment="1">
      <alignment horizontal="center" vertical="center" wrapText="1"/>
    </xf>
    <xf numFmtId="0" fontId="8" fillId="0" borderId="200" xfId="2" applyFont="1" applyBorder="1" applyAlignment="1">
      <alignment horizontal="center" vertical="center" wrapText="1"/>
    </xf>
    <xf numFmtId="0" fontId="8" fillId="0" borderId="20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205" xfId="2" applyFont="1" applyBorder="1" applyAlignment="1">
      <alignment horizontal="center" vertical="center" wrapText="1"/>
    </xf>
    <xf numFmtId="0" fontId="8" fillId="0" borderId="204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3" xfId="2" applyFont="1" applyBorder="1" applyAlignment="1">
      <alignment horizontal="center" vertical="center" wrapText="1"/>
    </xf>
    <xf numFmtId="0" fontId="8" fillId="0" borderId="202" xfId="2" applyFont="1" applyBorder="1" applyAlignment="1">
      <alignment horizontal="center" vertical="center" textRotation="255" wrapText="1"/>
    </xf>
    <xf numFmtId="0" fontId="8" fillId="0" borderId="242" xfId="2" applyFont="1" applyBorder="1" applyAlignment="1">
      <alignment horizontal="center" vertical="center" wrapText="1"/>
    </xf>
    <xf numFmtId="0" fontId="8" fillId="0" borderId="243" xfId="2" applyFont="1" applyBorder="1" applyAlignment="1">
      <alignment horizontal="center" vertical="center" wrapText="1"/>
    </xf>
    <xf numFmtId="0" fontId="1" fillId="0" borderId="231" xfId="2" applyFont="1" applyBorder="1" applyAlignment="1">
      <alignment horizontal="center" vertical="center"/>
    </xf>
    <xf numFmtId="0" fontId="1" fillId="0" borderId="232" xfId="2" applyFont="1" applyBorder="1" applyAlignment="1">
      <alignment horizontal="center" vertical="center"/>
    </xf>
    <xf numFmtId="0" fontId="1" fillId="0" borderId="215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05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06" xfId="0" applyFont="1" applyBorder="1" applyAlignment="1">
      <alignment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0" borderId="153" xfId="0" applyFont="1" applyBorder="1" applyAlignment="1">
      <alignment vertical="center"/>
    </xf>
    <xf numFmtId="0" fontId="0" fillId="0" borderId="128" xfId="0" applyFont="1" applyBorder="1" applyAlignment="1">
      <alignment vertical="center"/>
    </xf>
    <xf numFmtId="0" fontId="0" fillId="0" borderId="153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186" xfId="0" applyFont="1" applyFill="1" applyBorder="1" applyAlignment="1">
      <alignment horizontal="center" vertical="center"/>
    </xf>
    <xf numFmtId="0" fontId="0" fillId="3" borderId="115" xfId="0" applyFont="1" applyFill="1" applyBorder="1" applyAlignment="1">
      <alignment horizontal="center" vertical="center"/>
    </xf>
    <xf numFmtId="0" fontId="0" fillId="3" borderId="187" xfId="0" applyFont="1" applyFill="1" applyBorder="1" applyAlignment="1">
      <alignment horizontal="center" vertical="center"/>
    </xf>
    <xf numFmtId="0" fontId="0" fillId="3" borderId="43" xfId="0" applyFont="1" applyFill="1" applyBorder="1" applyAlignment="1">
      <alignment horizontal="center" vertical="center"/>
    </xf>
    <xf numFmtId="0" fontId="0" fillId="3" borderId="188" xfId="0" applyFont="1" applyFill="1" applyBorder="1" applyAlignment="1">
      <alignment horizontal="center" vertical="center"/>
    </xf>
    <xf numFmtId="0" fontId="0" fillId="3" borderId="189" xfId="0" applyFont="1" applyFill="1" applyBorder="1" applyAlignment="1">
      <alignment horizontal="center" vertical="center"/>
    </xf>
    <xf numFmtId="181" fontId="0" fillId="0" borderId="32" xfId="0" applyNumberFormat="1" applyFont="1" applyBorder="1" applyAlignment="1">
      <alignment vertical="center"/>
    </xf>
    <xf numFmtId="181" fontId="0" fillId="0" borderId="38" xfId="0" applyNumberFormat="1" applyFont="1" applyBorder="1" applyAlignment="1">
      <alignment vertical="center"/>
    </xf>
    <xf numFmtId="181" fontId="0" fillId="0" borderId="185" xfId="0" applyNumberFormat="1" applyFont="1" applyBorder="1" applyAlignment="1">
      <alignment vertical="center"/>
    </xf>
    <xf numFmtId="0" fontId="0" fillId="7" borderId="103" xfId="0" applyFont="1" applyFill="1" applyBorder="1" applyAlignment="1">
      <alignment horizontal="center" vertical="center"/>
    </xf>
    <xf numFmtId="0" fontId="0" fillId="7" borderId="42" xfId="0" applyFont="1" applyFill="1" applyBorder="1" applyAlignment="1">
      <alignment horizontal="center" vertical="center"/>
    </xf>
    <xf numFmtId="0" fontId="0" fillId="0" borderId="153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128" xfId="0" applyFont="1" applyFill="1" applyBorder="1" applyAlignment="1">
      <alignment vertical="center"/>
    </xf>
    <xf numFmtId="0" fontId="0" fillId="4" borderId="5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180" fontId="0" fillId="0" borderId="179" xfId="1" applyNumberFormat="1" applyFont="1" applyBorder="1" applyAlignment="1">
      <alignment horizontal="center" vertical="center"/>
    </xf>
    <xf numFmtId="180" fontId="0" fillId="0" borderId="105" xfId="1" applyNumberFormat="1" applyFont="1" applyBorder="1" applyAlignment="1">
      <alignment horizontal="center" vertical="center"/>
    </xf>
    <xf numFmtId="180" fontId="0" fillId="0" borderId="180" xfId="1" applyNumberFormat="1" applyFont="1" applyBorder="1" applyAlignment="1">
      <alignment horizontal="center" vertical="center"/>
    </xf>
    <xf numFmtId="180" fontId="0" fillId="0" borderId="135" xfId="1" applyNumberFormat="1" applyFont="1" applyBorder="1" applyAlignment="1">
      <alignment horizontal="center" vertical="center"/>
    </xf>
    <xf numFmtId="180" fontId="0" fillId="0" borderId="106" xfId="1" applyNumberFormat="1" applyFont="1" applyBorder="1" applyAlignment="1">
      <alignment horizontal="center" vertical="center"/>
    </xf>
    <xf numFmtId="180" fontId="0" fillId="0" borderId="181" xfId="1" applyNumberFormat="1" applyFont="1" applyBorder="1" applyAlignment="1">
      <alignment horizontal="center" vertical="center"/>
    </xf>
    <xf numFmtId="181" fontId="0" fillId="0" borderId="182" xfId="0" applyNumberFormat="1" applyFont="1" applyBorder="1" applyAlignment="1">
      <alignment vertical="center"/>
    </xf>
    <xf numFmtId="181" fontId="0" fillId="0" borderId="183" xfId="0" applyNumberFormat="1" applyFont="1" applyBorder="1" applyAlignment="1">
      <alignment vertical="center"/>
    </xf>
    <xf numFmtId="181" fontId="0" fillId="0" borderId="184" xfId="0" applyNumberFormat="1" applyFont="1" applyBorder="1" applyAlignment="1">
      <alignment vertical="center"/>
    </xf>
    <xf numFmtId="181" fontId="0" fillId="0" borderId="45" xfId="0" applyNumberFormat="1" applyFont="1" applyBorder="1" applyAlignment="1">
      <alignment vertical="center"/>
    </xf>
    <xf numFmtId="181" fontId="0" fillId="0" borderId="46" xfId="0" applyNumberFormat="1" applyFont="1" applyBorder="1" applyAlignment="1">
      <alignment vertical="center"/>
    </xf>
    <xf numFmtId="181" fontId="0" fillId="0" borderId="190" xfId="0" applyNumberFormat="1" applyFont="1" applyBorder="1" applyAlignment="1">
      <alignment vertical="center"/>
    </xf>
    <xf numFmtId="0" fontId="0" fillId="0" borderId="146" xfId="0" applyFont="1" applyBorder="1" applyAlignment="1">
      <alignment horizontal="center" vertical="center" textRotation="255"/>
    </xf>
    <xf numFmtId="0" fontId="0" fillId="0" borderId="103" xfId="0" applyFont="1" applyBorder="1" applyAlignment="1">
      <alignment horizontal="center" vertical="center" textRotation="255"/>
    </xf>
    <xf numFmtId="0" fontId="0" fillId="3" borderId="97" xfId="0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/>
    </xf>
    <xf numFmtId="0" fontId="0" fillId="3" borderId="96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3" xfId="0" applyFont="1" applyFill="1" applyBorder="1" applyAlignment="1">
      <alignment horizontal="center" vertical="center" textRotation="255" wrapText="1"/>
    </xf>
    <xf numFmtId="0" fontId="0" fillId="4" borderId="42" xfId="0" applyFont="1" applyFill="1" applyBorder="1" applyAlignment="1">
      <alignment horizontal="center" vertical="center" textRotation="255" wrapText="1"/>
    </xf>
    <xf numFmtId="0" fontId="0" fillId="4" borderId="128" xfId="0" applyFont="1" applyFill="1" applyBorder="1" applyAlignment="1">
      <alignment horizontal="center" vertical="center" textRotation="255" wrapText="1"/>
    </xf>
    <xf numFmtId="0" fontId="0" fillId="4" borderId="153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176" fontId="0" fillId="0" borderId="177" xfId="0" applyNumberFormat="1" applyBorder="1" applyAlignment="1">
      <alignment horizontal="center" vertical="center"/>
    </xf>
    <xf numFmtId="176" fontId="0" fillId="0" borderId="123" xfId="0" applyNumberFormat="1" applyBorder="1" applyAlignment="1">
      <alignment horizontal="center" vertical="center"/>
    </xf>
    <xf numFmtId="176" fontId="0" fillId="0" borderId="81" xfId="0" applyNumberFormat="1" applyBorder="1" applyAlignment="1">
      <alignment horizontal="center" vertical="center"/>
    </xf>
    <xf numFmtId="176" fontId="0" fillId="0" borderId="8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65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4" xfId="0" applyNumberFormat="1" applyFont="1" applyBorder="1" applyAlignment="1">
      <alignment horizontal="center" vertical="center"/>
    </xf>
    <xf numFmtId="176" fontId="0" fillId="0" borderId="136" xfId="0" applyNumberFormat="1" applyFont="1" applyBorder="1" applyAlignment="1">
      <alignment horizontal="center" vertical="center"/>
    </xf>
    <xf numFmtId="176" fontId="0" fillId="0" borderId="113" xfId="0" applyNumberFormat="1" applyFont="1" applyBorder="1" applyAlignment="1">
      <alignment horizontal="center" vertical="center"/>
    </xf>
    <xf numFmtId="176" fontId="0" fillId="0" borderId="172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75" xfId="0" applyNumberFormat="1" applyBorder="1" applyAlignment="1">
      <alignment horizontal="center" vertical="center"/>
    </xf>
    <xf numFmtId="176" fontId="0" fillId="0" borderId="216" xfId="0" applyNumberFormat="1" applyFont="1" applyBorder="1" applyAlignment="1">
      <alignment horizontal="center" vertical="center"/>
    </xf>
    <xf numFmtId="176" fontId="0" fillId="0" borderId="217" xfId="0" applyNumberFormat="1" applyFont="1" applyBorder="1" applyAlignment="1">
      <alignment horizontal="center" vertical="center"/>
    </xf>
    <xf numFmtId="176" fontId="0" fillId="0" borderId="168" xfId="0" applyNumberFormat="1" applyFont="1" applyBorder="1" applyAlignment="1">
      <alignment horizontal="center" vertical="center"/>
    </xf>
    <xf numFmtId="176" fontId="0" fillId="0" borderId="169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215" xfId="0" applyNumberFormat="1" applyFont="1" applyBorder="1" applyAlignment="1">
      <alignment horizontal="left" vertical="center" indent="1"/>
    </xf>
    <xf numFmtId="176" fontId="0" fillId="0" borderId="50" xfId="0" applyNumberFormat="1" applyFont="1" applyBorder="1" applyAlignment="1">
      <alignment horizontal="left" vertical="center" indent="1"/>
    </xf>
    <xf numFmtId="176" fontId="0" fillId="0" borderId="215" xfId="0" applyNumberFormat="1" applyFont="1" applyBorder="1" applyAlignment="1">
      <alignment horizontal="center" vertical="center"/>
    </xf>
    <xf numFmtId="176" fontId="0" fillId="0" borderId="50" xfId="0" applyNumberFormat="1" applyFont="1" applyBorder="1" applyAlignment="1">
      <alignment horizontal="center" vertical="center"/>
    </xf>
    <xf numFmtId="176" fontId="0" fillId="0" borderId="213" xfId="0" applyNumberFormat="1" applyFont="1" applyBorder="1" applyAlignment="1">
      <alignment horizontal="center" vertical="center"/>
    </xf>
    <xf numFmtId="176" fontId="0" fillId="0" borderId="187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0" fillId="0" borderId="211" xfId="0" applyNumberFormat="1" applyFont="1" applyBorder="1" applyAlignment="1">
      <alignment horizontal="center" vertical="center"/>
    </xf>
    <xf numFmtId="176" fontId="0" fillId="0" borderId="199" xfId="0" applyNumberFormat="1" applyFont="1" applyBorder="1" applyAlignment="1">
      <alignment horizontal="center" vertical="center"/>
    </xf>
    <xf numFmtId="176" fontId="0" fillId="0" borderId="198" xfId="0" applyNumberFormat="1" applyFont="1" applyBorder="1" applyAlignment="1">
      <alignment horizontal="center" vertical="center"/>
    </xf>
    <xf numFmtId="176" fontId="0" fillId="0" borderId="200" xfId="0" applyNumberFormat="1" applyFont="1" applyBorder="1" applyAlignment="1">
      <alignment horizontal="center" vertical="center"/>
    </xf>
    <xf numFmtId="176" fontId="0" fillId="0" borderId="210" xfId="0" applyNumberFormat="1" applyFont="1" applyBorder="1" applyAlignment="1">
      <alignment horizontal="center" vertical="center"/>
    </xf>
    <xf numFmtId="176" fontId="0" fillId="0" borderId="212" xfId="0" applyNumberFormat="1" applyFont="1" applyBorder="1" applyAlignment="1">
      <alignment horizontal="center" vertical="center"/>
    </xf>
    <xf numFmtId="176" fontId="0" fillId="0" borderId="186" xfId="0" applyNumberFormat="1" applyFont="1" applyBorder="1" applyAlignment="1">
      <alignment horizontal="center" vertical="center"/>
    </xf>
    <xf numFmtId="176" fontId="0" fillId="0" borderId="209" xfId="0" applyNumberFormat="1" applyFont="1" applyBorder="1" applyAlignment="1">
      <alignment horizontal="center" vertical="center"/>
    </xf>
    <xf numFmtId="176" fontId="0" fillId="0" borderId="118" xfId="0" applyNumberFormat="1" applyFont="1" applyBorder="1" applyAlignment="1">
      <alignment horizontal="center" vertical="center" shrinkToFit="1"/>
    </xf>
    <xf numFmtId="176" fontId="0" fillId="0" borderId="83" xfId="0" applyNumberFormat="1" applyFont="1" applyBorder="1" applyAlignment="1">
      <alignment horizontal="center" vertical="center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78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7" xfId="0" applyNumberFormat="1" applyFont="1" applyBorder="1" applyAlignment="1">
      <alignment horizontal="center" vertical="center" shrinkToFit="1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70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177" fontId="0" fillId="0" borderId="56" xfId="0" applyNumberFormat="1" applyBorder="1" applyAlignment="1">
      <alignment horizontal="center" vertical="center" textRotation="255" shrinkToFit="1"/>
    </xf>
    <xf numFmtId="177" fontId="0" fillId="0" borderId="31" xfId="0" applyNumberFormat="1" applyBorder="1" applyAlignment="1">
      <alignment horizontal="center" vertical="center" textRotation="255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7" xfId="0" applyNumberFormat="1" applyFont="1" applyFill="1" applyBorder="1" applyAlignment="1">
      <alignment horizontal="center" vertical="center"/>
    </xf>
    <xf numFmtId="177" fontId="0" fillId="0" borderId="122" xfId="0" applyNumberFormat="1" applyFont="1" applyBorder="1" applyAlignment="1">
      <alignment vertical="center"/>
    </xf>
    <xf numFmtId="177" fontId="0" fillId="0" borderId="130" xfId="0" applyNumberFormat="1" applyFont="1" applyBorder="1" applyAlignment="1">
      <alignment vertical="center"/>
    </xf>
    <xf numFmtId="177" fontId="0" fillId="0" borderId="144" xfId="0" applyNumberFormat="1" applyFont="1" applyBorder="1" applyAlignment="1">
      <alignment vertical="center"/>
    </xf>
    <xf numFmtId="177" fontId="0" fillId="2" borderId="108" xfId="0" applyNumberFormat="1" applyFont="1" applyFill="1" applyBorder="1" applyAlignment="1">
      <alignment horizontal="right" vertical="center" shrinkToFit="1"/>
    </xf>
    <xf numFmtId="177" fontId="0" fillId="2" borderId="223" xfId="0" applyNumberFormat="1" applyFont="1" applyFill="1" applyBorder="1" applyAlignment="1">
      <alignment horizontal="right" vertical="center" shrinkToFit="1"/>
    </xf>
    <xf numFmtId="177" fontId="0" fillId="0" borderId="139" xfId="0" applyNumberFormat="1" applyFont="1" applyFill="1" applyBorder="1" applyAlignment="1">
      <alignment horizontal="center" vertical="center" shrinkToFit="1"/>
    </xf>
    <xf numFmtId="177" fontId="0" fillId="0" borderId="142" xfId="0" applyNumberFormat="1" applyFont="1" applyFill="1" applyBorder="1" applyAlignment="1">
      <alignment horizontal="center" vertical="center" shrinkToFit="1"/>
    </xf>
    <xf numFmtId="177" fontId="0" fillId="0" borderId="143" xfId="0" applyNumberFormat="1" applyFont="1" applyFill="1" applyBorder="1" applyAlignment="1">
      <alignment horizontal="center" vertical="center" shrinkToFit="1"/>
    </xf>
    <xf numFmtId="177" fontId="0" fillId="0" borderId="86" xfId="0" applyNumberFormat="1" applyFill="1" applyBorder="1" applyAlignment="1">
      <alignment vertical="center"/>
    </xf>
    <xf numFmtId="0" fontId="0" fillId="0" borderId="86" xfId="0" applyFont="1" applyFill="1" applyBorder="1" applyAlignment="1">
      <alignment vertical="center"/>
    </xf>
    <xf numFmtId="0" fontId="0" fillId="0" borderId="73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4" xfId="0" applyNumberFormat="1" applyFont="1" applyFill="1" applyBorder="1" applyAlignment="1">
      <alignment vertical="center" shrinkToFit="1"/>
    </xf>
    <xf numFmtId="177" fontId="0" fillId="0" borderId="162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4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54" xfId="0" applyNumberFormat="1" applyFill="1" applyBorder="1" applyAlignment="1">
      <alignment horizontal="left" vertical="center" shrinkToFit="1"/>
    </xf>
    <xf numFmtId="177" fontId="0" fillId="0" borderId="161" xfId="0" applyNumberFormat="1" applyFill="1" applyBorder="1" applyAlignment="1">
      <alignment horizontal="left" vertical="center" shrinkToFit="1"/>
    </xf>
    <xf numFmtId="177" fontId="0" fillId="0" borderId="162" xfId="0" applyNumberFormat="1" applyFill="1" applyBorder="1" applyAlignment="1">
      <alignment horizontal="left" vertical="center" shrinkToFit="1"/>
    </xf>
    <xf numFmtId="177" fontId="0" fillId="0" borderId="154" xfId="0" applyNumberFormat="1" applyFill="1" applyBorder="1" applyAlignment="1">
      <alignment horizontal="left" vertical="center"/>
    </xf>
    <xf numFmtId="177" fontId="0" fillId="0" borderId="161" xfId="0" applyNumberFormat="1" applyFill="1" applyBorder="1" applyAlignment="1">
      <alignment horizontal="left" vertical="center"/>
    </xf>
    <xf numFmtId="177" fontId="0" fillId="0" borderId="162" xfId="0" applyNumberFormat="1" applyFill="1" applyBorder="1" applyAlignment="1">
      <alignment horizontal="left" vertical="center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6" borderId="45" xfId="0" applyFill="1" applyBorder="1" applyAlignment="1">
      <alignment horizontal="left" vertical="center"/>
    </xf>
    <xf numFmtId="0" fontId="0" fillId="6" borderId="61" xfId="0" applyFont="1" applyFill="1" applyBorder="1" applyAlignment="1">
      <alignment horizontal="left" vertical="center"/>
    </xf>
    <xf numFmtId="177" fontId="0" fillId="2" borderId="133" xfId="0" applyNumberFormat="1" applyFill="1" applyBorder="1" applyAlignment="1">
      <alignment horizontal="center" vertical="center" shrinkToFit="1"/>
    </xf>
    <xf numFmtId="177" fontId="0" fillId="2" borderId="134" xfId="0" applyNumberFormat="1" applyFill="1" applyBorder="1" applyAlignment="1">
      <alignment horizontal="center" vertical="center" shrinkToFit="1"/>
    </xf>
    <xf numFmtId="177" fontId="0" fillId="0" borderId="136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7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1" xfId="0" applyNumberFormat="1" applyFill="1" applyBorder="1" applyAlignment="1">
      <alignment horizontal="center" vertical="center" textRotation="255" shrinkToFit="1"/>
    </xf>
    <xf numFmtId="0" fontId="0" fillId="0" borderId="132" xfId="0" applyFill="1" applyBorder="1" applyAlignment="1">
      <alignment horizontal="center" vertical="center" textRotation="255" wrapText="1"/>
    </xf>
    <xf numFmtId="0" fontId="0" fillId="0" borderId="42" xfId="0" applyFill="1" applyBorder="1" applyAlignment="1">
      <alignment horizontal="center" vertical="center" textRotation="255" wrapText="1"/>
    </xf>
    <xf numFmtId="0" fontId="0" fillId="0" borderId="75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3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54" xfId="0" quotePrefix="1" applyNumberFormat="1" applyFont="1" applyFill="1" applyBorder="1" applyAlignment="1">
      <alignment horizontal="left" vertical="center"/>
    </xf>
    <xf numFmtId="177" fontId="0" fillId="0" borderId="161" xfId="0" applyNumberFormat="1" applyFont="1" applyFill="1" applyBorder="1" applyAlignment="1">
      <alignment horizontal="left" vertical="center"/>
    </xf>
    <xf numFmtId="177" fontId="0" fillId="0" borderId="162" xfId="0" applyNumberFormat="1" applyFont="1" applyFill="1" applyBorder="1" applyAlignment="1">
      <alignment horizontal="left" vertical="center"/>
    </xf>
    <xf numFmtId="177" fontId="0" fillId="0" borderId="154" xfId="0" applyNumberFormat="1" applyFont="1" applyFill="1" applyBorder="1" applyAlignment="1">
      <alignment horizontal="left" vertical="center"/>
    </xf>
    <xf numFmtId="177" fontId="0" fillId="2" borderId="155" xfId="0" applyNumberFormat="1" applyFont="1" applyFill="1" applyBorder="1" applyAlignment="1">
      <alignment horizontal="center" vertical="center" shrinkToFit="1"/>
    </xf>
    <xf numFmtId="177" fontId="0" fillId="2" borderId="156" xfId="0" applyNumberFormat="1" applyFont="1" applyFill="1" applyBorder="1" applyAlignment="1">
      <alignment horizontal="center" vertical="center" shrinkToFit="1"/>
    </xf>
    <xf numFmtId="3" fontId="0" fillId="0" borderId="52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28" xfId="5" applyNumberFormat="1" applyFont="1" applyFill="1" applyBorder="1" applyAlignment="1">
      <alignment horizontal="center" vertical="center" shrinkToFit="1"/>
    </xf>
    <xf numFmtId="177" fontId="0" fillId="0" borderId="159" xfId="3" applyNumberFormat="1" applyFont="1" applyBorder="1" applyAlignment="1">
      <alignment horizontal="center" vertical="center" shrinkToFit="1"/>
    </xf>
    <xf numFmtId="177" fontId="0" fillId="0" borderId="103" xfId="3" applyNumberFormat="1" applyFont="1" applyBorder="1" applyAlignment="1">
      <alignment horizontal="center" vertical="center" shrinkToFit="1"/>
    </xf>
    <xf numFmtId="177" fontId="0" fillId="0" borderId="160" xfId="3" applyNumberFormat="1" applyFont="1" applyBorder="1" applyAlignment="1">
      <alignment horizontal="center" vertical="center" shrinkToFit="1"/>
    </xf>
    <xf numFmtId="177" fontId="0" fillId="0" borderId="146" xfId="3" applyNumberFormat="1" applyFont="1" applyBorder="1" applyAlignment="1">
      <alignment horizontal="center" vertical="center" shrinkToFit="1"/>
    </xf>
    <xf numFmtId="177" fontId="0" fillId="0" borderId="152" xfId="3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0" xfId="0" applyNumberFormat="1" applyFont="1" applyBorder="1" applyAlignment="1">
      <alignment horizontal="center" vertical="center" shrinkToFit="1"/>
    </xf>
    <xf numFmtId="176" fontId="0" fillId="0" borderId="125" xfId="0" applyNumberFormat="1" applyFont="1" applyBorder="1" applyAlignment="1">
      <alignment horizontal="center" vertical="center" shrinkToFit="1"/>
    </xf>
    <xf numFmtId="176" fontId="0" fillId="0" borderId="128" xfId="0" applyNumberFormat="1" applyFont="1" applyBorder="1" applyAlignment="1">
      <alignment horizontal="center" vertical="center" shrinkToFit="1"/>
    </xf>
    <xf numFmtId="176" fontId="0" fillId="0" borderId="126" xfId="0" applyNumberFormat="1" applyFont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shrinkToFit="1"/>
    </xf>
    <xf numFmtId="176" fontId="0" fillId="0" borderId="104" xfId="0" applyNumberFormat="1" applyFont="1" applyBorder="1" applyAlignment="1">
      <alignment horizontal="center" vertical="center" textRotation="255" shrinkToFit="1"/>
    </xf>
    <xf numFmtId="176" fontId="0" fillId="0" borderId="127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38" xfId="0" applyNumberFormat="1" applyFont="1" applyBorder="1" applyAlignment="1">
      <alignment horizontal="center" vertical="center" textRotation="255" shrinkToFit="1"/>
    </xf>
    <xf numFmtId="176" fontId="0" fillId="0" borderId="119" xfId="0" applyNumberFormat="1" applyFont="1" applyBorder="1" applyAlignment="1">
      <alignment horizontal="center" vertical="center" textRotation="255" shrinkToFit="1"/>
    </xf>
    <xf numFmtId="176" fontId="0" fillId="0" borderId="124" xfId="0" applyNumberFormat="1" applyFont="1" applyBorder="1" applyAlignment="1">
      <alignment horizontal="center" vertical="center" textRotation="255" shrinkToFit="1"/>
    </xf>
    <xf numFmtId="176" fontId="0" fillId="0" borderId="31" xfId="0" applyNumberFormat="1" applyFont="1" applyBorder="1" applyAlignment="1">
      <alignment horizontal="center" vertical="center" textRotation="255" shrinkToFit="1"/>
    </xf>
    <xf numFmtId="177" fontId="0" fillId="2" borderId="122" xfId="0" applyNumberFormat="1" applyFont="1" applyFill="1" applyBorder="1" applyAlignment="1">
      <alignment horizontal="center" vertical="center" shrinkToFit="1"/>
    </xf>
    <xf numFmtId="177" fontId="0" fillId="2" borderId="82" xfId="0" applyNumberFormat="1" applyFont="1" applyFill="1" applyBorder="1" applyAlignment="1">
      <alignment horizontal="center" vertical="center" shrinkToFit="1"/>
    </xf>
    <xf numFmtId="177" fontId="0" fillId="2" borderId="231" xfId="0" applyNumberFormat="1" applyFont="1" applyFill="1" applyBorder="1" applyAlignment="1">
      <alignment horizontal="center" vertical="center" shrinkToFit="1"/>
    </xf>
    <xf numFmtId="177" fontId="0" fillId="2" borderId="232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146" xfId="3" applyNumberFormat="1" applyFont="1" applyBorder="1" applyAlignment="1">
      <alignment horizontal="center" vertical="center" textRotation="255" shrinkToFit="1"/>
    </xf>
    <xf numFmtId="0" fontId="0" fillId="0" borderId="103" xfId="0" applyFont="1" applyBorder="1">
      <alignment vertical="center"/>
    </xf>
    <xf numFmtId="0" fontId="0" fillId="0" borderId="152" xfId="0" applyFont="1" applyBorder="1">
      <alignment vertical="center"/>
    </xf>
    <xf numFmtId="176" fontId="0" fillId="2" borderId="51" xfId="0" applyNumberFormat="1" applyFont="1" applyFill="1" applyBorder="1" applyAlignment="1">
      <alignment vertical="center" shrinkToFit="1"/>
    </xf>
    <xf numFmtId="176" fontId="0" fillId="0" borderId="51" xfId="0" applyNumberFormat="1" applyFont="1" applyBorder="1" applyAlignment="1">
      <alignment vertical="center"/>
    </xf>
    <xf numFmtId="176" fontId="0" fillId="2" borderId="233" xfId="0" applyNumberFormat="1" applyFont="1" applyFill="1" applyBorder="1" applyAlignment="1">
      <alignment horizontal="center" vertical="center" shrinkToFit="1"/>
    </xf>
    <xf numFmtId="176" fontId="0" fillId="2" borderId="232" xfId="0" applyNumberFormat="1" applyFont="1" applyFill="1" applyBorder="1" applyAlignment="1">
      <alignment horizontal="center" vertical="center" shrinkToFit="1"/>
    </xf>
    <xf numFmtId="176" fontId="0" fillId="0" borderId="32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7" fontId="0" fillId="0" borderId="149" xfId="3" applyNumberFormat="1" applyFont="1" applyBorder="1" applyAlignment="1">
      <alignment horizontal="center" vertical="center" textRotation="255" shrinkToFit="1"/>
    </xf>
    <xf numFmtId="177" fontId="0" fillId="0" borderId="96" xfId="3" applyNumberFormat="1" applyFont="1" applyBorder="1" applyAlignment="1">
      <alignment horizontal="center" vertical="center" textRotation="255" shrinkToFit="1"/>
    </xf>
    <xf numFmtId="176" fontId="0" fillId="0" borderId="32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  <xf numFmtId="176" fontId="0" fillId="2" borderId="229" xfId="0" applyNumberFormat="1" applyFont="1" applyFill="1" applyBorder="1" applyAlignment="1">
      <alignment vertical="center" shrinkToFit="1"/>
    </xf>
    <xf numFmtId="176" fontId="0" fillId="0" borderId="229" xfId="0" applyNumberFormat="1" applyFont="1" applyBorder="1" applyAlignment="1">
      <alignment vertical="center"/>
    </xf>
    <xf numFmtId="177" fontId="0" fillId="0" borderId="33" xfId="3" applyNumberFormat="1" applyFont="1" applyBorder="1" applyAlignment="1">
      <alignment horizontal="center" vertical="center" shrinkToFit="1"/>
    </xf>
    <xf numFmtId="177" fontId="0" fillId="0" borderId="63" xfId="3" applyNumberFormat="1" applyFont="1" applyBorder="1" applyAlignment="1">
      <alignment horizontal="center" vertical="center" shrinkToFit="1"/>
    </xf>
    <xf numFmtId="177" fontId="0" fillId="0" borderId="36" xfId="3" applyNumberFormat="1" applyFont="1" applyBorder="1" applyAlignment="1">
      <alignment horizontal="center" vertical="center" shrinkToFit="1"/>
    </xf>
    <xf numFmtId="176" fontId="0" fillId="0" borderId="150" xfId="0" applyNumberFormat="1" applyFont="1" applyBorder="1" applyAlignment="1">
      <alignment vertical="center"/>
    </xf>
    <xf numFmtId="177" fontId="0" fillId="0" borderId="147" xfId="3" applyNumberFormat="1" applyFont="1" applyBorder="1" applyAlignment="1">
      <alignment horizontal="center" vertical="center" textRotation="255" shrinkToFit="1"/>
    </xf>
    <xf numFmtId="176" fontId="1" fillId="0" borderId="150" xfId="0" applyNumberFormat="1" applyFont="1" applyBorder="1" applyAlignment="1">
      <alignment vertical="center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13</xdr:row>
      <xdr:rowOff>128589</xdr:rowOff>
    </xdr:from>
    <xdr:to>
      <xdr:col>42</xdr:col>
      <xdr:colOff>0</xdr:colOff>
      <xdr:row>13</xdr:row>
      <xdr:rowOff>130969</xdr:rowOff>
    </xdr:to>
    <xdr:cxnSp macro="">
      <xdr:nvCxnSpPr>
        <xdr:cNvPr id="7" name="直線コネクタ 6"/>
        <xdr:cNvCxnSpPr/>
      </xdr:nvCxnSpPr>
      <xdr:spPr>
        <a:xfrm>
          <a:off x="3367088" y="3426620"/>
          <a:ext cx="9455943" cy="23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178594</xdr:colOff>
      <xdr:row>12</xdr:row>
      <xdr:rowOff>119063</xdr:rowOff>
    </xdr:from>
    <xdr:to>
      <xdr:col>42</xdr:col>
      <xdr:colOff>0</xdr:colOff>
      <xdr:row>12</xdr:row>
      <xdr:rowOff>119063</xdr:rowOff>
    </xdr:to>
    <xdr:cxnSp macro="">
      <xdr:nvCxnSpPr>
        <xdr:cNvPr id="5" name="直線コネクタ 4"/>
        <xdr:cNvCxnSpPr/>
      </xdr:nvCxnSpPr>
      <xdr:spPr>
        <a:xfrm>
          <a:off x="5929313" y="3167063"/>
          <a:ext cx="689371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226219</xdr:colOff>
      <xdr:row>13</xdr:row>
      <xdr:rowOff>35722</xdr:rowOff>
    </xdr:from>
    <xdr:to>
      <xdr:col>34</xdr:col>
      <xdr:colOff>250031</xdr:colOff>
      <xdr:row>13</xdr:row>
      <xdr:rowOff>226220</xdr:rowOff>
    </xdr:to>
    <xdr:sp macro="" textlink="">
      <xdr:nvSpPr>
        <xdr:cNvPr id="3" name="Rectangle 8" descr="10%"/>
        <xdr:cNvSpPr>
          <a:spLocks noChangeArrowheads="1"/>
        </xdr:cNvSpPr>
      </xdr:nvSpPr>
      <xdr:spPr bwMode="auto">
        <a:xfrm>
          <a:off x="5191125" y="3333753"/>
          <a:ext cx="5786437" cy="190498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45245</xdr:colOff>
      <xdr:row>12</xdr:row>
      <xdr:rowOff>33340</xdr:rowOff>
    </xdr:from>
    <xdr:to>
      <xdr:col>34</xdr:col>
      <xdr:colOff>250032</xdr:colOff>
      <xdr:row>12</xdr:row>
      <xdr:rowOff>226219</xdr:rowOff>
    </xdr:to>
    <xdr:sp macro="" textlink="">
      <xdr:nvSpPr>
        <xdr:cNvPr id="4" name="Rectangle 8" descr="10%"/>
        <xdr:cNvSpPr>
          <a:spLocks noChangeArrowheads="1"/>
        </xdr:cNvSpPr>
      </xdr:nvSpPr>
      <xdr:spPr bwMode="auto">
        <a:xfrm>
          <a:off x="9725026" y="3081340"/>
          <a:ext cx="1252537" cy="192879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440531</xdr:colOff>
      <xdr:row>6</xdr:row>
      <xdr:rowOff>1</xdr:rowOff>
    </xdr:from>
    <xdr:to>
      <xdr:col>32</xdr:col>
      <xdr:colOff>11906</xdr:colOff>
      <xdr:row>7</xdr:row>
      <xdr:rowOff>11907</xdr:rowOff>
    </xdr:to>
    <xdr:sp macro="" textlink="">
      <xdr:nvSpPr>
        <xdr:cNvPr id="2" name="Rectangle 8" descr="10%"/>
        <xdr:cNvSpPr>
          <a:spLocks noChangeArrowheads="1"/>
        </xdr:cNvSpPr>
      </xdr:nvSpPr>
      <xdr:spPr bwMode="auto">
        <a:xfrm>
          <a:off x="5107781" y="1488282"/>
          <a:ext cx="10251281" cy="261938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12700</xdr:colOff>
      <xdr:row>6</xdr:row>
      <xdr:rowOff>132954</xdr:rowOff>
    </xdr:from>
    <xdr:to>
      <xdr:col>9</xdr:col>
      <xdr:colOff>440531</xdr:colOff>
      <xdr:row>6</xdr:row>
      <xdr:rowOff>139700</xdr:rowOff>
    </xdr:to>
    <xdr:cxnSp macro="">
      <xdr:nvCxnSpPr>
        <xdr:cNvPr id="4" name="直線コネクタ 3"/>
        <xdr:cNvCxnSpPr>
          <a:endCxn id="2" idx="1"/>
        </xdr:cNvCxnSpPr>
      </xdr:nvCxnSpPr>
      <xdr:spPr>
        <a:xfrm flipV="1">
          <a:off x="1917700" y="1656954"/>
          <a:ext cx="3247231" cy="67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11906</xdr:colOff>
      <xdr:row>6</xdr:row>
      <xdr:rowOff>127000</xdr:rowOff>
    </xdr:from>
    <xdr:to>
      <xdr:col>39</xdr:col>
      <xdr:colOff>12700</xdr:colOff>
      <xdr:row>6</xdr:row>
      <xdr:rowOff>132954</xdr:rowOff>
    </xdr:to>
    <xdr:cxnSp macro="">
      <xdr:nvCxnSpPr>
        <xdr:cNvPr id="6" name="直線コネクタ 5"/>
        <xdr:cNvCxnSpPr>
          <a:stCxn id="2" idx="3"/>
        </xdr:cNvCxnSpPr>
      </xdr:nvCxnSpPr>
      <xdr:spPr>
        <a:xfrm flipV="1">
          <a:off x="15544006" y="1651000"/>
          <a:ext cx="3290094" cy="59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100" workbookViewId="0"/>
  </sheetViews>
  <sheetFormatPr defaultRowHeight="13.5" x14ac:dyDescent="0.15"/>
  <cols>
    <col min="1" max="1" width="1.625" style="64" customWidth="1"/>
    <col min="2" max="3" width="7.625" style="64" customWidth="1"/>
    <col min="4" max="6" width="9" style="64"/>
    <col min="7" max="7" width="3.5" style="64" customWidth="1"/>
    <col min="8" max="8" width="3.625" style="64" customWidth="1"/>
    <col min="9" max="9" width="3.75" style="64" customWidth="1"/>
    <col min="10" max="42" width="3.5" style="64" customWidth="1"/>
    <col min="43" max="43" width="1.375" style="64" customWidth="1"/>
    <col min="44" max="16384" width="9" style="64"/>
  </cols>
  <sheetData>
    <row r="1" spans="1:42" ht="9.9499999999999993" customHeight="1" thickBot="1" x14ac:dyDescent="0.2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42" ht="39.950000000000003" customHeight="1" thickBot="1" x14ac:dyDescent="0.2">
      <c r="A2" s="70"/>
      <c r="B2" s="240" t="s">
        <v>67</v>
      </c>
      <c r="C2" s="425" t="s">
        <v>345</v>
      </c>
      <c r="D2" s="426"/>
      <c r="E2" s="241" t="s">
        <v>54</v>
      </c>
      <c r="F2" s="427" t="s">
        <v>346</v>
      </c>
      <c r="G2" s="428"/>
      <c r="H2" s="428"/>
      <c r="I2" s="428"/>
      <c r="J2" s="428"/>
      <c r="K2" s="428"/>
      <c r="L2" s="428"/>
      <c r="M2" s="428"/>
      <c r="N2" s="429"/>
      <c r="O2" s="433" t="s">
        <v>55</v>
      </c>
      <c r="P2" s="434"/>
      <c r="Q2" s="435"/>
      <c r="R2" s="436" t="s">
        <v>347</v>
      </c>
      <c r="S2" s="437"/>
      <c r="T2" s="437"/>
      <c r="U2" s="437"/>
      <c r="V2" s="436" t="s">
        <v>56</v>
      </c>
      <c r="W2" s="437"/>
      <c r="X2" s="437"/>
      <c r="Y2" s="430" t="s">
        <v>348</v>
      </c>
      <c r="Z2" s="431"/>
      <c r="AA2" s="432"/>
      <c r="AB2" s="71"/>
      <c r="AC2" s="71"/>
      <c r="AD2" s="71"/>
    </row>
    <row r="3" spans="1:42" ht="9.9499999999999993" customHeight="1" x14ac:dyDescent="0.15">
      <c r="B3" s="72"/>
    </row>
    <row r="4" spans="1:42" ht="24.95" customHeight="1" thickBot="1" x14ac:dyDescent="0.2">
      <c r="B4" s="64" t="s">
        <v>90</v>
      </c>
    </row>
    <row r="5" spans="1:42" ht="20.100000000000001" customHeight="1" x14ac:dyDescent="0.15">
      <c r="B5" s="525" t="s">
        <v>91</v>
      </c>
      <c r="C5" s="526"/>
      <c r="D5" s="527" t="s">
        <v>364</v>
      </c>
      <c r="E5" s="526"/>
      <c r="F5" s="526"/>
      <c r="G5" s="528"/>
      <c r="H5" s="527" t="s">
        <v>57</v>
      </c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6"/>
      <c r="V5" s="526"/>
      <c r="W5" s="526"/>
      <c r="X5" s="526"/>
      <c r="Y5" s="526"/>
      <c r="Z5" s="526"/>
      <c r="AA5" s="529"/>
      <c r="AD5" s="71"/>
      <c r="AE5" s="71"/>
      <c r="AF5" s="71"/>
      <c r="AG5" s="71"/>
      <c r="AH5" s="71"/>
      <c r="AI5" s="71"/>
      <c r="AJ5" s="71"/>
      <c r="AK5" s="71"/>
      <c r="AL5" s="71"/>
    </row>
    <row r="6" spans="1:42" ht="20.100000000000001" customHeight="1" x14ac:dyDescent="0.15">
      <c r="B6" s="506" t="s">
        <v>58</v>
      </c>
      <c r="C6" s="507"/>
      <c r="D6" s="507"/>
      <c r="E6" s="507"/>
      <c r="F6" s="507"/>
      <c r="G6" s="503"/>
      <c r="H6" s="503" t="s">
        <v>59</v>
      </c>
      <c r="I6" s="504"/>
      <c r="J6" s="504"/>
      <c r="K6" s="504"/>
      <c r="L6" s="504"/>
      <c r="M6" s="504"/>
      <c r="N6" s="503" t="s">
        <v>350</v>
      </c>
      <c r="O6" s="504"/>
      <c r="P6" s="504"/>
      <c r="Q6" s="503" t="s">
        <v>60</v>
      </c>
      <c r="R6" s="504"/>
      <c r="S6" s="504"/>
      <c r="T6" s="504"/>
      <c r="U6" s="504"/>
      <c r="V6" s="504"/>
      <c r="W6" s="504"/>
      <c r="X6" s="505"/>
      <c r="Y6" s="503" t="s">
        <v>350</v>
      </c>
      <c r="Z6" s="504"/>
      <c r="AA6" s="524"/>
    </row>
    <row r="7" spans="1:42" ht="20.100000000000001" customHeight="1" x14ac:dyDescent="0.15">
      <c r="B7" s="535" t="s">
        <v>61</v>
      </c>
      <c r="C7" s="536"/>
      <c r="D7" s="537" t="s">
        <v>319</v>
      </c>
      <c r="E7" s="458"/>
      <c r="F7" s="458"/>
      <c r="G7" s="458"/>
      <c r="H7" s="503" t="s">
        <v>354</v>
      </c>
      <c r="I7" s="504"/>
      <c r="J7" s="504"/>
      <c r="K7" s="504"/>
      <c r="L7" s="504"/>
      <c r="M7" s="505"/>
      <c r="N7" s="538" t="s">
        <v>349</v>
      </c>
      <c r="O7" s="539"/>
      <c r="P7" s="540"/>
      <c r="Q7" s="530"/>
      <c r="R7" s="531"/>
      <c r="S7" s="531"/>
      <c r="T7" s="531"/>
      <c r="U7" s="531"/>
      <c r="V7" s="531"/>
      <c r="W7" s="531"/>
      <c r="X7" s="532"/>
      <c r="Y7" s="533"/>
      <c r="Z7" s="533"/>
      <c r="AA7" s="534"/>
    </row>
    <row r="8" spans="1:42" ht="20.100000000000001" customHeight="1" x14ac:dyDescent="0.15">
      <c r="B8" s="506" t="s">
        <v>62</v>
      </c>
      <c r="C8" s="507"/>
      <c r="D8" s="508"/>
      <c r="E8" s="508"/>
      <c r="F8" s="508"/>
      <c r="G8" s="509"/>
      <c r="H8" s="503"/>
      <c r="I8" s="504"/>
      <c r="J8" s="504"/>
      <c r="K8" s="504"/>
      <c r="L8" s="504"/>
      <c r="M8" s="505"/>
      <c r="N8" s="503"/>
      <c r="O8" s="504"/>
      <c r="P8" s="505"/>
      <c r="Q8" s="521"/>
      <c r="R8" s="522"/>
      <c r="S8" s="522"/>
      <c r="T8" s="522"/>
      <c r="U8" s="522"/>
      <c r="V8" s="522"/>
      <c r="W8" s="522"/>
      <c r="X8" s="523"/>
      <c r="Y8" s="503"/>
      <c r="Z8" s="504"/>
      <c r="AA8" s="524"/>
    </row>
    <row r="9" spans="1:42" ht="20.100000000000001" customHeight="1" x14ac:dyDescent="0.15">
      <c r="B9" s="506" t="s">
        <v>63</v>
      </c>
      <c r="C9" s="507"/>
      <c r="D9" s="508"/>
      <c r="E9" s="508"/>
      <c r="F9" s="508"/>
      <c r="G9" s="509"/>
      <c r="H9" s="503"/>
      <c r="I9" s="504"/>
      <c r="J9" s="504"/>
      <c r="K9" s="504"/>
      <c r="L9" s="504"/>
      <c r="M9" s="505"/>
      <c r="N9" s="503"/>
      <c r="O9" s="504"/>
      <c r="P9" s="505"/>
      <c r="Q9" s="521"/>
      <c r="R9" s="522"/>
      <c r="S9" s="522"/>
      <c r="T9" s="522"/>
      <c r="U9" s="522"/>
      <c r="V9" s="522"/>
      <c r="W9" s="522"/>
      <c r="X9" s="523"/>
      <c r="Y9" s="503"/>
      <c r="Z9" s="504"/>
      <c r="AA9" s="524"/>
    </row>
    <row r="10" spans="1:42" ht="20.100000000000001" customHeight="1" x14ac:dyDescent="0.15">
      <c r="B10" s="506" t="s">
        <v>64</v>
      </c>
      <c r="C10" s="507"/>
      <c r="D10" s="508"/>
      <c r="E10" s="508"/>
      <c r="F10" s="508"/>
      <c r="G10" s="509"/>
      <c r="H10" s="501"/>
      <c r="I10" s="502"/>
      <c r="J10" s="502"/>
      <c r="K10" s="502"/>
      <c r="L10" s="502"/>
      <c r="M10" s="502"/>
      <c r="N10" s="503"/>
      <c r="O10" s="504"/>
      <c r="P10" s="505"/>
      <c r="Q10" s="521"/>
      <c r="R10" s="522"/>
      <c r="S10" s="522"/>
      <c r="T10" s="522"/>
      <c r="U10" s="522"/>
      <c r="V10" s="522"/>
      <c r="W10" s="522"/>
      <c r="X10" s="523"/>
      <c r="Y10" s="504"/>
      <c r="Z10" s="504"/>
      <c r="AA10" s="524"/>
    </row>
    <row r="11" spans="1:42" ht="20.100000000000001" customHeight="1" thickBot="1" x14ac:dyDescent="0.2">
      <c r="B11" s="510" t="s">
        <v>65</v>
      </c>
      <c r="C11" s="511"/>
      <c r="D11" s="512" t="s">
        <v>333</v>
      </c>
      <c r="E11" s="513"/>
      <c r="F11" s="513"/>
      <c r="G11" s="514"/>
      <c r="H11" s="515"/>
      <c r="I11" s="516"/>
      <c r="J11" s="516"/>
      <c r="K11" s="516"/>
      <c r="L11" s="516"/>
      <c r="M11" s="516"/>
      <c r="N11" s="500"/>
      <c r="O11" s="493"/>
      <c r="P11" s="493"/>
      <c r="Q11" s="490"/>
      <c r="R11" s="491"/>
      <c r="S11" s="491"/>
      <c r="T11" s="491"/>
      <c r="U11" s="491"/>
      <c r="V11" s="491"/>
      <c r="W11" s="491"/>
      <c r="X11" s="492"/>
      <c r="Y11" s="493"/>
      <c r="Z11" s="493"/>
      <c r="AA11" s="494"/>
    </row>
    <row r="12" spans="1:42" ht="20.100000000000001" customHeight="1" x14ac:dyDescent="0.15">
      <c r="B12" s="517" t="s">
        <v>88</v>
      </c>
      <c r="C12" s="495" t="s">
        <v>92</v>
      </c>
      <c r="D12" s="496"/>
      <c r="E12" s="497"/>
      <c r="F12" s="317" t="s">
        <v>89</v>
      </c>
      <c r="G12" s="495">
        <v>1</v>
      </c>
      <c r="H12" s="496"/>
      <c r="I12" s="496"/>
      <c r="J12" s="495">
        <v>2</v>
      </c>
      <c r="K12" s="496"/>
      <c r="L12" s="497"/>
      <c r="M12" s="496">
        <v>3</v>
      </c>
      <c r="N12" s="496"/>
      <c r="O12" s="499"/>
      <c r="P12" s="495">
        <v>4</v>
      </c>
      <c r="Q12" s="496"/>
      <c r="R12" s="497"/>
      <c r="S12" s="498">
        <v>5</v>
      </c>
      <c r="T12" s="496"/>
      <c r="U12" s="499"/>
      <c r="V12" s="495">
        <v>6</v>
      </c>
      <c r="W12" s="496"/>
      <c r="X12" s="497"/>
      <c r="Y12" s="498">
        <v>7</v>
      </c>
      <c r="Z12" s="496"/>
      <c r="AA12" s="499"/>
      <c r="AB12" s="486">
        <v>8</v>
      </c>
      <c r="AC12" s="477"/>
      <c r="AD12" s="487"/>
      <c r="AE12" s="488">
        <v>9</v>
      </c>
      <c r="AF12" s="477"/>
      <c r="AG12" s="489"/>
      <c r="AH12" s="486">
        <v>10</v>
      </c>
      <c r="AI12" s="477"/>
      <c r="AJ12" s="487"/>
      <c r="AK12" s="486">
        <v>11</v>
      </c>
      <c r="AL12" s="477"/>
      <c r="AM12" s="487"/>
      <c r="AN12" s="477">
        <v>12</v>
      </c>
      <c r="AO12" s="477"/>
      <c r="AP12" s="478"/>
    </row>
    <row r="13" spans="1:42" ht="20.100000000000001" customHeight="1" x14ac:dyDescent="0.15">
      <c r="B13" s="517"/>
      <c r="C13" s="479" t="s">
        <v>355</v>
      </c>
      <c r="D13" s="480"/>
      <c r="E13" s="480"/>
      <c r="F13" s="403" t="s">
        <v>313</v>
      </c>
      <c r="G13" s="404"/>
      <c r="H13" s="405"/>
      <c r="I13" s="405"/>
      <c r="J13" s="404"/>
      <c r="K13" s="405"/>
      <c r="L13" s="406"/>
      <c r="M13" s="405"/>
      <c r="N13" s="405"/>
      <c r="O13" s="407"/>
      <c r="P13" s="408" t="s">
        <v>320</v>
      </c>
      <c r="Q13" s="405"/>
      <c r="R13" s="406"/>
      <c r="S13" s="409"/>
      <c r="T13" s="405"/>
      <c r="U13" s="407"/>
      <c r="V13" s="404"/>
      <c r="W13" s="405"/>
      <c r="X13" s="406"/>
      <c r="Y13" s="409"/>
      <c r="Z13" s="405"/>
      <c r="AA13" s="407"/>
      <c r="AB13" s="404"/>
      <c r="AC13" s="405"/>
      <c r="AD13" s="406"/>
      <c r="AE13" s="404"/>
      <c r="AF13" s="405"/>
      <c r="AG13" s="406"/>
      <c r="AH13" s="404"/>
      <c r="AI13" s="405"/>
      <c r="AJ13" s="406"/>
      <c r="AK13" s="404"/>
      <c r="AL13" s="405"/>
      <c r="AM13" s="406"/>
      <c r="AN13" s="405"/>
      <c r="AO13" s="405"/>
      <c r="AP13" s="410"/>
    </row>
    <row r="14" spans="1:42" ht="20.100000000000001" customHeight="1" x14ac:dyDescent="0.15">
      <c r="B14" s="517"/>
      <c r="C14" s="481" t="s">
        <v>356</v>
      </c>
      <c r="D14" s="482"/>
      <c r="E14" s="483"/>
      <c r="F14" s="393" t="s">
        <v>313</v>
      </c>
      <c r="G14" s="398"/>
      <c r="H14" s="399"/>
      <c r="I14" s="399"/>
      <c r="J14" s="398" t="s">
        <v>353</v>
      </c>
      <c r="K14" s="399"/>
      <c r="L14" s="85"/>
      <c r="M14" s="399"/>
      <c r="N14" s="399"/>
      <c r="O14" s="400"/>
      <c r="P14" s="398"/>
      <c r="Q14" s="399"/>
      <c r="R14" s="85"/>
      <c r="S14" s="401"/>
      <c r="T14" s="399"/>
      <c r="U14" s="400"/>
      <c r="V14" s="398"/>
      <c r="W14" s="399"/>
      <c r="X14" s="85"/>
      <c r="Y14" s="401"/>
      <c r="Z14" s="399"/>
      <c r="AA14" s="400"/>
      <c r="AB14" s="398"/>
      <c r="AC14" s="399"/>
      <c r="AD14" s="85"/>
      <c r="AE14" s="398"/>
      <c r="AF14" s="399"/>
      <c r="AG14" s="85"/>
      <c r="AH14" s="398"/>
      <c r="AI14" s="399"/>
      <c r="AJ14" s="85"/>
      <c r="AK14" s="398"/>
      <c r="AL14" s="399"/>
      <c r="AM14" s="85"/>
      <c r="AN14" s="399"/>
      <c r="AO14" s="399"/>
      <c r="AP14" s="402"/>
    </row>
    <row r="15" spans="1:42" ht="20.100000000000001" customHeight="1" x14ac:dyDescent="0.15">
      <c r="B15" s="517"/>
      <c r="C15" s="484"/>
      <c r="D15" s="485"/>
      <c r="E15" s="485"/>
      <c r="F15" s="68"/>
      <c r="G15" s="73"/>
      <c r="H15" s="74"/>
      <c r="I15" s="74"/>
      <c r="J15" s="73"/>
      <c r="K15" s="74"/>
      <c r="L15" s="75"/>
      <c r="M15" s="74"/>
      <c r="N15" s="74"/>
      <c r="O15" s="76"/>
      <c r="P15" s="73"/>
      <c r="Q15" s="74"/>
      <c r="R15" s="75"/>
      <c r="S15" s="77"/>
      <c r="T15" s="74"/>
      <c r="U15" s="76"/>
      <c r="V15" s="73"/>
      <c r="W15" s="74"/>
      <c r="X15" s="75"/>
      <c r="Y15" s="77"/>
      <c r="Z15" s="74"/>
      <c r="AA15" s="76"/>
      <c r="AB15" s="73"/>
      <c r="AC15" s="74"/>
      <c r="AD15" s="75"/>
      <c r="AE15" s="73"/>
      <c r="AF15" s="74"/>
      <c r="AG15" s="75"/>
      <c r="AH15" s="73"/>
      <c r="AI15" s="74"/>
      <c r="AJ15" s="75"/>
      <c r="AK15" s="73"/>
      <c r="AL15" s="74"/>
      <c r="AM15" s="75"/>
      <c r="AN15" s="74"/>
      <c r="AO15" s="74"/>
      <c r="AP15" s="78"/>
    </row>
    <row r="16" spans="1:42" ht="20.100000000000001" customHeight="1" x14ac:dyDescent="0.15">
      <c r="B16" s="517"/>
      <c r="C16" s="484"/>
      <c r="D16" s="485"/>
      <c r="E16" s="485"/>
      <c r="F16" s="79"/>
      <c r="G16" s="73"/>
      <c r="H16" s="74"/>
      <c r="I16" s="74"/>
      <c r="J16" s="73"/>
      <c r="K16" s="74"/>
      <c r="L16" s="75"/>
      <c r="M16" s="74"/>
      <c r="N16" s="74"/>
      <c r="O16" s="76"/>
      <c r="P16" s="73"/>
      <c r="Q16" s="74"/>
      <c r="R16" s="75"/>
      <c r="S16" s="77"/>
      <c r="T16" s="74"/>
      <c r="U16" s="76"/>
      <c r="V16" s="73"/>
      <c r="W16" s="74"/>
      <c r="X16" s="75"/>
      <c r="Y16" s="77"/>
      <c r="Z16" s="74"/>
      <c r="AA16" s="76"/>
      <c r="AB16" s="73"/>
      <c r="AC16" s="74"/>
      <c r="AD16" s="75"/>
      <c r="AE16" s="73"/>
      <c r="AF16" s="74"/>
      <c r="AG16" s="75"/>
      <c r="AH16" s="73"/>
      <c r="AI16" s="74"/>
      <c r="AJ16" s="75"/>
      <c r="AK16" s="73"/>
      <c r="AL16" s="74"/>
      <c r="AM16" s="75"/>
      <c r="AN16" s="74"/>
      <c r="AO16" s="74"/>
      <c r="AP16" s="78"/>
    </row>
    <row r="17" spans="2:42" ht="20.100000000000001" customHeight="1" x14ac:dyDescent="0.15">
      <c r="B17" s="517"/>
      <c r="C17" s="484"/>
      <c r="D17" s="485"/>
      <c r="E17" s="485"/>
      <c r="F17" s="79"/>
      <c r="G17" s="73"/>
      <c r="H17" s="74"/>
      <c r="I17" s="74"/>
      <c r="J17" s="73"/>
      <c r="K17" s="74"/>
      <c r="L17" s="75"/>
      <c r="M17" s="74"/>
      <c r="N17" s="74"/>
      <c r="O17" s="76"/>
      <c r="P17" s="73"/>
      <c r="Q17" s="74"/>
      <c r="R17" s="75"/>
      <c r="S17" s="77"/>
      <c r="T17" s="74"/>
      <c r="U17" s="76"/>
      <c r="V17" s="73"/>
      <c r="W17" s="74"/>
      <c r="X17" s="75"/>
      <c r="Y17" s="77"/>
      <c r="Z17" s="74"/>
      <c r="AA17" s="76"/>
      <c r="AB17" s="73"/>
      <c r="AC17" s="74"/>
      <c r="AD17" s="75"/>
      <c r="AE17" s="73"/>
      <c r="AF17" s="74"/>
      <c r="AG17" s="75"/>
      <c r="AH17" s="73"/>
      <c r="AI17" s="74"/>
      <c r="AJ17" s="75"/>
      <c r="AK17" s="73"/>
      <c r="AL17" s="74"/>
      <c r="AM17" s="75"/>
      <c r="AN17" s="74"/>
      <c r="AO17" s="74"/>
      <c r="AP17" s="78"/>
    </row>
    <row r="18" spans="2:42" ht="20.100000000000001" customHeight="1" x14ac:dyDescent="0.15">
      <c r="B18" s="517"/>
      <c r="C18" s="484"/>
      <c r="D18" s="485"/>
      <c r="E18" s="485"/>
      <c r="F18" s="79"/>
      <c r="G18" s="73"/>
      <c r="H18" s="74"/>
      <c r="I18" s="74"/>
      <c r="J18" s="73"/>
      <c r="K18" s="74"/>
      <c r="L18" s="75"/>
      <c r="M18" s="74"/>
      <c r="N18" s="74"/>
      <c r="O18" s="76"/>
      <c r="P18" s="73"/>
      <c r="Q18" s="74"/>
      <c r="R18" s="75"/>
      <c r="S18" s="77"/>
      <c r="T18" s="74"/>
      <c r="U18" s="76"/>
      <c r="V18" s="73"/>
      <c r="W18" s="74"/>
      <c r="X18" s="75"/>
      <c r="Y18" s="77"/>
      <c r="Z18" s="74"/>
      <c r="AA18" s="76"/>
      <c r="AB18" s="73"/>
      <c r="AC18" s="74"/>
      <c r="AD18" s="75"/>
      <c r="AE18" s="73"/>
      <c r="AF18" s="74"/>
      <c r="AG18" s="75"/>
      <c r="AH18" s="73"/>
      <c r="AI18" s="74"/>
      <c r="AJ18" s="75"/>
      <c r="AK18" s="73"/>
      <c r="AL18" s="74"/>
      <c r="AM18" s="75"/>
      <c r="AN18" s="74"/>
      <c r="AO18" s="74"/>
      <c r="AP18" s="78"/>
    </row>
    <row r="19" spans="2:42" ht="20.100000000000001" customHeight="1" x14ac:dyDescent="0.15">
      <c r="B19" s="518"/>
      <c r="C19" s="519"/>
      <c r="D19" s="520"/>
      <c r="E19" s="520"/>
      <c r="F19" s="80"/>
      <c r="G19" s="81"/>
      <c r="H19" s="82"/>
      <c r="I19" s="82"/>
      <c r="J19" s="83"/>
      <c r="K19" s="84"/>
      <c r="L19" s="85"/>
      <c r="M19" s="82"/>
      <c r="N19" s="82"/>
      <c r="O19" s="86"/>
      <c r="P19" s="83"/>
      <c r="Q19" s="84"/>
      <c r="R19" s="85"/>
      <c r="S19" s="87"/>
      <c r="T19" s="82"/>
      <c r="U19" s="86"/>
      <c r="V19" s="83"/>
      <c r="W19" s="84"/>
      <c r="X19" s="85"/>
      <c r="Y19" s="87"/>
      <c r="Z19" s="82"/>
      <c r="AA19" s="86"/>
      <c r="AB19" s="83"/>
      <c r="AC19" s="84"/>
      <c r="AD19" s="85"/>
      <c r="AE19" s="83"/>
      <c r="AF19" s="84"/>
      <c r="AG19" s="85"/>
      <c r="AH19" s="83"/>
      <c r="AI19" s="84"/>
      <c r="AJ19" s="85"/>
      <c r="AK19" s="83"/>
      <c r="AL19" s="84"/>
      <c r="AM19" s="85"/>
      <c r="AN19" s="84"/>
      <c r="AO19" s="84"/>
      <c r="AP19" s="88"/>
    </row>
    <row r="20" spans="2:42" ht="20.100000000000001" customHeight="1" x14ac:dyDescent="0.15">
      <c r="B20" s="472" t="s">
        <v>66</v>
      </c>
      <c r="C20" s="455"/>
      <c r="D20" s="456"/>
      <c r="E20" s="456"/>
      <c r="F20" s="456"/>
      <c r="G20" s="456"/>
      <c r="H20" s="456"/>
      <c r="I20" s="456"/>
      <c r="J20" s="456"/>
      <c r="K20" s="456"/>
      <c r="L20" s="456"/>
      <c r="M20" s="456"/>
      <c r="N20" s="456"/>
      <c r="O20" s="456"/>
      <c r="P20" s="456"/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6"/>
      <c r="AM20" s="456"/>
      <c r="AN20" s="456"/>
      <c r="AO20" s="456"/>
      <c r="AP20" s="457"/>
    </row>
    <row r="21" spans="2:42" ht="20.100000000000001" customHeight="1" x14ac:dyDescent="0.15">
      <c r="B21" s="473"/>
      <c r="C21" s="475" t="s">
        <v>396</v>
      </c>
      <c r="D21" s="476"/>
      <c r="E21" s="476"/>
      <c r="F21" s="476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476"/>
      <c r="R21" s="476"/>
      <c r="S21" s="476"/>
      <c r="T21" s="476"/>
      <c r="U21" s="476"/>
      <c r="V21" s="89"/>
      <c r="W21" s="89"/>
      <c r="Y21" s="458"/>
      <c r="Z21" s="458"/>
      <c r="AA21" s="458"/>
      <c r="AB21" s="458"/>
      <c r="AC21" s="89"/>
      <c r="AD21" s="89"/>
      <c r="AI21" s="89"/>
      <c r="AJ21" s="89"/>
      <c r="AK21" s="89"/>
      <c r="AL21" s="89"/>
      <c r="AM21" s="89"/>
      <c r="AN21" s="89"/>
      <c r="AO21" s="89"/>
      <c r="AP21" s="90"/>
    </row>
    <row r="22" spans="2:42" ht="20.100000000000001" customHeight="1" thickBot="1" x14ac:dyDescent="0.2">
      <c r="B22" s="474"/>
      <c r="C22" s="459"/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  <c r="AA22" s="460"/>
      <c r="AB22" s="460"/>
      <c r="AC22" s="460"/>
      <c r="AD22" s="460"/>
      <c r="AE22" s="460"/>
      <c r="AF22" s="460"/>
      <c r="AG22" s="460"/>
      <c r="AH22" s="460"/>
      <c r="AI22" s="460"/>
      <c r="AJ22" s="460"/>
      <c r="AK22" s="460"/>
      <c r="AL22" s="460"/>
      <c r="AM22" s="460"/>
      <c r="AN22" s="460"/>
      <c r="AO22" s="460"/>
      <c r="AP22" s="461"/>
    </row>
    <row r="23" spans="2:42" ht="9.9499999999999993" customHeight="1" x14ac:dyDescent="0.15"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</row>
    <row r="24" spans="2:42" ht="24.95" customHeight="1" thickBot="1" x14ac:dyDescent="0.2">
      <c r="B24" s="64" t="s">
        <v>93</v>
      </c>
    </row>
    <row r="25" spans="2:42" ht="20.100000000000001" customHeight="1" thickBot="1" x14ac:dyDescent="0.2">
      <c r="B25" s="462" t="s">
        <v>16</v>
      </c>
      <c r="C25" s="463"/>
      <c r="D25" s="463"/>
      <c r="E25" s="463"/>
      <c r="F25" s="463"/>
      <c r="G25" s="463"/>
      <c r="H25" s="463"/>
      <c r="I25" s="463"/>
      <c r="J25" s="463"/>
      <c r="K25" s="463"/>
      <c r="L25" s="463"/>
      <c r="M25" s="463"/>
      <c r="N25" s="464"/>
      <c r="O25" s="465" t="s">
        <v>15</v>
      </c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466"/>
      <c r="AK25" s="466"/>
      <c r="AL25" s="466"/>
      <c r="AM25" s="466"/>
      <c r="AN25" s="466"/>
      <c r="AO25" s="466"/>
      <c r="AP25" s="467"/>
    </row>
    <row r="26" spans="2:42" ht="39.950000000000003" customHeight="1" x14ac:dyDescent="0.15">
      <c r="B26" s="468" t="s">
        <v>11</v>
      </c>
      <c r="C26" s="451"/>
      <c r="D26" s="451"/>
      <c r="E26" s="469" t="s">
        <v>351</v>
      </c>
      <c r="F26" s="470"/>
      <c r="G26" s="470"/>
      <c r="H26" s="470"/>
      <c r="I26" s="470"/>
      <c r="J26" s="470"/>
      <c r="K26" s="470"/>
      <c r="L26" s="470"/>
      <c r="M26" s="470"/>
      <c r="N26" s="471"/>
      <c r="O26" s="450" t="s">
        <v>8</v>
      </c>
      <c r="P26" s="451"/>
      <c r="Q26" s="451"/>
      <c r="R26" s="451"/>
      <c r="S26" s="451"/>
      <c r="T26" s="452" t="s">
        <v>298</v>
      </c>
      <c r="U26" s="453"/>
      <c r="V26" s="453"/>
      <c r="W26" s="453"/>
      <c r="X26" s="453"/>
      <c r="Y26" s="453"/>
      <c r="Z26" s="453"/>
      <c r="AA26" s="453"/>
      <c r="AB26" s="453"/>
      <c r="AC26" s="453"/>
      <c r="AD26" s="453"/>
      <c r="AE26" s="453"/>
      <c r="AF26" s="453"/>
      <c r="AG26" s="453"/>
      <c r="AH26" s="453"/>
      <c r="AI26" s="453"/>
      <c r="AJ26" s="453"/>
      <c r="AK26" s="453"/>
      <c r="AL26" s="453"/>
      <c r="AM26" s="453"/>
      <c r="AN26" s="453"/>
      <c r="AO26" s="453"/>
      <c r="AP26" s="454"/>
    </row>
    <row r="27" spans="2:42" ht="39.950000000000003" customHeight="1" x14ac:dyDescent="0.15">
      <c r="B27" s="441" t="s">
        <v>12</v>
      </c>
      <c r="C27" s="442"/>
      <c r="D27" s="442"/>
      <c r="E27" s="443" t="s">
        <v>391</v>
      </c>
      <c r="F27" s="443"/>
      <c r="G27" s="443"/>
      <c r="H27" s="443"/>
      <c r="I27" s="443"/>
      <c r="J27" s="443"/>
      <c r="K27" s="443"/>
      <c r="L27" s="443"/>
      <c r="M27" s="443"/>
      <c r="N27" s="444"/>
      <c r="O27" s="445" t="s">
        <v>9</v>
      </c>
      <c r="P27" s="442"/>
      <c r="Q27" s="442"/>
      <c r="R27" s="442"/>
      <c r="S27" s="442"/>
      <c r="T27" s="446" t="s">
        <v>390</v>
      </c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3"/>
      <c r="AK27" s="443"/>
      <c r="AL27" s="443"/>
      <c r="AM27" s="443"/>
      <c r="AN27" s="443"/>
      <c r="AO27" s="443"/>
      <c r="AP27" s="444"/>
    </row>
    <row r="28" spans="2:42" ht="39.950000000000003" customHeight="1" x14ac:dyDescent="0.15">
      <c r="B28" s="441" t="s">
        <v>13</v>
      </c>
      <c r="C28" s="442"/>
      <c r="D28" s="442"/>
      <c r="E28" s="446" t="s">
        <v>386</v>
      </c>
      <c r="F28" s="443"/>
      <c r="G28" s="443"/>
      <c r="H28" s="443"/>
      <c r="I28" s="443"/>
      <c r="J28" s="443"/>
      <c r="K28" s="443"/>
      <c r="L28" s="443"/>
      <c r="M28" s="443"/>
      <c r="N28" s="444"/>
      <c r="O28" s="445" t="s">
        <v>10</v>
      </c>
      <c r="P28" s="442"/>
      <c r="Q28" s="442"/>
      <c r="R28" s="442"/>
      <c r="S28" s="442"/>
      <c r="T28" s="446" t="s">
        <v>334</v>
      </c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43"/>
      <c r="AH28" s="443"/>
      <c r="AI28" s="443"/>
      <c r="AJ28" s="443"/>
      <c r="AK28" s="443"/>
      <c r="AL28" s="443"/>
      <c r="AM28" s="443"/>
      <c r="AN28" s="443"/>
      <c r="AO28" s="443"/>
      <c r="AP28" s="444"/>
    </row>
    <row r="29" spans="2:42" ht="39.950000000000003" customHeight="1" thickBot="1" x14ac:dyDescent="0.2">
      <c r="B29" s="449" t="s">
        <v>14</v>
      </c>
      <c r="C29" s="448"/>
      <c r="D29" s="448"/>
      <c r="E29" s="438" t="s">
        <v>352</v>
      </c>
      <c r="F29" s="439"/>
      <c r="G29" s="439"/>
      <c r="H29" s="439"/>
      <c r="I29" s="439"/>
      <c r="J29" s="439"/>
      <c r="K29" s="439"/>
      <c r="L29" s="439"/>
      <c r="M29" s="439"/>
      <c r="N29" s="440"/>
      <c r="O29" s="447"/>
      <c r="P29" s="448"/>
      <c r="Q29" s="448"/>
      <c r="R29" s="448"/>
      <c r="S29" s="448"/>
      <c r="T29" s="439"/>
      <c r="U29" s="439"/>
      <c r="V29" s="439"/>
      <c r="W29" s="439"/>
      <c r="X29" s="439"/>
      <c r="Y29" s="439"/>
      <c r="Z29" s="439"/>
      <c r="AA29" s="439"/>
      <c r="AB29" s="439"/>
      <c r="AC29" s="439"/>
      <c r="AD29" s="439"/>
      <c r="AE29" s="439"/>
      <c r="AF29" s="439"/>
      <c r="AG29" s="439"/>
      <c r="AH29" s="439"/>
      <c r="AI29" s="439"/>
      <c r="AJ29" s="439"/>
      <c r="AK29" s="439"/>
      <c r="AL29" s="439"/>
      <c r="AM29" s="439"/>
      <c r="AN29" s="439"/>
      <c r="AO29" s="439"/>
      <c r="AP29" s="440"/>
    </row>
    <row r="30" spans="2:42" ht="9.75" customHeight="1" x14ac:dyDescent="0.15">
      <c r="B30" s="69"/>
    </row>
  </sheetData>
  <mergeCells count="86"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C13:E13"/>
    <mergeCell ref="C14:E14"/>
    <mergeCell ref="C15:E15"/>
    <mergeCell ref="AB12:AD12"/>
    <mergeCell ref="AE12:AG12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C2:D2"/>
    <mergeCell ref="F2:N2"/>
    <mergeCell ref="Y2:AA2"/>
    <mergeCell ref="O2:Q2"/>
    <mergeCell ref="R2:U2"/>
    <mergeCell ref="V2:X2"/>
  </mergeCells>
  <phoneticPr fontId="3"/>
  <pageMargins left="0.78740157480314965" right="0.78740157480314965" top="0.78740157480314965" bottom="0.78740157480314965" header="0.39370078740157483" footer="0.39370078740157483"/>
  <pageSetup paperSize="9" scale="75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100" workbookViewId="0"/>
  </sheetViews>
  <sheetFormatPr defaultRowHeight="13.5" x14ac:dyDescent="0.15"/>
  <cols>
    <col min="1" max="1" width="1.625" style="64" customWidth="1"/>
    <col min="2" max="2" width="7.625" style="64" customWidth="1"/>
    <col min="3" max="3" width="25.625" style="64" customWidth="1"/>
    <col min="4" max="12" width="17.5" style="64" customWidth="1"/>
    <col min="13" max="13" width="3.75" style="64" customWidth="1"/>
    <col min="14" max="16384" width="9" style="64"/>
  </cols>
  <sheetData>
    <row r="1" spans="2:13" ht="9.9499999999999993" customHeight="1" x14ac:dyDescent="0.15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2:13" ht="24.95" customHeight="1" thickBot="1" x14ac:dyDescent="0.2">
      <c r="B2" s="239" t="s">
        <v>309</v>
      </c>
      <c r="F2" s="263" t="s">
        <v>195</v>
      </c>
      <c r="G2" s="239" t="s">
        <v>297</v>
      </c>
      <c r="I2" s="263" t="s">
        <v>196</v>
      </c>
      <c r="J2" s="239" t="s">
        <v>357</v>
      </c>
    </row>
    <row r="3" spans="2:13" ht="20.100000000000001" customHeight="1" x14ac:dyDescent="0.15">
      <c r="B3" s="542" t="s">
        <v>87</v>
      </c>
      <c r="C3" s="543"/>
      <c r="D3" s="411" t="s">
        <v>299</v>
      </c>
      <c r="E3" s="411" t="s">
        <v>301</v>
      </c>
      <c r="F3" s="411" t="s">
        <v>300</v>
      </c>
      <c r="G3" s="411" t="s">
        <v>338</v>
      </c>
      <c r="H3" s="411" t="s">
        <v>288</v>
      </c>
      <c r="I3" s="411" t="s">
        <v>321</v>
      </c>
      <c r="J3" s="411" t="s">
        <v>322</v>
      </c>
      <c r="K3" s="411" t="s">
        <v>289</v>
      </c>
      <c r="L3" s="412" t="s">
        <v>323</v>
      </c>
      <c r="M3" s="394"/>
    </row>
    <row r="4" spans="2:13" ht="150" customHeight="1" x14ac:dyDescent="0.15">
      <c r="B4" s="541" t="s">
        <v>78</v>
      </c>
      <c r="C4" s="395" t="s">
        <v>79</v>
      </c>
      <c r="D4" s="392" t="s">
        <v>400</v>
      </c>
      <c r="E4" s="392" t="s">
        <v>401</v>
      </c>
      <c r="F4" s="392" t="s">
        <v>402</v>
      </c>
      <c r="G4" s="392" t="s">
        <v>403</v>
      </c>
      <c r="H4" s="392" t="s">
        <v>404</v>
      </c>
      <c r="I4" s="392" t="s">
        <v>405</v>
      </c>
      <c r="J4" s="392" t="s">
        <v>406</v>
      </c>
      <c r="K4" s="392" t="s">
        <v>407</v>
      </c>
      <c r="L4" s="413" t="s">
        <v>408</v>
      </c>
      <c r="M4" s="396"/>
    </row>
    <row r="5" spans="2:13" ht="20.100000000000001" customHeight="1" x14ac:dyDescent="0.15">
      <c r="B5" s="541"/>
      <c r="C5" s="395" t="s">
        <v>80</v>
      </c>
      <c r="D5" s="336" t="s">
        <v>335</v>
      </c>
      <c r="E5" s="336" t="s">
        <v>331</v>
      </c>
      <c r="F5" s="336" t="s">
        <v>303</v>
      </c>
      <c r="G5" s="336" t="s">
        <v>339</v>
      </c>
      <c r="H5" s="336" t="s">
        <v>315</v>
      </c>
      <c r="I5" s="395" t="s">
        <v>325</v>
      </c>
      <c r="J5" s="395" t="s">
        <v>330</v>
      </c>
      <c r="K5" s="395" t="s">
        <v>316</v>
      </c>
      <c r="L5" s="414" t="s">
        <v>327</v>
      </c>
      <c r="M5" s="394"/>
    </row>
    <row r="6" spans="2:13" ht="150" customHeight="1" x14ac:dyDescent="0.15">
      <c r="B6" s="541"/>
      <c r="C6" s="395" t="s">
        <v>86</v>
      </c>
      <c r="D6" s="335" t="s">
        <v>302</v>
      </c>
      <c r="E6" s="66"/>
      <c r="F6" s="335" t="s">
        <v>387</v>
      </c>
      <c r="G6" s="335"/>
      <c r="H6" s="335" t="s">
        <v>328</v>
      </c>
      <c r="I6" s="65"/>
      <c r="J6" s="65" t="s">
        <v>326</v>
      </c>
      <c r="K6" s="65" t="s">
        <v>255</v>
      </c>
      <c r="L6" s="415" t="s">
        <v>421</v>
      </c>
      <c r="M6" s="396"/>
    </row>
    <row r="7" spans="2:13" ht="20.100000000000001" customHeight="1" x14ac:dyDescent="0.15">
      <c r="B7" s="541"/>
      <c r="C7" s="67" t="s">
        <v>83</v>
      </c>
      <c r="D7" s="397">
        <f>'５　ハウスアスパラガス作業時間'!AN9</f>
        <v>8.3000000000000007</v>
      </c>
      <c r="E7" s="397">
        <v>0</v>
      </c>
      <c r="F7" s="397">
        <v>4</v>
      </c>
      <c r="G7" s="397">
        <v>0</v>
      </c>
      <c r="H7" s="397">
        <v>0</v>
      </c>
      <c r="I7" s="395">
        <v>0</v>
      </c>
      <c r="J7" s="395">
        <v>16</v>
      </c>
      <c r="K7" s="395">
        <v>7</v>
      </c>
      <c r="L7" s="414">
        <v>8.5</v>
      </c>
      <c r="M7" s="394"/>
    </row>
    <row r="8" spans="2:13" ht="20.100000000000001" customHeight="1" x14ac:dyDescent="0.15">
      <c r="B8" s="541"/>
      <c r="C8" s="397" t="s">
        <v>84</v>
      </c>
      <c r="D8" s="397">
        <f>'５　ハウスアスパラガス作業時間'!AN9</f>
        <v>8.3000000000000007</v>
      </c>
      <c r="E8" s="397">
        <f>'５　ハウスアスパラガス作業時間'!AN10</f>
        <v>3.7</v>
      </c>
      <c r="F8" s="397">
        <f>'５　ハウスアスパラガス作業時間'!AN11</f>
        <v>21.6</v>
      </c>
      <c r="G8" s="397">
        <f>'５　ハウスアスパラガス作業時間'!AN13</f>
        <v>3.5</v>
      </c>
      <c r="H8" s="397">
        <f>'５　ハウスアスパラガス作業時間'!AN14</f>
        <v>500</v>
      </c>
      <c r="I8" s="395">
        <f>'５　ハウスアスパラガス作業時間'!AN15</f>
        <v>9</v>
      </c>
      <c r="J8" s="395">
        <f>'５　ハウスアスパラガス作業時間'!AN16</f>
        <v>16</v>
      </c>
      <c r="K8" s="395">
        <f>'５　ハウスアスパラガス作業時間'!AN17</f>
        <v>7.0000000000000009</v>
      </c>
      <c r="L8" s="414">
        <f>'５　ハウスアスパラガス作業時間'!AN18</f>
        <v>8.5</v>
      </c>
      <c r="M8" s="394"/>
    </row>
    <row r="9" spans="2:13" ht="20.100000000000001" customHeight="1" x14ac:dyDescent="0.15">
      <c r="B9" s="541"/>
      <c r="C9" s="395" t="s">
        <v>85</v>
      </c>
      <c r="D9" s="395">
        <v>2</v>
      </c>
      <c r="E9" s="395">
        <v>2</v>
      </c>
      <c r="F9" s="395">
        <v>3</v>
      </c>
      <c r="G9" s="395">
        <v>1</v>
      </c>
      <c r="H9" s="395">
        <v>7</v>
      </c>
      <c r="I9" s="395">
        <v>1</v>
      </c>
      <c r="J9" s="395">
        <v>1</v>
      </c>
      <c r="K9" s="395">
        <v>1</v>
      </c>
      <c r="L9" s="414">
        <v>3</v>
      </c>
      <c r="M9" s="394"/>
    </row>
    <row r="10" spans="2:13" ht="150" customHeight="1" x14ac:dyDescent="0.15">
      <c r="B10" s="546" t="s">
        <v>81</v>
      </c>
      <c r="C10" s="547"/>
      <c r="D10" s="79" t="s">
        <v>317</v>
      </c>
      <c r="E10" s="79" t="s">
        <v>314</v>
      </c>
      <c r="F10" s="79" t="s">
        <v>336</v>
      </c>
      <c r="G10" s="79" t="s">
        <v>340</v>
      </c>
      <c r="H10" s="422" t="s">
        <v>422</v>
      </c>
      <c r="I10" s="422" t="s">
        <v>324</v>
      </c>
      <c r="J10" s="423"/>
      <c r="K10" s="422" t="s">
        <v>423</v>
      </c>
      <c r="L10" s="424"/>
      <c r="M10" s="82"/>
    </row>
    <row r="11" spans="2:13" ht="150" customHeight="1" thickBot="1" x14ac:dyDescent="0.2">
      <c r="B11" s="544" t="s">
        <v>82</v>
      </c>
      <c r="C11" s="545"/>
      <c r="D11" s="416" t="s">
        <v>409</v>
      </c>
      <c r="E11" s="416" t="s">
        <v>410</v>
      </c>
      <c r="F11" s="416"/>
      <c r="G11" s="417" t="s">
        <v>411</v>
      </c>
      <c r="H11" s="417" t="s">
        <v>412</v>
      </c>
      <c r="I11" s="417" t="s">
        <v>413</v>
      </c>
      <c r="J11" s="417" t="s">
        <v>424</v>
      </c>
      <c r="K11" s="417" t="s">
        <v>414</v>
      </c>
      <c r="L11" s="418" t="s">
        <v>415</v>
      </c>
      <c r="M11" s="82"/>
    </row>
    <row r="12" spans="2:13" ht="9.75" customHeight="1" x14ac:dyDescent="0.15">
      <c r="B12" s="69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zoomScaleSheetLayoutView="100" workbookViewId="0"/>
  </sheetViews>
  <sheetFormatPr defaultRowHeight="13.5" x14ac:dyDescent="0.15"/>
  <cols>
    <col min="1" max="1" width="1.625" style="11" customWidth="1"/>
    <col min="2" max="2" width="7.625" style="11" customWidth="1"/>
    <col min="3" max="3" width="15.625" style="11" customWidth="1"/>
    <col min="4" max="7" width="20.625" style="11" customWidth="1"/>
    <col min="8" max="14" width="12.625" style="11" customWidth="1"/>
    <col min="15" max="16384" width="9" style="11"/>
  </cols>
  <sheetData>
    <row r="1" spans="2:14" ht="9.9499999999999993" customHeight="1" x14ac:dyDescent="0.15"/>
    <row r="2" spans="2:14" ht="24.95" customHeight="1" thickBot="1" x14ac:dyDescent="0.2">
      <c r="B2" s="12" t="s">
        <v>77</v>
      </c>
      <c r="C2" s="13"/>
      <c r="D2" s="13"/>
      <c r="M2" s="14"/>
      <c r="N2" s="14"/>
    </row>
    <row r="3" spans="2:14" ht="20.100000000000001" customHeight="1" x14ac:dyDescent="0.15">
      <c r="B3" s="548" t="s">
        <v>248</v>
      </c>
      <c r="C3" s="549"/>
      <c r="D3" s="549"/>
      <c r="E3" s="549"/>
      <c r="F3" s="15" t="s">
        <v>22</v>
      </c>
      <c r="G3" s="15" t="s">
        <v>308</v>
      </c>
      <c r="H3" s="579" t="s">
        <v>247</v>
      </c>
      <c r="I3" s="580"/>
      <c r="J3" s="580"/>
      <c r="K3" s="580"/>
      <c r="L3" s="580"/>
      <c r="M3" s="580"/>
      <c r="N3" s="581"/>
    </row>
    <row r="4" spans="2:14" ht="20.100000000000001" customHeight="1" thickBot="1" x14ac:dyDescent="0.2">
      <c r="B4" s="550"/>
      <c r="C4" s="551"/>
      <c r="D4" s="551"/>
      <c r="E4" s="551"/>
      <c r="F4" s="16"/>
      <c r="G4" s="294">
        <v>100</v>
      </c>
      <c r="H4" s="582"/>
      <c r="I4" s="583"/>
      <c r="J4" s="583"/>
      <c r="K4" s="583"/>
      <c r="L4" s="583"/>
      <c r="M4" s="583"/>
      <c r="N4" s="584"/>
    </row>
    <row r="5" spans="2:14" ht="20.100000000000001" customHeight="1" x14ac:dyDescent="0.15">
      <c r="B5" s="560" t="s">
        <v>44</v>
      </c>
      <c r="C5" s="561"/>
      <c r="D5" s="17" t="s">
        <v>159</v>
      </c>
      <c r="E5" s="18"/>
      <c r="F5" s="19">
        <f>SUM(G5:G5)</f>
        <v>27378900</v>
      </c>
      <c r="G5" s="238">
        <f>'７　ハウスアスパラガス部門収支'!F4*G$4/10</f>
        <v>27378900</v>
      </c>
      <c r="H5" s="585"/>
      <c r="I5" s="586"/>
      <c r="J5" s="586"/>
      <c r="K5" s="586"/>
      <c r="L5" s="586"/>
      <c r="M5" s="586"/>
      <c r="N5" s="587"/>
    </row>
    <row r="6" spans="2:14" ht="20.100000000000001" customHeight="1" x14ac:dyDescent="0.15">
      <c r="B6" s="562"/>
      <c r="C6" s="563"/>
      <c r="D6" s="20" t="s">
        <v>69</v>
      </c>
      <c r="E6" s="21"/>
      <c r="F6" s="22">
        <f>SUM(G6:G6)</f>
        <v>0</v>
      </c>
      <c r="G6" s="25">
        <f>'７　ハウスアスパラガス部門収支'!F5*G$4/10</f>
        <v>0</v>
      </c>
      <c r="H6" s="566"/>
      <c r="I6" s="567"/>
      <c r="J6" s="567"/>
      <c r="K6" s="567"/>
      <c r="L6" s="567"/>
      <c r="M6" s="567"/>
      <c r="N6" s="568"/>
    </row>
    <row r="7" spans="2:14" ht="20.100000000000001" customHeight="1" x14ac:dyDescent="0.15">
      <c r="B7" s="564"/>
      <c r="C7" s="565"/>
      <c r="D7" s="552" t="s">
        <v>155</v>
      </c>
      <c r="E7" s="553"/>
      <c r="F7" s="23">
        <f>SUM(G7,H7,M7)</f>
        <v>27378900</v>
      </c>
      <c r="G7" s="24">
        <f>G5+G6</f>
        <v>27378900</v>
      </c>
      <c r="H7" s="566"/>
      <c r="I7" s="567"/>
      <c r="J7" s="567"/>
      <c r="K7" s="567"/>
      <c r="L7" s="567"/>
      <c r="M7" s="567"/>
      <c r="N7" s="568"/>
    </row>
    <row r="8" spans="2:14" ht="20.100000000000001" customHeight="1" x14ac:dyDescent="0.15">
      <c r="B8" s="591" t="s">
        <v>234</v>
      </c>
      <c r="C8" s="597" t="s">
        <v>249</v>
      </c>
      <c r="D8" s="20" t="s">
        <v>45</v>
      </c>
      <c r="E8" s="21"/>
      <c r="F8" s="22">
        <f t="shared" ref="F8:F21" si="0">SUM(G8:G8)</f>
        <v>0</v>
      </c>
      <c r="G8" s="25">
        <f>'７　ハウスアスパラガス部門収支'!F6*G$4/10</f>
        <v>0</v>
      </c>
      <c r="H8" s="566"/>
      <c r="I8" s="567"/>
      <c r="J8" s="567"/>
      <c r="K8" s="567"/>
      <c r="L8" s="567"/>
      <c r="M8" s="567"/>
      <c r="N8" s="568"/>
    </row>
    <row r="9" spans="2:14" ht="20.100000000000001" customHeight="1" x14ac:dyDescent="0.15">
      <c r="B9" s="592"/>
      <c r="C9" s="598"/>
      <c r="D9" s="20" t="s">
        <v>46</v>
      </c>
      <c r="E9" s="21"/>
      <c r="F9" s="22">
        <f t="shared" si="0"/>
        <v>702600</v>
      </c>
      <c r="G9" s="25">
        <f>'７　ハウスアスパラガス部門収支'!F7*G$4/10</f>
        <v>702600</v>
      </c>
      <c r="H9" s="566"/>
      <c r="I9" s="567"/>
      <c r="J9" s="567"/>
      <c r="K9" s="567"/>
      <c r="L9" s="567"/>
      <c r="M9" s="567"/>
      <c r="N9" s="568"/>
    </row>
    <row r="10" spans="2:14" ht="20.100000000000001" customHeight="1" x14ac:dyDescent="0.15">
      <c r="B10" s="592"/>
      <c r="C10" s="598"/>
      <c r="D10" s="20" t="s">
        <v>47</v>
      </c>
      <c r="E10" s="21"/>
      <c r="F10" s="22">
        <f t="shared" si="0"/>
        <v>376156.19999999995</v>
      </c>
      <c r="G10" s="25">
        <f>'７　ハウスアスパラガス部門収支'!F8*G$4/10</f>
        <v>376156.19999999995</v>
      </c>
      <c r="H10" s="566"/>
      <c r="I10" s="567"/>
      <c r="J10" s="567"/>
      <c r="K10" s="567"/>
      <c r="L10" s="567"/>
      <c r="M10" s="567"/>
      <c r="N10" s="568"/>
    </row>
    <row r="11" spans="2:14" ht="20.100000000000001" customHeight="1" x14ac:dyDescent="0.15">
      <c r="B11" s="592"/>
      <c r="C11" s="598"/>
      <c r="D11" s="20" t="s">
        <v>70</v>
      </c>
      <c r="E11" s="21"/>
      <c r="F11" s="22">
        <f t="shared" si="0"/>
        <v>278349.15999999997</v>
      </c>
      <c r="G11" s="25">
        <f>'７　ハウスアスパラガス部門収支'!F9*G$4/10</f>
        <v>278349.15999999997</v>
      </c>
      <c r="H11" s="566"/>
      <c r="I11" s="567"/>
      <c r="J11" s="567"/>
      <c r="K11" s="567"/>
      <c r="L11" s="567"/>
      <c r="M11" s="567"/>
      <c r="N11" s="568"/>
    </row>
    <row r="12" spans="2:14" ht="20.100000000000001" customHeight="1" x14ac:dyDescent="0.15">
      <c r="B12" s="592"/>
      <c r="C12" s="598"/>
      <c r="D12" s="20" t="s">
        <v>48</v>
      </c>
      <c r="E12" s="21"/>
      <c r="F12" s="22">
        <f t="shared" si="0"/>
        <v>694733.33333333337</v>
      </c>
      <c r="G12" s="25">
        <f>'７　ハウスアスパラガス部門収支'!F10*G$4/10</f>
        <v>694733.33333333337</v>
      </c>
      <c r="H12" s="566"/>
      <c r="I12" s="567"/>
      <c r="J12" s="567"/>
      <c r="K12" s="567"/>
      <c r="L12" s="567"/>
      <c r="M12" s="567"/>
      <c r="N12" s="568"/>
    </row>
    <row r="13" spans="2:14" ht="20.100000000000001" customHeight="1" x14ac:dyDescent="0.15">
      <c r="B13" s="592"/>
      <c r="C13" s="598"/>
      <c r="D13" s="20" t="s">
        <v>4</v>
      </c>
      <c r="E13" s="21"/>
      <c r="F13" s="22">
        <f t="shared" si="0"/>
        <v>52840</v>
      </c>
      <c r="G13" s="25">
        <f>'７　ハウスアスパラガス部門収支'!F11*G$4/10</f>
        <v>52840</v>
      </c>
      <c r="H13" s="566"/>
      <c r="I13" s="567"/>
      <c r="J13" s="567"/>
      <c r="K13" s="567"/>
      <c r="L13" s="567"/>
      <c r="M13" s="567"/>
      <c r="N13" s="568"/>
    </row>
    <row r="14" spans="2:14" ht="20.100000000000001" customHeight="1" x14ac:dyDescent="0.15">
      <c r="B14" s="592"/>
      <c r="C14" s="598"/>
      <c r="D14" s="20" t="s">
        <v>5</v>
      </c>
      <c r="E14" s="21"/>
      <c r="F14" s="25">
        <f t="shared" si="0"/>
        <v>4371250</v>
      </c>
      <c r="G14" s="25">
        <f>'７　ハウスアスパラガス部門収支'!F12*G$4/10</f>
        <v>4371250</v>
      </c>
      <c r="H14" s="566"/>
      <c r="I14" s="567"/>
      <c r="J14" s="567"/>
      <c r="K14" s="567"/>
      <c r="L14" s="567"/>
      <c r="M14" s="567"/>
      <c r="N14" s="568"/>
    </row>
    <row r="15" spans="2:14" ht="20.100000000000001" customHeight="1" x14ac:dyDescent="0.15">
      <c r="B15" s="592"/>
      <c r="C15" s="598"/>
      <c r="D15" s="554" t="s">
        <v>49</v>
      </c>
      <c r="E15" s="286" t="s">
        <v>150</v>
      </c>
      <c r="F15" s="25">
        <f t="shared" si="0"/>
        <v>643200</v>
      </c>
      <c r="G15" s="25">
        <f>'７　ハウスアスパラガス部門収支'!F13*G$4/10</f>
        <v>643200</v>
      </c>
      <c r="H15" s="566"/>
      <c r="I15" s="567"/>
      <c r="J15" s="567"/>
      <c r="K15" s="567"/>
      <c r="L15" s="567"/>
      <c r="M15" s="567"/>
      <c r="N15" s="568"/>
    </row>
    <row r="16" spans="2:14" ht="20.100000000000001" customHeight="1" x14ac:dyDescent="0.15">
      <c r="B16" s="592"/>
      <c r="C16" s="598"/>
      <c r="D16" s="555"/>
      <c r="E16" s="286" t="s">
        <v>151</v>
      </c>
      <c r="F16" s="25">
        <f t="shared" si="0"/>
        <v>412870</v>
      </c>
      <c r="G16" s="25">
        <f>'７　ハウスアスパラガス部門収支'!F14*G$4/10</f>
        <v>412870</v>
      </c>
      <c r="H16" s="566"/>
      <c r="I16" s="567"/>
      <c r="J16" s="567"/>
      <c r="K16" s="567"/>
      <c r="L16" s="567"/>
      <c r="M16" s="567"/>
      <c r="N16" s="568"/>
    </row>
    <row r="17" spans="2:14" ht="20.100000000000001" customHeight="1" x14ac:dyDescent="0.15">
      <c r="B17" s="592"/>
      <c r="C17" s="598"/>
      <c r="D17" s="556" t="s">
        <v>71</v>
      </c>
      <c r="E17" s="286" t="s">
        <v>150</v>
      </c>
      <c r="F17" s="25">
        <f t="shared" si="0"/>
        <v>6180000</v>
      </c>
      <c r="G17" s="25">
        <f>'７　ハウスアスパラガス部門収支'!F15*G$4/10</f>
        <v>6180000</v>
      </c>
      <c r="H17" s="566"/>
      <c r="I17" s="567"/>
      <c r="J17" s="567"/>
      <c r="K17" s="567"/>
      <c r="L17" s="567"/>
      <c r="M17" s="567"/>
      <c r="N17" s="568"/>
    </row>
    <row r="18" spans="2:14" ht="20.100000000000001" customHeight="1" x14ac:dyDescent="0.15">
      <c r="B18" s="592"/>
      <c r="C18" s="598"/>
      <c r="D18" s="557"/>
      <c r="E18" s="286" t="s">
        <v>151</v>
      </c>
      <c r="F18" s="25">
        <f t="shared" si="0"/>
        <v>1278200</v>
      </c>
      <c r="G18" s="25">
        <f>'７　ハウスアスパラガス部門収支'!F16*G$4/10</f>
        <v>1278200</v>
      </c>
      <c r="H18" s="566"/>
      <c r="I18" s="567"/>
      <c r="J18" s="567"/>
      <c r="K18" s="567"/>
      <c r="L18" s="567"/>
      <c r="M18" s="567"/>
      <c r="N18" s="568"/>
    </row>
    <row r="19" spans="2:14" ht="20.100000000000001" customHeight="1" x14ac:dyDescent="0.15">
      <c r="B19" s="592"/>
      <c r="C19" s="598"/>
      <c r="D19" s="555"/>
      <c r="E19" s="287" t="s">
        <v>50</v>
      </c>
      <c r="F19" s="25">
        <f t="shared" si="0"/>
        <v>373075.36363636365</v>
      </c>
      <c r="G19" s="25">
        <f>'７　ハウスアスパラガス部門収支'!F17*G$4/10</f>
        <v>373075.36363636365</v>
      </c>
      <c r="H19" s="566"/>
      <c r="I19" s="567"/>
      <c r="J19" s="567"/>
      <c r="K19" s="567"/>
      <c r="L19" s="567"/>
      <c r="M19" s="567"/>
      <c r="N19" s="568"/>
    </row>
    <row r="20" spans="2:14" ht="20.100000000000001" customHeight="1" x14ac:dyDescent="0.15">
      <c r="B20" s="592"/>
      <c r="C20" s="598"/>
      <c r="D20" s="20" t="s">
        <v>51</v>
      </c>
      <c r="E20" s="21"/>
      <c r="F20" s="22">
        <f t="shared" si="0"/>
        <v>24000</v>
      </c>
      <c r="G20" s="25">
        <f>'７　ハウスアスパラガス部門収支'!F18*G$4/10</f>
        <v>24000</v>
      </c>
      <c r="H20" s="566"/>
      <c r="I20" s="567"/>
      <c r="J20" s="567"/>
      <c r="K20" s="567"/>
      <c r="L20" s="567"/>
      <c r="M20" s="567"/>
      <c r="N20" s="568"/>
    </row>
    <row r="21" spans="2:14" ht="20.100000000000001" customHeight="1" x14ac:dyDescent="0.15">
      <c r="B21" s="592"/>
      <c r="C21" s="598"/>
      <c r="D21" s="20" t="s">
        <v>127</v>
      </c>
      <c r="E21" s="21"/>
      <c r="F21" s="22">
        <f t="shared" si="0"/>
        <v>155427.01067646159</v>
      </c>
      <c r="G21" s="25">
        <f>'７　ハウスアスパラガス部門収支'!F19*G$4/10</f>
        <v>155427.01067646159</v>
      </c>
      <c r="H21" s="566"/>
      <c r="I21" s="567"/>
      <c r="J21" s="567"/>
      <c r="K21" s="567"/>
      <c r="L21" s="567"/>
      <c r="M21" s="567"/>
      <c r="N21" s="568"/>
    </row>
    <row r="22" spans="2:14" ht="20.100000000000001" customHeight="1" x14ac:dyDescent="0.15">
      <c r="B22" s="592"/>
      <c r="C22" s="599"/>
      <c r="D22" s="558" t="s">
        <v>156</v>
      </c>
      <c r="E22" s="559"/>
      <c r="F22" s="297">
        <f>SUM(F8:F21)</f>
        <v>15542701.067646159</v>
      </c>
      <c r="G22" s="297">
        <f>SUM(G8:G21)</f>
        <v>15542701.067646159</v>
      </c>
      <c r="H22" s="566"/>
      <c r="I22" s="567"/>
      <c r="J22" s="567"/>
      <c r="K22" s="567"/>
      <c r="L22" s="567"/>
      <c r="M22" s="567"/>
      <c r="N22" s="568"/>
    </row>
    <row r="23" spans="2:14" ht="20.100000000000001" customHeight="1" x14ac:dyDescent="0.15">
      <c r="B23" s="592"/>
      <c r="C23" s="600" t="s">
        <v>153</v>
      </c>
      <c r="D23" s="571" t="s">
        <v>52</v>
      </c>
      <c r="E23" s="28" t="s">
        <v>1</v>
      </c>
      <c r="F23" s="25">
        <f t="shared" ref="F23:F31" si="1">SUM(G23:G23)</f>
        <v>0</v>
      </c>
      <c r="G23" s="25">
        <f>'７　ハウスアスパラガス部門収支'!F21*G$4/10</f>
        <v>0</v>
      </c>
      <c r="H23" s="566"/>
      <c r="I23" s="567"/>
      <c r="J23" s="567"/>
      <c r="K23" s="567"/>
      <c r="L23" s="567"/>
      <c r="M23" s="567"/>
      <c r="N23" s="568"/>
    </row>
    <row r="24" spans="2:14" ht="20.100000000000001" customHeight="1" x14ac:dyDescent="0.15">
      <c r="B24" s="592"/>
      <c r="C24" s="601"/>
      <c r="D24" s="572"/>
      <c r="E24" s="28" t="s">
        <v>2</v>
      </c>
      <c r="F24" s="25">
        <f t="shared" si="1"/>
        <v>500000</v>
      </c>
      <c r="G24" s="25">
        <f>'７　ハウスアスパラガス部門収支'!F22*G$4/10</f>
        <v>500000</v>
      </c>
      <c r="H24" s="566"/>
      <c r="I24" s="567"/>
      <c r="J24" s="567"/>
      <c r="K24" s="567"/>
      <c r="L24" s="567"/>
      <c r="M24" s="567"/>
      <c r="N24" s="568"/>
    </row>
    <row r="25" spans="2:14" ht="20.100000000000001" customHeight="1" x14ac:dyDescent="0.15">
      <c r="B25" s="592"/>
      <c r="C25" s="601"/>
      <c r="D25" s="573"/>
      <c r="E25" s="28" t="s">
        <v>6</v>
      </c>
      <c r="F25" s="25">
        <f t="shared" si="1"/>
        <v>3093815.7</v>
      </c>
      <c r="G25" s="25">
        <f>'７　ハウスアスパラガス部門収支'!F23*G$4/10</f>
        <v>3093815.7</v>
      </c>
      <c r="H25" s="566"/>
      <c r="I25" s="567"/>
      <c r="J25" s="567"/>
      <c r="K25" s="567"/>
      <c r="L25" s="567"/>
      <c r="M25" s="567"/>
      <c r="N25" s="568"/>
    </row>
    <row r="26" spans="2:14" ht="20.100000000000001" customHeight="1" x14ac:dyDescent="0.15">
      <c r="B26" s="592"/>
      <c r="C26" s="601"/>
      <c r="D26" s="28" t="s">
        <v>232</v>
      </c>
      <c r="E26" s="29"/>
      <c r="F26" s="25">
        <f t="shared" si="1"/>
        <v>27720</v>
      </c>
      <c r="G26" s="25">
        <f>'７　ハウスアスパラガス部門収支'!F24*G$4/10</f>
        <v>27720</v>
      </c>
      <c r="H26" s="566"/>
      <c r="I26" s="567"/>
      <c r="J26" s="567"/>
      <c r="K26" s="567"/>
      <c r="L26" s="567"/>
      <c r="M26" s="567"/>
      <c r="N26" s="568"/>
    </row>
    <row r="27" spans="2:14" ht="20.100000000000001" customHeight="1" x14ac:dyDescent="0.15">
      <c r="B27" s="592"/>
      <c r="C27" s="601"/>
      <c r="D27" s="28" t="s">
        <v>72</v>
      </c>
      <c r="E27" s="29"/>
      <c r="F27" s="25">
        <f t="shared" si="1"/>
        <v>6830</v>
      </c>
      <c r="G27" s="25">
        <f>'７　ハウスアスパラガス部門収支'!F25*G$4/10</f>
        <v>6830</v>
      </c>
      <c r="H27" s="566"/>
      <c r="I27" s="567"/>
      <c r="J27" s="567"/>
      <c r="K27" s="567"/>
      <c r="L27" s="567"/>
      <c r="M27" s="567"/>
      <c r="N27" s="568"/>
    </row>
    <row r="28" spans="2:14" ht="20.100000000000001" customHeight="1" x14ac:dyDescent="0.15">
      <c r="B28" s="592"/>
      <c r="C28" s="601"/>
      <c r="D28" s="28" t="s">
        <v>94</v>
      </c>
      <c r="E28" s="29"/>
      <c r="F28" s="25">
        <f t="shared" si="1"/>
        <v>304320</v>
      </c>
      <c r="G28" s="25">
        <f>'７　ハウスアスパラガス部門収支'!F26*G$4/10</f>
        <v>304320</v>
      </c>
      <c r="H28" s="566"/>
      <c r="I28" s="567"/>
      <c r="J28" s="567"/>
      <c r="K28" s="567"/>
      <c r="L28" s="567"/>
      <c r="M28" s="567"/>
      <c r="N28" s="568"/>
    </row>
    <row r="29" spans="2:14" ht="20.100000000000001" customHeight="1" x14ac:dyDescent="0.15">
      <c r="B29" s="592"/>
      <c r="C29" s="601"/>
      <c r="D29" s="28" t="s">
        <v>73</v>
      </c>
      <c r="E29" s="29"/>
      <c r="F29" s="25">
        <f t="shared" si="1"/>
        <v>15840</v>
      </c>
      <c r="G29" s="25">
        <f>'７　ハウスアスパラガス部門収支'!F27*G$4/10</f>
        <v>15840</v>
      </c>
      <c r="H29" s="566"/>
      <c r="I29" s="567"/>
      <c r="J29" s="567"/>
      <c r="K29" s="567"/>
      <c r="L29" s="567"/>
      <c r="M29" s="567"/>
      <c r="N29" s="568"/>
    </row>
    <row r="30" spans="2:14" ht="20.100000000000001" customHeight="1" x14ac:dyDescent="0.15">
      <c r="B30" s="592"/>
      <c r="C30" s="601"/>
      <c r="D30" s="28" t="s">
        <v>53</v>
      </c>
      <c r="E30" s="29"/>
      <c r="F30" s="25">
        <f t="shared" si="1"/>
        <v>34244</v>
      </c>
      <c r="G30" s="25">
        <f>'７　ハウスアスパラガス部門収支'!F28*G$4/10</f>
        <v>34244</v>
      </c>
      <c r="H30" s="566"/>
      <c r="I30" s="567"/>
      <c r="J30" s="567"/>
      <c r="K30" s="567"/>
      <c r="L30" s="567"/>
      <c r="M30" s="567"/>
      <c r="N30" s="568"/>
    </row>
    <row r="31" spans="2:14" ht="20.100000000000001" customHeight="1" x14ac:dyDescent="0.15">
      <c r="B31" s="592"/>
      <c r="C31" s="601"/>
      <c r="D31" s="28" t="s">
        <v>233</v>
      </c>
      <c r="E31" s="29"/>
      <c r="F31" s="25">
        <f t="shared" si="1"/>
        <v>40229.996969696971</v>
      </c>
      <c r="G31" s="25">
        <f>'７　ハウスアスパラガス部門収支'!F29*G$4/10</f>
        <v>40229.996969696971</v>
      </c>
      <c r="H31" s="566"/>
      <c r="I31" s="567"/>
      <c r="J31" s="567"/>
      <c r="K31" s="567"/>
      <c r="L31" s="567"/>
      <c r="M31" s="567"/>
      <c r="N31" s="568"/>
    </row>
    <row r="32" spans="2:14" ht="20.100000000000001" customHeight="1" x14ac:dyDescent="0.15">
      <c r="B32" s="592"/>
      <c r="C32" s="601"/>
      <c r="D32" s="574" t="s">
        <v>235</v>
      </c>
      <c r="E32" s="575"/>
      <c r="F32" s="295">
        <f>SUM(F23:F31)</f>
        <v>4022999.6969696973</v>
      </c>
      <c r="G32" s="295">
        <f>SUM(G23:G31)</f>
        <v>4022999.6969696973</v>
      </c>
      <c r="H32" s="566"/>
      <c r="I32" s="567"/>
      <c r="J32" s="567"/>
      <c r="K32" s="567"/>
      <c r="L32" s="567"/>
      <c r="M32" s="567"/>
      <c r="N32" s="568"/>
    </row>
    <row r="33" spans="2:14" ht="20.100000000000001" customHeight="1" x14ac:dyDescent="0.15">
      <c r="B33" s="592"/>
      <c r="C33" s="576" t="s">
        <v>236</v>
      </c>
      <c r="D33" s="577"/>
      <c r="E33" s="578"/>
      <c r="F33" s="25">
        <f>SUM(G33:G33)</f>
        <v>1072800</v>
      </c>
      <c r="G33" s="296">
        <f>'５　ハウスアスパラガス作業時間'!AN51*'４　経営収支'!I33</f>
        <v>1072800</v>
      </c>
      <c r="H33" s="26" t="s">
        <v>238</v>
      </c>
      <c r="I33" s="301">
        <v>900</v>
      </c>
      <c r="J33" s="299" t="s">
        <v>239</v>
      </c>
      <c r="K33" s="299"/>
      <c r="L33" s="299"/>
      <c r="M33" s="299"/>
      <c r="N33" s="300"/>
    </row>
    <row r="34" spans="2:14" ht="20.100000000000001" customHeight="1" x14ac:dyDescent="0.15">
      <c r="B34" s="569" t="s">
        <v>237</v>
      </c>
      <c r="C34" s="570"/>
      <c r="D34" s="570"/>
      <c r="E34" s="570"/>
      <c r="F34" s="298">
        <f>F22+F32+F33</f>
        <v>20638500.764615856</v>
      </c>
      <c r="G34" s="298">
        <f>G22+G32+G33</f>
        <v>20638500.764615856</v>
      </c>
      <c r="H34" s="566"/>
      <c r="I34" s="567"/>
      <c r="J34" s="567"/>
      <c r="K34" s="567"/>
      <c r="L34" s="567"/>
      <c r="M34" s="567"/>
      <c r="N34" s="568"/>
    </row>
    <row r="35" spans="2:14" ht="20.100000000000001" customHeight="1" x14ac:dyDescent="0.15">
      <c r="B35" s="595" t="s">
        <v>240</v>
      </c>
      <c r="C35" s="596"/>
      <c r="D35" s="596"/>
      <c r="E35" s="596"/>
      <c r="F35" s="302">
        <f>F7-F34</f>
        <v>6740399.2353841439</v>
      </c>
      <c r="G35" s="302">
        <f>G7-G34</f>
        <v>6740399.2353841439</v>
      </c>
      <c r="H35" s="566"/>
      <c r="I35" s="567"/>
      <c r="J35" s="567"/>
      <c r="K35" s="567"/>
      <c r="L35" s="567"/>
      <c r="M35" s="567"/>
      <c r="N35" s="568"/>
    </row>
    <row r="36" spans="2:14" ht="20.100000000000001" customHeight="1" x14ac:dyDescent="0.15">
      <c r="B36" s="595" t="s">
        <v>241</v>
      </c>
      <c r="C36" s="596"/>
      <c r="D36" s="596"/>
      <c r="E36" s="596"/>
      <c r="F36" s="304">
        <f>F35/F7</f>
        <v>0.24618955602248974</v>
      </c>
      <c r="G36" s="304">
        <f>G35/G7</f>
        <v>0.24618955602248974</v>
      </c>
      <c r="H36" s="566"/>
      <c r="I36" s="567"/>
      <c r="J36" s="567"/>
      <c r="K36" s="567"/>
      <c r="L36" s="567"/>
      <c r="M36" s="567"/>
      <c r="N36" s="568"/>
    </row>
    <row r="37" spans="2:14" ht="20.100000000000001" customHeight="1" x14ac:dyDescent="0.15">
      <c r="B37" s="595" t="s">
        <v>245</v>
      </c>
      <c r="C37" s="596"/>
      <c r="D37" s="596"/>
      <c r="E37" s="596"/>
      <c r="F37" s="302">
        <f>SUM(G37:G37)</f>
        <v>5901</v>
      </c>
      <c r="G37" s="302">
        <f>I37+L37</f>
        <v>5901</v>
      </c>
      <c r="H37" s="26" t="s">
        <v>242</v>
      </c>
      <c r="I37" s="301">
        <f>'５　ハウスアスパラガス作業時間'!AN44-L37</f>
        <v>4709</v>
      </c>
      <c r="J37" s="299" t="s">
        <v>243</v>
      </c>
      <c r="K37" s="303" t="s">
        <v>244</v>
      </c>
      <c r="L37" s="301">
        <f>'５　ハウスアスパラガス作業時間'!AN51</f>
        <v>1192</v>
      </c>
      <c r="M37" s="299" t="s">
        <v>243</v>
      </c>
      <c r="N37" s="300"/>
    </row>
    <row r="38" spans="2:14" ht="20.100000000000001" customHeight="1" thickBot="1" x14ac:dyDescent="0.2">
      <c r="B38" s="593" t="s">
        <v>246</v>
      </c>
      <c r="C38" s="594"/>
      <c r="D38" s="594"/>
      <c r="E38" s="594"/>
      <c r="F38" s="305">
        <f>F35/I37</f>
        <v>1431.3865439337744</v>
      </c>
      <c r="G38" s="305">
        <f>G35/I37</f>
        <v>1431.3865439337744</v>
      </c>
      <c r="H38" s="588"/>
      <c r="I38" s="589"/>
      <c r="J38" s="589"/>
      <c r="K38" s="589"/>
      <c r="L38" s="589"/>
      <c r="M38" s="589"/>
      <c r="N38" s="590"/>
    </row>
  </sheetData>
  <mergeCells count="50">
    <mergeCell ref="B35:E35"/>
    <mergeCell ref="B36:E36"/>
    <mergeCell ref="B37:E37"/>
    <mergeCell ref="C8:C22"/>
    <mergeCell ref="C23:C32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H3:N4"/>
    <mergeCell ref="H5:N5"/>
    <mergeCell ref="H6:N6"/>
    <mergeCell ref="H7:N7"/>
    <mergeCell ref="H8:N8"/>
    <mergeCell ref="H9:N9"/>
    <mergeCell ref="H10:N10"/>
    <mergeCell ref="H11:N11"/>
    <mergeCell ref="H12:N12"/>
    <mergeCell ref="H13:N13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B3:E4"/>
    <mergeCell ref="D7:E7"/>
    <mergeCell ref="D15:D16"/>
    <mergeCell ref="D17:D19"/>
    <mergeCell ref="D22:E22"/>
    <mergeCell ref="B5:C7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1"/>
  <sheetViews>
    <sheetView showZeros="0" zoomScale="75" zoomScaleNormal="75" zoomScaleSheetLayoutView="100" workbookViewId="0"/>
  </sheetViews>
  <sheetFormatPr defaultRowHeight="13.5" x14ac:dyDescent="0.15"/>
  <cols>
    <col min="1" max="1" width="1.625" style="31" customWidth="1"/>
    <col min="2" max="3" width="11.625" style="31" customWidth="1"/>
    <col min="4" max="39" width="6.125" style="31" customWidth="1"/>
    <col min="40" max="40" width="7" style="31" customWidth="1"/>
    <col min="41" max="41" width="1.5" style="31" customWidth="1"/>
    <col min="42" max="16384" width="9" style="31"/>
  </cols>
  <sheetData>
    <row r="1" spans="2:63" ht="9.9499999999999993" customHeight="1" x14ac:dyDescent="0.15"/>
    <row r="2" spans="2:63" ht="24.95" customHeight="1" x14ac:dyDescent="0.15">
      <c r="B2" s="2" t="s">
        <v>310</v>
      </c>
      <c r="C2" s="2"/>
      <c r="D2" s="5"/>
      <c r="E2" s="5"/>
      <c r="F2" s="5"/>
      <c r="G2" s="5"/>
      <c r="H2" s="5"/>
      <c r="I2" s="5"/>
      <c r="J2" s="5"/>
      <c r="K2" s="5"/>
      <c r="L2" s="263" t="s">
        <v>195</v>
      </c>
      <c r="M2" s="239" t="s">
        <v>294</v>
      </c>
      <c r="N2" s="64"/>
      <c r="O2" s="263" t="s">
        <v>196</v>
      </c>
      <c r="P2" s="239" t="s">
        <v>357</v>
      </c>
      <c r="Q2" s="5"/>
      <c r="R2" s="5"/>
      <c r="S2" s="5"/>
      <c r="T2" s="5"/>
      <c r="U2" s="5"/>
      <c r="V2" s="5"/>
      <c r="W2" s="3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199</v>
      </c>
      <c r="C3" s="2"/>
      <c r="D3" s="5"/>
      <c r="E3" s="5"/>
      <c r="F3" s="5"/>
      <c r="G3" s="5"/>
      <c r="H3" s="5"/>
      <c r="I3" s="5"/>
      <c r="J3" s="5"/>
      <c r="K3" s="5"/>
      <c r="L3" s="5"/>
      <c r="M3" s="33"/>
      <c r="N3" s="5"/>
      <c r="O3" s="5"/>
      <c r="P3" s="33"/>
      <c r="Q3" s="5"/>
      <c r="R3" s="5"/>
      <c r="S3" s="5"/>
      <c r="T3" s="5"/>
      <c r="U3" s="5"/>
      <c r="V3" s="5"/>
      <c r="W3" s="3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636" t="s">
        <v>95</v>
      </c>
      <c r="C4" s="637"/>
      <c r="D4" s="631">
        <v>1</v>
      </c>
      <c r="E4" s="632"/>
      <c r="F4" s="633"/>
      <c r="G4" s="631">
        <v>2</v>
      </c>
      <c r="H4" s="632"/>
      <c r="I4" s="633"/>
      <c r="J4" s="631">
        <v>3</v>
      </c>
      <c r="K4" s="632"/>
      <c r="L4" s="633"/>
      <c r="M4" s="631">
        <v>4</v>
      </c>
      <c r="N4" s="632"/>
      <c r="O4" s="633"/>
      <c r="P4" s="631">
        <v>5</v>
      </c>
      <c r="Q4" s="632"/>
      <c r="R4" s="633"/>
      <c r="S4" s="631">
        <v>6</v>
      </c>
      <c r="T4" s="632"/>
      <c r="U4" s="633"/>
      <c r="V4" s="631">
        <v>7</v>
      </c>
      <c r="W4" s="632"/>
      <c r="X4" s="633"/>
      <c r="Y4" s="631">
        <v>8</v>
      </c>
      <c r="Z4" s="632"/>
      <c r="AA4" s="633"/>
      <c r="AB4" s="631">
        <v>9</v>
      </c>
      <c r="AC4" s="632"/>
      <c r="AD4" s="633"/>
      <c r="AE4" s="631">
        <v>10</v>
      </c>
      <c r="AF4" s="632"/>
      <c r="AG4" s="633"/>
      <c r="AH4" s="631">
        <v>11</v>
      </c>
      <c r="AI4" s="632"/>
      <c r="AJ4" s="633"/>
      <c r="AK4" s="631">
        <v>12</v>
      </c>
      <c r="AL4" s="632"/>
      <c r="AM4" s="633"/>
      <c r="AN4" s="634" t="s">
        <v>30</v>
      </c>
    </row>
    <row r="5" spans="2:63" ht="20.100000000000001" customHeight="1" x14ac:dyDescent="0.15">
      <c r="B5" s="630"/>
      <c r="C5" s="612"/>
      <c r="D5" s="320" t="s">
        <v>31</v>
      </c>
      <c r="E5" s="54" t="s">
        <v>32</v>
      </c>
      <c r="F5" s="55" t="s">
        <v>33</v>
      </c>
      <c r="G5" s="320" t="s">
        <v>31</v>
      </c>
      <c r="H5" s="55" t="s">
        <v>32</v>
      </c>
      <c r="I5" s="55" t="s">
        <v>33</v>
      </c>
      <c r="J5" s="320" t="s">
        <v>31</v>
      </c>
      <c r="K5" s="55" t="s">
        <v>32</v>
      </c>
      <c r="L5" s="55" t="s">
        <v>33</v>
      </c>
      <c r="M5" s="320" t="s">
        <v>31</v>
      </c>
      <c r="N5" s="55" t="s">
        <v>32</v>
      </c>
      <c r="O5" s="55" t="s">
        <v>33</v>
      </c>
      <c r="P5" s="320" t="s">
        <v>31</v>
      </c>
      <c r="Q5" s="55" t="s">
        <v>32</v>
      </c>
      <c r="R5" s="55" t="s">
        <v>33</v>
      </c>
      <c r="S5" s="320" t="s">
        <v>31</v>
      </c>
      <c r="T5" s="321" t="s">
        <v>32</v>
      </c>
      <c r="U5" s="321" t="s">
        <v>33</v>
      </c>
      <c r="V5" s="320" t="s">
        <v>31</v>
      </c>
      <c r="W5" s="55" t="s">
        <v>32</v>
      </c>
      <c r="X5" s="55" t="s">
        <v>33</v>
      </c>
      <c r="Y5" s="320" t="s">
        <v>31</v>
      </c>
      <c r="Z5" s="55" t="s">
        <v>32</v>
      </c>
      <c r="AA5" s="55" t="s">
        <v>33</v>
      </c>
      <c r="AB5" s="320" t="s">
        <v>31</v>
      </c>
      <c r="AC5" s="55" t="s">
        <v>32</v>
      </c>
      <c r="AD5" s="55" t="s">
        <v>33</v>
      </c>
      <c r="AE5" s="320" t="s">
        <v>31</v>
      </c>
      <c r="AF5" s="55" t="s">
        <v>32</v>
      </c>
      <c r="AG5" s="55" t="s">
        <v>33</v>
      </c>
      <c r="AH5" s="320" t="s">
        <v>31</v>
      </c>
      <c r="AI5" s="55" t="s">
        <v>32</v>
      </c>
      <c r="AJ5" s="55" t="s">
        <v>33</v>
      </c>
      <c r="AK5" s="320" t="s">
        <v>31</v>
      </c>
      <c r="AL5" s="55" t="s">
        <v>32</v>
      </c>
      <c r="AM5" s="55" t="s">
        <v>33</v>
      </c>
      <c r="AN5" s="635"/>
    </row>
    <row r="6" spans="2:63" ht="20.100000000000001" customHeight="1" x14ac:dyDescent="0.15">
      <c r="B6" s="627" t="s">
        <v>96</v>
      </c>
      <c r="C6" s="614"/>
      <c r="D6" s="57"/>
      <c r="E6" s="5"/>
      <c r="F6" s="5"/>
      <c r="G6" s="5"/>
      <c r="H6" s="5"/>
      <c r="I6" s="5"/>
      <c r="J6" s="5"/>
      <c r="K6" s="5"/>
      <c r="L6" s="5"/>
      <c r="M6" s="5"/>
      <c r="N6" s="5"/>
      <c r="O6" s="33"/>
      <c r="P6" s="33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322"/>
    </row>
    <row r="7" spans="2:63" ht="20.100000000000001" customHeight="1" x14ac:dyDescent="0.15">
      <c r="B7" s="628"/>
      <c r="C7" s="629"/>
      <c r="D7" s="57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322"/>
    </row>
    <row r="8" spans="2:63" ht="20.100000000000001" customHeight="1" x14ac:dyDescent="0.15">
      <c r="B8" s="630"/>
      <c r="C8" s="612"/>
      <c r="D8" s="323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5"/>
    </row>
    <row r="9" spans="2:63" ht="20.100000000000001" customHeight="1" x14ac:dyDescent="0.15">
      <c r="B9" s="623" t="s">
        <v>254</v>
      </c>
      <c r="C9" s="624"/>
      <c r="D9" s="252"/>
      <c r="E9" s="59">
        <v>8.3000000000000007</v>
      </c>
      <c r="F9" s="59"/>
      <c r="G9" s="252"/>
      <c r="H9" s="59"/>
      <c r="I9" s="59"/>
      <c r="J9" s="252"/>
      <c r="K9" s="59"/>
      <c r="L9" s="59"/>
      <c r="M9" s="252"/>
      <c r="N9" s="59"/>
      <c r="O9" s="59"/>
      <c r="P9" s="252"/>
      <c r="Q9" s="59"/>
      <c r="R9" s="59"/>
      <c r="S9" s="252"/>
      <c r="T9" s="59"/>
      <c r="U9" s="59"/>
      <c r="V9" s="252"/>
      <c r="W9" s="59"/>
      <c r="X9" s="59"/>
      <c r="Y9" s="252"/>
      <c r="Z9" s="59"/>
      <c r="AA9" s="59"/>
      <c r="AB9" s="252"/>
      <c r="AC9" s="59"/>
      <c r="AD9" s="59"/>
      <c r="AE9" s="252"/>
      <c r="AF9" s="59"/>
      <c r="AG9" s="59"/>
      <c r="AH9" s="252"/>
      <c r="AI9" s="59"/>
      <c r="AJ9" s="59"/>
      <c r="AK9" s="252"/>
      <c r="AL9" s="59"/>
      <c r="AM9" s="59"/>
      <c r="AN9" s="326">
        <f>SUM(D9:AM9)</f>
        <v>8.3000000000000007</v>
      </c>
    </row>
    <row r="10" spans="2:63" ht="20.100000000000001" customHeight="1" x14ac:dyDescent="0.15">
      <c r="B10" s="623" t="s">
        <v>284</v>
      </c>
      <c r="C10" s="624"/>
      <c r="D10" s="252"/>
      <c r="E10" s="59">
        <v>3.7</v>
      </c>
      <c r="F10" s="59"/>
      <c r="G10" s="252"/>
      <c r="H10" s="59"/>
      <c r="I10" s="59"/>
      <c r="J10" s="252"/>
      <c r="K10" s="59"/>
      <c r="L10" s="59"/>
      <c r="M10" s="252"/>
      <c r="N10" s="59"/>
      <c r="O10" s="59"/>
      <c r="P10" s="252"/>
      <c r="Q10" s="59"/>
      <c r="R10" s="59"/>
      <c r="S10" s="252"/>
      <c r="T10" s="59"/>
      <c r="U10" s="59"/>
      <c r="V10" s="252"/>
      <c r="W10" s="59"/>
      <c r="X10" s="59"/>
      <c r="Y10" s="252"/>
      <c r="Z10" s="59"/>
      <c r="AA10" s="59"/>
      <c r="AB10" s="252"/>
      <c r="AC10" s="59"/>
      <c r="AD10" s="59"/>
      <c r="AE10" s="252"/>
      <c r="AF10" s="59"/>
      <c r="AG10" s="59"/>
      <c r="AH10" s="252"/>
      <c r="AI10" s="59"/>
      <c r="AJ10" s="59"/>
      <c r="AK10" s="252"/>
      <c r="AL10" s="59"/>
      <c r="AM10" s="59"/>
      <c r="AN10" s="326">
        <f t="shared" ref="AN10:AN34" si="0">SUM(D10:AM10)</f>
        <v>3.7</v>
      </c>
    </row>
    <row r="11" spans="2:63" ht="20.100000000000001" customHeight="1" x14ac:dyDescent="0.15">
      <c r="B11" s="623" t="s">
        <v>285</v>
      </c>
      <c r="C11" s="624"/>
      <c r="D11" s="252"/>
      <c r="E11" s="59"/>
      <c r="F11" s="59">
        <v>5.4</v>
      </c>
      <c r="G11" s="252">
        <v>5.4</v>
      </c>
      <c r="H11" s="59">
        <v>5.4</v>
      </c>
      <c r="I11" s="59">
        <v>5.4</v>
      </c>
      <c r="J11" s="252"/>
      <c r="K11" s="59"/>
      <c r="L11" s="59"/>
      <c r="M11" s="252"/>
      <c r="N11" s="59"/>
      <c r="O11" s="59"/>
      <c r="P11" s="252"/>
      <c r="Q11" s="59"/>
      <c r="R11" s="59"/>
      <c r="S11" s="252"/>
      <c r="T11" s="59"/>
      <c r="U11" s="59"/>
      <c r="V11" s="252"/>
      <c r="W11" s="59"/>
      <c r="X11" s="59"/>
      <c r="Y11" s="252"/>
      <c r="Z11" s="59"/>
      <c r="AA11" s="59"/>
      <c r="AB11" s="252"/>
      <c r="AC11" s="59"/>
      <c r="AD11" s="59"/>
      <c r="AE11" s="252"/>
      <c r="AF11" s="59"/>
      <c r="AG11" s="59"/>
      <c r="AH11" s="252"/>
      <c r="AI11" s="59"/>
      <c r="AJ11" s="59"/>
      <c r="AK11" s="252"/>
      <c r="AL11" s="59"/>
      <c r="AM11" s="59"/>
      <c r="AN11" s="326">
        <f t="shared" si="0"/>
        <v>21.6</v>
      </c>
    </row>
    <row r="12" spans="2:63" ht="20.100000000000001" customHeight="1" x14ac:dyDescent="0.15">
      <c r="B12" s="357" t="s">
        <v>290</v>
      </c>
      <c r="C12" s="358"/>
      <c r="D12" s="252"/>
      <c r="E12" s="59"/>
      <c r="F12" s="59"/>
      <c r="G12" s="252"/>
      <c r="H12" s="59">
        <v>2</v>
      </c>
      <c r="I12" s="59"/>
      <c r="J12" s="252">
        <v>2</v>
      </c>
      <c r="K12" s="59"/>
      <c r="L12" s="59"/>
      <c r="M12" s="252"/>
      <c r="N12" s="59"/>
      <c r="O12" s="59"/>
      <c r="P12" s="252"/>
      <c r="Q12" s="59"/>
      <c r="R12" s="59"/>
      <c r="S12" s="252"/>
      <c r="T12" s="59"/>
      <c r="U12" s="59"/>
      <c r="V12" s="252"/>
      <c r="W12" s="59"/>
      <c r="X12" s="59"/>
      <c r="Y12" s="252"/>
      <c r="Z12" s="59"/>
      <c r="AA12" s="59"/>
      <c r="AB12" s="252"/>
      <c r="AC12" s="59"/>
      <c r="AD12" s="59"/>
      <c r="AE12" s="252"/>
      <c r="AF12" s="59"/>
      <c r="AG12" s="59"/>
      <c r="AH12" s="252"/>
      <c r="AI12" s="59"/>
      <c r="AJ12" s="59"/>
      <c r="AK12" s="252"/>
      <c r="AL12" s="59"/>
      <c r="AM12" s="59"/>
      <c r="AN12" s="326">
        <f t="shared" si="0"/>
        <v>4</v>
      </c>
    </row>
    <row r="13" spans="2:63" ht="20.100000000000001" customHeight="1" x14ac:dyDescent="0.15">
      <c r="B13" s="327" t="s">
        <v>337</v>
      </c>
      <c r="C13" s="5"/>
      <c r="D13" s="252"/>
      <c r="E13" s="59"/>
      <c r="F13" s="59"/>
      <c r="G13" s="252"/>
      <c r="H13" s="59"/>
      <c r="I13" s="59"/>
      <c r="J13" s="252"/>
      <c r="K13" s="59">
        <v>0.5</v>
      </c>
      <c r="L13" s="59">
        <v>0.5</v>
      </c>
      <c r="M13" s="252">
        <v>0.5</v>
      </c>
      <c r="N13" s="59">
        <v>0.5</v>
      </c>
      <c r="O13" s="59">
        <v>0.5</v>
      </c>
      <c r="P13" s="252">
        <v>0.5</v>
      </c>
      <c r="Q13" s="59">
        <v>0.5</v>
      </c>
      <c r="R13" s="59"/>
      <c r="S13" s="252"/>
      <c r="T13" s="59"/>
      <c r="U13" s="59"/>
      <c r="V13" s="252"/>
      <c r="W13" s="59"/>
      <c r="X13" s="59"/>
      <c r="Y13" s="252"/>
      <c r="Z13" s="59"/>
      <c r="AA13" s="59"/>
      <c r="AB13" s="252"/>
      <c r="AC13" s="59"/>
      <c r="AD13" s="59"/>
      <c r="AE13" s="252"/>
      <c r="AF13" s="59"/>
      <c r="AG13" s="59"/>
      <c r="AH13" s="252"/>
      <c r="AI13" s="59"/>
      <c r="AJ13" s="59"/>
      <c r="AK13" s="252"/>
      <c r="AL13" s="59"/>
      <c r="AM13" s="59"/>
      <c r="AN13" s="326">
        <f t="shared" ref="AN13" si="1">SUM(D13:AM13)</f>
        <v>3.5</v>
      </c>
    </row>
    <row r="14" spans="2:63" ht="20.100000000000001" customHeight="1" x14ac:dyDescent="0.15">
      <c r="B14" s="623" t="s">
        <v>288</v>
      </c>
      <c r="C14" s="624"/>
      <c r="D14" s="252"/>
      <c r="E14" s="59"/>
      <c r="F14" s="59"/>
      <c r="G14" s="252"/>
      <c r="H14" s="59"/>
      <c r="I14" s="59"/>
      <c r="J14" s="252"/>
      <c r="K14" s="59">
        <v>5</v>
      </c>
      <c r="L14" s="59">
        <v>15</v>
      </c>
      <c r="M14" s="252">
        <v>25</v>
      </c>
      <c r="N14" s="59">
        <v>30</v>
      </c>
      <c r="O14" s="59">
        <v>35</v>
      </c>
      <c r="P14" s="252">
        <v>30</v>
      </c>
      <c r="Q14" s="59">
        <v>25</v>
      </c>
      <c r="R14" s="59">
        <v>15</v>
      </c>
      <c r="S14" s="252">
        <v>15</v>
      </c>
      <c r="T14" s="59">
        <v>15</v>
      </c>
      <c r="U14" s="59">
        <v>20</v>
      </c>
      <c r="V14" s="252">
        <v>30</v>
      </c>
      <c r="W14" s="59">
        <v>35</v>
      </c>
      <c r="X14" s="59">
        <v>35</v>
      </c>
      <c r="Y14" s="252">
        <v>35</v>
      </c>
      <c r="Z14" s="59">
        <v>30</v>
      </c>
      <c r="AA14" s="59">
        <v>25</v>
      </c>
      <c r="AB14" s="252">
        <v>25</v>
      </c>
      <c r="AC14" s="59">
        <v>20</v>
      </c>
      <c r="AD14" s="59">
        <v>15</v>
      </c>
      <c r="AE14" s="252">
        <v>15</v>
      </c>
      <c r="AF14" s="59">
        <v>5</v>
      </c>
      <c r="AG14" s="59"/>
      <c r="AH14" s="252"/>
      <c r="AI14" s="59"/>
      <c r="AJ14" s="59"/>
      <c r="AK14" s="252"/>
      <c r="AL14" s="59"/>
      <c r="AM14" s="59"/>
      <c r="AN14" s="326">
        <f t="shared" ref="AN14:AN19" si="2">SUM(D14:AM14)</f>
        <v>500</v>
      </c>
    </row>
    <row r="15" spans="2:63" ht="20.100000000000001" customHeight="1" x14ac:dyDescent="0.15">
      <c r="B15" s="353" t="s">
        <v>286</v>
      </c>
      <c r="C15" s="354"/>
      <c r="D15" s="252"/>
      <c r="E15" s="59"/>
      <c r="F15" s="59"/>
      <c r="G15" s="252"/>
      <c r="H15" s="59"/>
      <c r="I15" s="59"/>
      <c r="J15" s="252"/>
      <c r="K15" s="59"/>
      <c r="L15" s="59"/>
      <c r="M15" s="252"/>
      <c r="N15" s="59"/>
      <c r="O15" s="59"/>
      <c r="P15" s="252"/>
      <c r="Q15" s="59"/>
      <c r="R15" s="59">
        <v>3</v>
      </c>
      <c r="S15" s="252">
        <v>3</v>
      </c>
      <c r="T15" s="59">
        <v>3</v>
      </c>
      <c r="U15" s="59"/>
      <c r="V15" s="252"/>
      <c r="W15" s="59"/>
      <c r="X15" s="59"/>
      <c r="Y15" s="252"/>
      <c r="Z15" s="59"/>
      <c r="AA15" s="59"/>
      <c r="AB15" s="252"/>
      <c r="AC15" s="59"/>
      <c r="AD15" s="59"/>
      <c r="AE15" s="252"/>
      <c r="AF15" s="59"/>
      <c r="AG15" s="59"/>
      <c r="AH15" s="252"/>
      <c r="AI15" s="59"/>
      <c r="AJ15" s="59"/>
      <c r="AK15" s="252"/>
      <c r="AL15" s="59"/>
      <c r="AM15" s="59"/>
      <c r="AN15" s="326">
        <f t="shared" si="2"/>
        <v>9</v>
      </c>
    </row>
    <row r="16" spans="2:63" ht="20.100000000000001" customHeight="1" x14ac:dyDescent="0.15">
      <c r="B16" s="353" t="s">
        <v>287</v>
      </c>
      <c r="C16" s="354"/>
      <c r="D16" s="252"/>
      <c r="E16" s="59"/>
      <c r="F16" s="59"/>
      <c r="G16" s="252"/>
      <c r="H16" s="59">
        <v>0.5</v>
      </c>
      <c r="I16" s="59"/>
      <c r="J16" s="252">
        <v>0.5</v>
      </c>
      <c r="K16" s="59">
        <v>0.5</v>
      </c>
      <c r="L16" s="59">
        <v>0.5</v>
      </c>
      <c r="M16" s="252">
        <v>0.5</v>
      </c>
      <c r="N16" s="59">
        <v>0.5</v>
      </c>
      <c r="O16" s="59">
        <v>0.5</v>
      </c>
      <c r="P16" s="252">
        <v>0.5</v>
      </c>
      <c r="Q16" s="59">
        <v>0.5</v>
      </c>
      <c r="R16" s="59">
        <v>0.5</v>
      </c>
      <c r="S16" s="252">
        <v>0.5</v>
      </c>
      <c r="T16" s="59">
        <v>0.5</v>
      </c>
      <c r="U16" s="59">
        <v>0.5</v>
      </c>
      <c r="V16" s="252">
        <v>0.5</v>
      </c>
      <c r="W16" s="59">
        <v>0.5</v>
      </c>
      <c r="X16" s="59">
        <v>1</v>
      </c>
      <c r="Y16" s="252">
        <v>1</v>
      </c>
      <c r="Z16" s="59">
        <v>1</v>
      </c>
      <c r="AA16" s="59">
        <v>1</v>
      </c>
      <c r="AB16" s="252">
        <v>1</v>
      </c>
      <c r="AC16" s="59">
        <v>1</v>
      </c>
      <c r="AD16" s="59">
        <v>0.5</v>
      </c>
      <c r="AE16" s="252">
        <v>0.5</v>
      </c>
      <c r="AF16" s="59">
        <v>0.5</v>
      </c>
      <c r="AG16" s="59"/>
      <c r="AH16" s="252">
        <v>0.5</v>
      </c>
      <c r="AI16" s="59"/>
      <c r="AJ16" s="59">
        <v>0.5</v>
      </c>
      <c r="AK16" s="252"/>
      <c r="AL16" s="59"/>
      <c r="AM16" s="59"/>
      <c r="AN16" s="326">
        <f t="shared" si="2"/>
        <v>16</v>
      </c>
    </row>
    <row r="17" spans="2:40" ht="20.100000000000001" customHeight="1" x14ac:dyDescent="0.15">
      <c r="B17" s="353" t="s">
        <v>289</v>
      </c>
      <c r="C17" s="354"/>
      <c r="D17" s="252"/>
      <c r="E17" s="59"/>
      <c r="F17" s="59"/>
      <c r="G17" s="252"/>
      <c r="H17" s="59"/>
      <c r="I17" s="59"/>
      <c r="J17" s="252"/>
      <c r="K17" s="59"/>
      <c r="L17" s="59"/>
      <c r="M17" s="252"/>
      <c r="N17" s="59"/>
      <c r="O17" s="59"/>
      <c r="P17" s="252"/>
      <c r="Q17" s="59">
        <v>0.7</v>
      </c>
      <c r="R17" s="59">
        <v>0.7</v>
      </c>
      <c r="S17" s="252">
        <v>0.7</v>
      </c>
      <c r="T17" s="59"/>
      <c r="U17" s="59">
        <v>0.7</v>
      </c>
      <c r="V17" s="252">
        <v>0.7</v>
      </c>
      <c r="W17" s="59"/>
      <c r="X17" s="59">
        <v>0.7</v>
      </c>
      <c r="Y17" s="252">
        <v>0.7</v>
      </c>
      <c r="Z17" s="59"/>
      <c r="AA17" s="59">
        <v>0.7</v>
      </c>
      <c r="AB17" s="252"/>
      <c r="AC17" s="59">
        <v>0.7</v>
      </c>
      <c r="AD17" s="59"/>
      <c r="AE17" s="252"/>
      <c r="AF17" s="59"/>
      <c r="AG17" s="59">
        <v>0.7</v>
      </c>
      <c r="AH17" s="252"/>
      <c r="AI17" s="59"/>
      <c r="AJ17" s="59"/>
      <c r="AK17" s="252"/>
      <c r="AL17" s="59"/>
      <c r="AM17" s="59"/>
      <c r="AN17" s="326">
        <f t="shared" si="2"/>
        <v>7.0000000000000009</v>
      </c>
    </row>
    <row r="18" spans="2:40" ht="20.100000000000001" customHeight="1" x14ac:dyDescent="0.15">
      <c r="B18" s="353" t="s">
        <v>291</v>
      </c>
      <c r="C18" s="354"/>
      <c r="D18" s="252"/>
      <c r="E18" s="59"/>
      <c r="F18" s="59"/>
      <c r="G18" s="252"/>
      <c r="H18" s="59"/>
      <c r="I18" s="59"/>
      <c r="J18" s="252"/>
      <c r="K18" s="59"/>
      <c r="L18" s="59"/>
      <c r="M18" s="252"/>
      <c r="N18" s="59"/>
      <c r="O18" s="59"/>
      <c r="P18" s="252"/>
      <c r="Q18" s="59"/>
      <c r="R18" s="59"/>
      <c r="S18" s="252"/>
      <c r="T18" s="59"/>
      <c r="U18" s="59"/>
      <c r="V18" s="252"/>
      <c r="W18" s="59"/>
      <c r="X18" s="59"/>
      <c r="Y18" s="252"/>
      <c r="Z18" s="59"/>
      <c r="AA18" s="59"/>
      <c r="AB18" s="252"/>
      <c r="AC18" s="59"/>
      <c r="AD18" s="59"/>
      <c r="AE18" s="252"/>
      <c r="AF18" s="59"/>
      <c r="AG18" s="59"/>
      <c r="AH18" s="252"/>
      <c r="AI18" s="59"/>
      <c r="AJ18" s="59"/>
      <c r="AK18" s="252">
        <v>4</v>
      </c>
      <c r="AL18" s="59">
        <v>4.5</v>
      </c>
      <c r="AM18" s="59"/>
      <c r="AN18" s="326">
        <f t="shared" si="2"/>
        <v>8.5</v>
      </c>
    </row>
    <row r="19" spans="2:40" ht="20.100000000000001" customHeight="1" x14ac:dyDescent="0.15">
      <c r="B19" s="353" t="s">
        <v>292</v>
      </c>
      <c r="C19" s="354"/>
      <c r="D19" s="252"/>
      <c r="E19" s="59"/>
      <c r="F19" s="59"/>
      <c r="G19" s="252"/>
      <c r="H19" s="59"/>
      <c r="I19" s="59"/>
      <c r="J19" s="252"/>
      <c r="K19" s="59"/>
      <c r="L19" s="59"/>
      <c r="M19" s="252"/>
      <c r="N19" s="59"/>
      <c r="O19" s="59"/>
      <c r="P19" s="252"/>
      <c r="Q19" s="59"/>
      <c r="R19" s="59"/>
      <c r="S19" s="252"/>
      <c r="T19" s="59"/>
      <c r="U19" s="59"/>
      <c r="V19" s="252"/>
      <c r="W19" s="59"/>
      <c r="X19" s="59"/>
      <c r="Y19" s="252"/>
      <c r="Z19" s="59"/>
      <c r="AA19" s="59"/>
      <c r="AB19" s="252"/>
      <c r="AC19" s="59"/>
      <c r="AD19" s="59"/>
      <c r="AE19" s="252"/>
      <c r="AF19" s="59"/>
      <c r="AG19" s="59"/>
      <c r="AH19" s="252"/>
      <c r="AI19" s="59"/>
      <c r="AJ19" s="59"/>
      <c r="AK19" s="252"/>
      <c r="AL19" s="59"/>
      <c r="AM19" s="59">
        <v>8.5</v>
      </c>
      <c r="AN19" s="326">
        <f t="shared" si="2"/>
        <v>8.5</v>
      </c>
    </row>
    <row r="20" spans="2:40" ht="20.100000000000001" customHeight="1" x14ac:dyDescent="0.15">
      <c r="B20" s="623"/>
      <c r="C20" s="624"/>
      <c r="D20" s="252"/>
      <c r="E20" s="59"/>
      <c r="F20" s="59"/>
      <c r="G20" s="252"/>
      <c r="H20" s="59"/>
      <c r="I20" s="59"/>
      <c r="J20" s="252"/>
      <c r="K20" s="59"/>
      <c r="L20" s="59"/>
      <c r="M20" s="252"/>
      <c r="N20" s="59"/>
      <c r="O20" s="59"/>
      <c r="P20" s="252"/>
      <c r="Q20" s="59"/>
      <c r="R20" s="59"/>
      <c r="S20" s="252"/>
      <c r="T20" s="59"/>
      <c r="U20" s="59"/>
      <c r="V20" s="252"/>
      <c r="W20" s="59"/>
      <c r="X20" s="59"/>
      <c r="Y20" s="252"/>
      <c r="Z20" s="59"/>
      <c r="AA20" s="59"/>
      <c r="AB20" s="252"/>
      <c r="AC20" s="59"/>
      <c r="AD20" s="59"/>
      <c r="AE20" s="252"/>
      <c r="AF20" s="59"/>
      <c r="AG20" s="59"/>
      <c r="AH20" s="252"/>
      <c r="AI20" s="59"/>
      <c r="AJ20" s="59"/>
      <c r="AK20" s="252"/>
      <c r="AL20" s="59"/>
      <c r="AM20" s="59"/>
      <c r="AN20" s="326">
        <f t="shared" si="0"/>
        <v>0</v>
      </c>
    </row>
    <row r="21" spans="2:40" ht="20.100000000000001" customHeight="1" x14ac:dyDescent="0.15">
      <c r="B21" s="623"/>
      <c r="C21" s="624"/>
      <c r="D21" s="252"/>
      <c r="E21" s="59"/>
      <c r="F21" s="59"/>
      <c r="G21" s="252"/>
      <c r="H21" s="59"/>
      <c r="I21" s="59"/>
      <c r="J21" s="252"/>
      <c r="K21" s="59"/>
      <c r="L21" s="59"/>
      <c r="M21" s="252"/>
      <c r="N21" s="59"/>
      <c r="O21" s="59"/>
      <c r="P21" s="252"/>
      <c r="Q21" s="59"/>
      <c r="R21" s="59"/>
      <c r="S21" s="252"/>
      <c r="T21" s="59"/>
      <c r="U21" s="59"/>
      <c r="V21" s="252"/>
      <c r="W21" s="59"/>
      <c r="X21" s="59"/>
      <c r="Y21" s="252"/>
      <c r="Z21" s="59"/>
      <c r="AA21" s="59"/>
      <c r="AB21" s="252"/>
      <c r="AC21" s="59"/>
      <c r="AD21" s="59"/>
      <c r="AE21" s="252"/>
      <c r="AF21" s="59"/>
      <c r="AG21" s="59"/>
      <c r="AH21" s="252"/>
      <c r="AI21" s="59"/>
      <c r="AJ21" s="59"/>
      <c r="AK21" s="252"/>
      <c r="AL21" s="59"/>
      <c r="AM21" s="59"/>
      <c r="AN21" s="326">
        <f t="shared" si="0"/>
        <v>0</v>
      </c>
    </row>
    <row r="22" spans="2:40" ht="20.100000000000001" customHeight="1" x14ac:dyDescent="0.15">
      <c r="B22" s="623"/>
      <c r="C22" s="624"/>
      <c r="D22" s="252"/>
      <c r="E22" s="59"/>
      <c r="F22" s="59"/>
      <c r="G22" s="252"/>
      <c r="H22" s="59"/>
      <c r="I22" s="59"/>
      <c r="J22" s="252"/>
      <c r="K22" s="59"/>
      <c r="L22" s="59"/>
      <c r="M22" s="252"/>
      <c r="N22" s="59"/>
      <c r="O22" s="59"/>
      <c r="P22" s="252"/>
      <c r="Q22" s="59"/>
      <c r="R22" s="59"/>
      <c r="S22" s="252"/>
      <c r="T22" s="59"/>
      <c r="U22" s="59"/>
      <c r="V22" s="252"/>
      <c r="W22" s="59"/>
      <c r="X22" s="59"/>
      <c r="Y22" s="252"/>
      <c r="Z22" s="59"/>
      <c r="AA22" s="59"/>
      <c r="AB22" s="252"/>
      <c r="AC22" s="59"/>
      <c r="AD22" s="59"/>
      <c r="AE22" s="252"/>
      <c r="AF22" s="59"/>
      <c r="AG22" s="59"/>
      <c r="AH22" s="252"/>
      <c r="AI22" s="59"/>
      <c r="AJ22" s="59"/>
      <c r="AK22" s="252"/>
      <c r="AL22" s="59"/>
      <c r="AM22" s="59"/>
      <c r="AN22" s="326">
        <f t="shared" si="0"/>
        <v>0</v>
      </c>
    </row>
    <row r="23" spans="2:40" ht="20.100000000000001" customHeight="1" x14ac:dyDescent="0.15">
      <c r="B23" s="623"/>
      <c r="C23" s="624"/>
      <c r="D23" s="252"/>
      <c r="E23" s="59"/>
      <c r="F23" s="59"/>
      <c r="G23" s="252"/>
      <c r="H23" s="59"/>
      <c r="I23" s="59"/>
      <c r="J23" s="252"/>
      <c r="K23" s="59"/>
      <c r="L23" s="59"/>
      <c r="M23" s="252"/>
      <c r="N23" s="59"/>
      <c r="O23" s="59"/>
      <c r="P23" s="252"/>
      <c r="Q23" s="59"/>
      <c r="R23" s="59"/>
      <c r="S23" s="252"/>
      <c r="T23" s="59"/>
      <c r="U23" s="59"/>
      <c r="V23" s="252"/>
      <c r="W23" s="59"/>
      <c r="X23" s="59"/>
      <c r="Y23" s="252"/>
      <c r="Z23" s="59"/>
      <c r="AA23" s="59"/>
      <c r="AB23" s="252"/>
      <c r="AC23" s="59"/>
      <c r="AD23" s="59"/>
      <c r="AE23" s="252"/>
      <c r="AF23" s="59"/>
      <c r="AG23" s="59"/>
      <c r="AH23" s="252"/>
      <c r="AI23" s="59"/>
      <c r="AJ23" s="59"/>
      <c r="AK23" s="252"/>
      <c r="AL23" s="59"/>
      <c r="AM23" s="59"/>
      <c r="AN23" s="326">
        <f t="shared" si="0"/>
        <v>0</v>
      </c>
    </row>
    <row r="24" spans="2:40" ht="20.100000000000001" customHeight="1" x14ac:dyDescent="0.15">
      <c r="B24" s="623"/>
      <c r="C24" s="624"/>
      <c r="D24" s="252"/>
      <c r="E24" s="59"/>
      <c r="F24" s="59"/>
      <c r="G24" s="252"/>
      <c r="H24" s="59"/>
      <c r="I24" s="59"/>
      <c r="J24" s="252"/>
      <c r="K24" s="59"/>
      <c r="L24" s="59"/>
      <c r="M24" s="252"/>
      <c r="N24" s="59"/>
      <c r="O24" s="59"/>
      <c r="P24" s="252"/>
      <c r="Q24" s="59"/>
      <c r="R24" s="59"/>
      <c r="S24" s="252"/>
      <c r="T24" s="59"/>
      <c r="U24" s="59"/>
      <c r="V24" s="252"/>
      <c r="W24" s="59"/>
      <c r="X24" s="59"/>
      <c r="Y24" s="252"/>
      <c r="Z24" s="59"/>
      <c r="AA24" s="59"/>
      <c r="AB24" s="252"/>
      <c r="AC24" s="59"/>
      <c r="AD24" s="59"/>
      <c r="AE24" s="252"/>
      <c r="AF24" s="59"/>
      <c r="AG24" s="59"/>
      <c r="AH24" s="252"/>
      <c r="AI24" s="59"/>
      <c r="AJ24" s="59"/>
      <c r="AK24" s="252"/>
      <c r="AL24" s="59"/>
      <c r="AM24" s="59"/>
      <c r="AN24" s="326">
        <f t="shared" si="0"/>
        <v>0</v>
      </c>
    </row>
    <row r="25" spans="2:40" ht="20.100000000000001" customHeight="1" x14ac:dyDescent="0.15">
      <c r="B25" s="623"/>
      <c r="C25" s="624"/>
      <c r="D25" s="252"/>
      <c r="E25" s="59"/>
      <c r="F25" s="59"/>
      <c r="G25" s="252"/>
      <c r="H25" s="59"/>
      <c r="I25" s="59"/>
      <c r="J25" s="252"/>
      <c r="K25" s="59"/>
      <c r="L25" s="59"/>
      <c r="M25" s="252"/>
      <c r="N25" s="59"/>
      <c r="O25" s="59"/>
      <c r="P25" s="252"/>
      <c r="Q25" s="59"/>
      <c r="R25" s="59"/>
      <c r="S25" s="252"/>
      <c r="T25" s="59"/>
      <c r="U25" s="59"/>
      <c r="V25" s="252"/>
      <c r="W25" s="59"/>
      <c r="X25" s="59"/>
      <c r="Y25" s="252"/>
      <c r="Z25" s="59"/>
      <c r="AA25" s="59"/>
      <c r="AB25" s="252"/>
      <c r="AC25" s="59"/>
      <c r="AD25" s="59"/>
      <c r="AE25" s="252"/>
      <c r="AF25" s="59"/>
      <c r="AG25" s="59"/>
      <c r="AH25" s="252"/>
      <c r="AI25" s="59"/>
      <c r="AJ25" s="59"/>
      <c r="AK25" s="252"/>
      <c r="AL25" s="59"/>
      <c r="AM25" s="59"/>
      <c r="AN25" s="326">
        <f t="shared" si="0"/>
        <v>0</v>
      </c>
    </row>
    <row r="26" spans="2:40" ht="20.100000000000001" customHeight="1" x14ac:dyDescent="0.15">
      <c r="B26" s="623"/>
      <c r="C26" s="624"/>
      <c r="D26" s="252"/>
      <c r="E26" s="59"/>
      <c r="F26" s="59"/>
      <c r="G26" s="252"/>
      <c r="H26" s="59"/>
      <c r="I26" s="59"/>
      <c r="J26" s="252"/>
      <c r="K26" s="59"/>
      <c r="L26" s="59"/>
      <c r="M26" s="252"/>
      <c r="N26" s="59"/>
      <c r="O26" s="59"/>
      <c r="P26" s="252"/>
      <c r="Q26" s="59"/>
      <c r="R26" s="59"/>
      <c r="S26" s="252"/>
      <c r="T26" s="59"/>
      <c r="U26" s="59"/>
      <c r="V26" s="252"/>
      <c r="W26" s="59"/>
      <c r="X26" s="59"/>
      <c r="Y26" s="252"/>
      <c r="Z26" s="59"/>
      <c r="AA26" s="59"/>
      <c r="AB26" s="252"/>
      <c r="AC26" s="59"/>
      <c r="AD26" s="59"/>
      <c r="AE26" s="252"/>
      <c r="AF26" s="59"/>
      <c r="AG26" s="59"/>
      <c r="AH26" s="252"/>
      <c r="AI26" s="59"/>
      <c r="AJ26" s="59"/>
      <c r="AK26" s="252"/>
      <c r="AL26" s="59"/>
      <c r="AM26" s="59"/>
      <c r="AN26" s="326">
        <f t="shared" si="0"/>
        <v>0</v>
      </c>
    </row>
    <row r="27" spans="2:40" ht="20.100000000000001" customHeight="1" x14ac:dyDescent="0.15">
      <c r="B27" s="623"/>
      <c r="C27" s="624"/>
      <c r="D27" s="252"/>
      <c r="E27" s="59"/>
      <c r="F27" s="59"/>
      <c r="G27" s="252"/>
      <c r="H27" s="59"/>
      <c r="I27" s="59"/>
      <c r="J27" s="252"/>
      <c r="K27" s="59"/>
      <c r="L27" s="59"/>
      <c r="M27" s="252"/>
      <c r="N27" s="59"/>
      <c r="O27" s="59"/>
      <c r="P27" s="252"/>
      <c r="Q27" s="59"/>
      <c r="R27" s="59"/>
      <c r="S27" s="252"/>
      <c r="T27" s="59"/>
      <c r="U27" s="59"/>
      <c r="V27" s="252"/>
      <c r="W27" s="59"/>
      <c r="X27" s="59"/>
      <c r="Y27" s="252"/>
      <c r="Z27" s="59"/>
      <c r="AA27" s="59"/>
      <c r="AB27" s="252"/>
      <c r="AC27" s="59"/>
      <c r="AD27" s="59"/>
      <c r="AE27" s="252"/>
      <c r="AF27" s="59"/>
      <c r="AG27" s="59"/>
      <c r="AH27" s="252"/>
      <c r="AI27" s="59"/>
      <c r="AJ27" s="59"/>
      <c r="AK27" s="252"/>
      <c r="AL27" s="59"/>
      <c r="AM27" s="59"/>
      <c r="AN27" s="326">
        <f t="shared" si="0"/>
        <v>0</v>
      </c>
    </row>
    <row r="28" spans="2:40" ht="20.100000000000001" customHeight="1" x14ac:dyDescent="0.15">
      <c r="B28" s="623"/>
      <c r="C28" s="624"/>
      <c r="D28" s="252"/>
      <c r="E28" s="59"/>
      <c r="F28" s="59"/>
      <c r="G28" s="252"/>
      <c r="H28" s="59"/>
      <c r="I28" s="59"/>
      <c r="J28" s="252"/>
      <c r="K28" s="59"/>
      <c r="L28" s="59"/>
      <c r="M28" s="252"/>
      <c r="N28" s="59"/>
      <c r="O28" s="59"/>
      <c r="P28" s="252"/>
      <c r="Q28" s="59"/>
      <c r="R28" s="59"/>
      <c r="S28" s="252"/>
      <c r="T28" s="59"/>
      <c r="U28" s="59"/>
      <c r="V28" s="252"/>
      <c r="W28" s="59"/>
      <c r="X28" s="59"/>
      <c r="Y28" s="252"/>
      <c r="Z28" s="59"/>
      <c r="AA28" s="59"/>
      <c r="AB28" s="252"/>
      <c r="AC28" s="59"/>
      <c r="AD28" s="59"/>
      <c r="AE28" s="252"/>
      <c r="AF28" s="59"/>
      <c r="AG28" s="59"/>
      <c r="AH28" s="252"/>
      <c r="AI28" s="59"/>
      <c r="AJ28" s="59"/>
      <c r="AK28" s="252"/>
      <c r="AL28" s="59"/>
      <c r="AM28" s="59"/>
      <c r="AN28" s="326">
        <f t="shared" si="0"/>
        <v>0</v>
      </c>
    </row>
    <row r="29" spans="2:40" ht="20.100000000000001" customHeight="1" x14ac:dyDescent="0.15">
      <c r="B29" s="623"/>
      <c r="C29" s="624"/>
      <c r="D29" s="252"/>
      <c r="E29" s="59"/>
      <c r="F29" s="59"/>
      <c r="G29" s="252"/>
      <c r="H29" s="59"/>
      <c r="I29" s="59"/>
      <c r="J29" s="252"/>
      <c r="K29" s="59"/>
      <c r="L29" s="59"/>
      <c r="M29" s="252"/>
      <c r="N29" s="59"/>
      <c r="O29" s="59"/>
      <c r="P29" s="252"/>
      <c r="Q29" s="59"/>
      <c r="R29" s="59"/>
      <c r="S29" s="252"/>
      <c r="T29" s="59"/>
      <c r="U29" s="59"/>
      <c r="V29" s="252"/>
      <c r="W29" s="59"/>
      <c r="X29" s="59"/>
      <c r="Y29" s="252"/>
      <c r="Z29" s="59"/>
      <c r="AA29" s="59"/>
      <c r="AB29" s="252"/>
      <c r="AC29" s="59"/>
      <c r="AD29" s="59"/>
      <c r="AE29" s="252"/>
      <c r="AF29" s="59"/>
      <c r="AG29" s="59"/>
      <c r="AH29" s="252"/>
      <c r="AI29" s="59"/>
      <c r="AJ29" s="59"/>
      <c r="AK29" s="252"/>
      <c r="AL29" s="59"/>
      <c r="AM29" s="59"/>
      <c r="AN29" s="326">
        <f t="shared" si="0"/>
        <v>0</v>
      </c>
    </row>
    <row r="30" spans="2:40" ht="20.100000000000001" customHeight="1" x14ac:dyDescent="0.15">
      <c r="B30" s="623"/>
      <c r="C30" s="624"/>
      <c r="D30" s="252"/>
      <c r="E30" s="59"/>
      <c r="F30" s="59"/>
      <c r="G30" s="252"/>
      <c r="H30" s="59"/>
      <c r="I30" s="59"/>
      <c r="J30" s="252"/>
      <c r="K30" s="59"/>
      <c r="L30" s="59"/>
      <c r="M30" s="252"/>
      <c r="N30" s="59"/>
      <c r="O30" s="59"/>
      <c r="P30" s="252"/>
      <c r="Q30" s="59"/>
      <c r="R30" s="59"/>
      <c r="S30" s="252"/>
      <c r="T30" s="59"/>
      <c r="U30" s="59"/>
      <c r="V30" s="252"/>
      <c r="W30" s="59"/>
      <c r="X30" s="59"/>
      <c r="Y30" s="252"/>
      <c r="Z30" s="59"/>
      <c r="AA30" s="59"/>
      <c r="AB30" s="252"/>
      <c r="AC30" s="59"/>
      <c r="AD30" s="59"/>
      <c r="AE30" s="252"/>
      <c r="AF30" s="59"/>
      <c r="AG30" s="59"/>
      <c r="AH30" s="252"/>
      <c r="AI30" s="59"/>
      <c r="AJ30" s="59"/>
      <c r="AK30" s="252"/>
      <c r="AL30" s="59"/>
      <c r="AM30" s="59"/>
      <c r="AN30" s="326">
        <f t="shared" si="0"/>
        <v>0</v>
      </c>
    </row>
    <row r="31" spans="2:40" ht="20.100000000000001" customHeight="1" x14ac:dyDescent="0.15">
      <c r="B31" s="623"/>
      <c r="C31" s="624"/>
      <c r="D31" s="252"/>
      <c r="E31" s="59"/>
      <c r="F31" s="59"/>
      <c r="G31" s="252"/>
      <c r="H31" s="59"/>
      <c r="I31" s="59"/>
      <c r="J31" s="252"/>
      <c r="K31" s="59"/>
      <c r="L31" s="59"/>
      <c r="M31" s="252"/>
      <c r="N31" s="59"/>
      <c r="O31" s="59"/>
      <c r="P31" s="252"/>
      <c r="Q31" s="59"/>
      <c r="R31" s="59"/>
      <c r="S31" s="252"/>
      <c r="T31" s="59"/>
      <c r="U31" s="59"/>
      <c r="V31" s="252"/>
      <c r="W31" s="59"/>
      <c r="X31" s="59"/>
      <c r="Y31" s="252"/>
      <c r="Z31" s="59"/>
      <c r="AA31" s="59"/>
      <c r="AB31" s="252"/>
      <c r="AC31" s="59"/>
      <c r="AD31" s="59"/>
      <c r="AE31" s="252"/>
      <c r="AF31" s="59"/>
      <c r="AG31" s="59"/>
      <c r="AH31" s="252"/>
      <c r="AI31" s="59"/>
      <c r="AJ31" s="59"/>
      <c r="AK31" s="252"/>
      <c r="AL31" s="59"/>
      <c r="AM31" s="59"/>
      <c r="AN31" s="326">
        <f t="shared" si="0"/>
        <v>0</v>
      </c>
    </row>
    <row r="32" spans="2:40" ht="20.100000000000001" customHeight="1" x14ac:dyDescent="0.15">
      <c r="B32" s="623"/>
      <c r="C32" s="624"/>
      <c r="D32" s="252"/>
      <c r="E32" s="59"/>
      <c r="F32" s="59"/>
      <c r="G32" s="252"/>
      <c r="H32" s="59"/>
      <c r="I32" s="59"/>
      <c r="J32" s="252"/>
      <c r="K32" s="59"/>
      <c r="L32" s="59"/>
      <c r="M32" s="252"/>
      <c r="N32" s="59"/>
      <c r="O32" s="59"/>
      <c r="P32" s="252"/>
      <c r="Q32" s="59"/>
      <c r="R32" s="59"/>
      <c r="S32" s="252"/>
      <c r="T32" s="59"/>
      <c r="U32" s="59"/>
      <c r="V32" s="252"/>
      <c r="W32" s="59"/>
      <c r="X32" s="59"/>
      <c r="Y32" s="252"/>
      <c r="Z32" s="59"/>
      <c r="AA32" s="59"/>
      <c r="AB32" s="252"/>
      <c r="AC32" s="59"/>
      <c r="AD32" s="59"/>
      <c r="AE32" s="252"/>
      <c r="AF32" s="59"/>
      <c r="AG32" s="59"/>
      <c r="AH32" s="252"/>
      <c r="AI32" s="59"/>
      <c r="AJ32" s="59"/>
      <c r="AK32" s="252"/>
      <c r="AL32" s="59"/>
      <c r="AM32" s="59"/>
      <c r="AN32" s="326">
        <f t="shared" si="0"/>
        <v>0</v>
      </c>
    </row>
    <row r="33" spans="2:40" ht="20.100000000000001" customHeight="1" x14ac:dyDescent="0.15">
      <c r="B33" s="623"/>
      <c r="C33" s="624"/>
      <c r="D33" s="252"/>
      <c r="E33" s="59"/>
      <c r="F33" s="59"/>
      <c r="G33" s="252"/>
      <c r="H33" s="59"/>
      <c r="I33" s="59"/>
      <c r="J33" s="252"/>
      <c r="K33" s="59"/>
      <c r="L33" s="59"/>
      <c r="M33" s="252"/>
      <c r="N33" s="59"/>
      <c r="O33" s="59"/>
      <c r="P33" s="252"/>
      <c r="Q33" s="59"/>
      <c r="R33" s="59"/>
      <c r="S33" s="252"/>
      <c r="T33" s="59"/>
      <c r="U33" s="59"/>
      <c r="V33" s="252"/>
      <c r="W33" s="59"/>
      <c r="X33" s="59"/>
      <c r="Y33" s="252"/>
      <c r="Z33" s="59"/>
      <c r="AA33" s="59"/>
      <c r="AB33" s="252"/>
      <c r="AC33" s="59"/>
      <c r="AD33" s="59"/>
      <c r="AE33" s="252"/>
      <c r="AF33" s="59"/>
      <c r="AG33" s="59"/>
      <c r="AH33" s="252"/>
      <c r="AI33" s="59"/>
      <c r="AJ33" s="59"/>
      <c r="AK33" s="252"/>
      <c r="AL33" s="59"/>
      <c r="AM33" s="59"/>
      <c r="AN33" s="326">
        <f t="shared" si="0"/>
        <v>0</v>
      </c>
    </row>
    <row r="34" spans="2:40" ht="20.100000000000001" customHeight="1" x14ac:dyDescent="0.15">
      <c r="B34" s="625" t="s">
        <v>97</v>
      </c>
      <c r="C34" s="626"/>
      <c r="D34" s="252">
        <f t="shared" ref="D34:AM34" si="3">SUM(D9:D33)</f>
        <v>0</v>
      </c>
      <c r="E34" s="61">
        <f t="shared" si="3"/>
        <v>12</v>
      </c>
      <c r="F34" s="328">
        <f t="shared" si="3"/>
        <v>5.4</v>
      </c>
      <c r="G34" s="252">
        <f t="shared" si="3"/>
        <v>5.4</v>
      </c>
      <c r="H34" s="61">
        <f t="shared" si="3"/>
        <v>7.9</v>
      </c>
      <c r="I34" s="328">
        <f t="shared" si="3"/>
        <v>5.4</v>
      </c>
      <c r="J34" s="252">
        <f t="shared" si="3"/>
        <v>2.5</v>
      </c>
      <c r="K34" s="61">
        <f t="shared" si="3"/>
        <v>6</v>
      </c>
      <c r="L34" s="328">
        <f t="shared" si="3"/>
        <v>16</v>
      </c>
      <c r="M34" s="252">
        <f t="shared" si="3"/>
        <v>26</v>
      </c>
      <c r="N34" s="61">
        <f t="shared" si="3"/>
        <v>31</v>
      </c>
      <c r="O34" s="328">
        <f t="shared" si="3"/>
        <v>36</v>
      </c>
      <c r="P34" s="252">
        <f t="shared" si="3"/>
        <v>31</v>
      </c>
      <c r="Q34" s="61">
        <f t="shared" si="3"/>
        <v>26.7</v>
      </c>
      <c r="R34" s="328">
        <f t="shared" si="3"/>
        <v>19.2</v>
      </c>
      <c r="S34" s="252">
        <f t="shared" si="3"/>
        <v>19.2</v>
      </c>
      <c r="T34" s="61">
        <f t="shared" si="3"/>
        <v>18.5</v>
      </c>
      <c r="U34" s="328">
        <f t="shared" si="3"/>
        <v>21.2</v>
      </c>
      <c r="V34" s="252">
        <f t="shared" si="3"/>
        <v>31.2</v>
      </c>
      <c r="W34" s="61">
        <f t="shared" si="3"/>
        <v>35.5</v>
      </c>
      <c r="X34" s="328">
        <f t="shared" si="3"/>
        <v>36.700000000000003</v>
      </c>
      <c r="Y34" s="252">
        <f t="shared" si="3"/>
        <v>36.700000000000003</v>
      </c>
      <c r="Z34" s="61">
        <f t="shared" si="3"/>
        <v>31</v>
      </c>
      <c r="AA34" s="328">
        <f t="shared" si="3"/>
        <v>26.7</v>
      </c>
      <c r="AB34" s="252">
        <f t="shared" si="3"/>
        <v>26</v>
      </c>
      <c r="AC34" s="61">
        <f t="shared" si="3"/>
        <v>21.7</v>
      </c>
      <c r="AD34" s="328">
        <f t="shared" si="3"/>
        <v>15.5</v>
      </c>
      <c r="AE34" s="252">
        <f t="shared" si="3"/>
        <v>15.5</v>
      </c>
      <c r="AF34" s="61">
        <f t="shared" si="3"/>
        <v>5.5</v>
      </c>
      <c r="AG34" s="328">
        <f t="shared" si="3"/>
        <v>0.7</v>
      </c>
      <c r="AH34" s="252">
        <f t="shared" si="3"/>
        <v>0.5</v>
      </c>
      <c r="AI34" s="61">
        <f t="shared" si="3"/>
        <v>0</v>
      </c>
      <c r="AJ34" s="328">
        <f t="shared" si="3"/>
        <v>0.5</v>
      </c>
      <c r="AK34" s="252">
        <f t="shared" si="3"/>
        <v>4</v>
      </c>
      <c r="AL34" s="61">
        <f t="shared" si="3"/>
        <v>4.5</v>
      </c>
      <c r="AM34" s="328">
        <f t="shared" si="3"/>
        <v>8.5</v>
      </c>
      <c r="AN34" s="326">
        <f t="shared" si="0"/>
        <v>590.09999999999991</v>
      </c>
    </row>
    <row r="35" spans="2:40" ht="20.100000000000001" customHeight="1" thickBot="1" x14ac:dyDescent="0.2">
      <c r="B35" s="618" t="s">
        <v>98</v>
      </c>
      <c r="C35" s="619"/>
      <c r="D35" s="329"/>
      <c r="E35" s="330">
        <f>SUM(D34:F34)</f>
        <v>17.399999999999999</v>
      </c>
      <c r="F35" s="330"/>
      <c r="G35" s="329"/>
      <c r="H35" s="330">
        <f>SUM(G34:I34)</f>
        <v>18.700000000000003</v>
      </c>
      <c r="I35" s="330"/>
      <c r="J35" s="329"/>
      <c r="K35" s="330">
        <f>SUM(J34:L34)</f>
        <v>24.5</v>
      </c>
      <c r="L35" s="330"/>
      <c r="M35" s="329"/>
      <c r="N35" s="330">
        <f>SUM(M34:O34)</f>
        <v>93</v>
      </c>
      <c r="O35" s="330"/>
      <c r="P35" s="329"/>
      <c r="Q35" s="330">
        <f>SUM(P34:R34)</f>
        <v>76.900000000000006</v>
      </c>
      <c r="R35" s="330"/>
      <c r="S35" s="329"/>
      <c r="T35" s="330">
        <f>SUM(S34:U34)</f>
        <v>58.900000000000006</v>
      </c>
      <c r="U35" s="330"/>
      <c r="V35" s="329"/>
      <c r="W35" s="330">
        <f>SUM(V34:X34)</f>
        <v>103.4</v>
      </c>
      <c r="X35" s="330"/>
      <c r="Y35" s="329"/>
      <c r="Z35" s="330">
        <f>SUM(Y34:AA34)</f>
        <v>94.4</v>
      </c>
      <c r="AA35" s="330"/>
      <c r="AB35" s="329"/>
      <c r="AC35" s="330">
        <f>SUM(AB34:AD34)</f>
        <v>63.2</v>
      </c>
      <c r="AD35" s="330"/>
      <c r="AE35" s="329"/>
      <c r="AF35" s="330">
        <f>SUM(AE34:AG34)</f>
        <v>21.7</v>
      </c>
      <c r="AG35" s="330"/>
      <c r="AH35" s="329"/>
      <c r="AI35" s="330">
        <f>SUM(AH34:AJ34)</f>
        <v>1</v>
      </c>
      <c r="AJ35" s="330"/>
      <c r="AK35" s="329"/>
      <c r="AL35" s="330">
        <f>SUM(AK34:AM34)</f>
        <v>17</v>
      </c>
      <c r="AM35" s="330"/>
      <c r="AN35" s="331">
        <f>SUM(AN9:AN33)</f>
        <v>590.1</v>
      </c>
    </row>
    <row r="36" spans="2:40" ht="9.9499999999999993" customHeight="1" x14ac:dyDescent="0.15"/>
    <row r="37" spans="2:40" ht="24.95" customHeight="1" x14ac:dyDescent="0.15">
      <c r="B37" s="2" t="s">
        <v>200</v>
      </c>
    </row>
    <row r="38" spans="2:40" ht="9.9499999999999993" customHeight="1" thickBot="1" x14ac:dyDescent="0.2"/>
    <row r="39" spans="2:40" ht="20.100000000000001" customHeight="1" thickBot="1" x14ac:dyDescent="0.2">
      <c r="B39" s="1" t="s">
        <v>197</v>
      </c>
      <c r="C39" s="243">
        <v>100</v>
      </c>
      <c r="D39" s="1" t="s">
        <v>198</v>
      </c>
    </row>
    <row r="40" spans="2:40" ht="9.9499999999999993" customHeight="1" thickBot="1" x14ac:dyDescent="0.2"/>
    <row r="41" spans="2:40" ht="20.100000000000001" customHeight="1" x14ac:dyDescent="0.15">
      <c r="B41" s="620" t="s">
        <v>95</v>
      </c>
      <c r="C41" s="621"/>
      <c r="D41" s="606">
        <v>1</v>
      </c>
      <c r="E41" s="607"/>
      <c r="F41" s="608"/>
      <c r="G41" s="606">
        <v>2</v>
      </c>
      <c r="H41" s="607"/>
      <c r="I41" s="608"/>
      <c r="J41" s="606">
        <v>3</v>
      </c>
      <c r="K41" s="607"/>
      <c r="L41" s="608"/>
      <c r="M41" s="606">
        <v>4</v>
      </c>
      <c r="N41" s="607"/>
      <c r="O41" s="608"/>
      <c r="P41" s="606">
        <v>5</v>
      </c>
      <c r="Q41" s="607"/>
      <c r="R41" s="608"/>
      <c r="S41" s="606">
        <v>6</v>
      </c>
      <c r="T41" s="607"/>
      <c r="U41" s="608"/>
      <c r="V41" s="606">
        <v>7</v>
      </c>
      <c r="W41" s="607"/>
      <c r="X41" s="608"/>
      <c r="Y41" s="606">
        <v>8</v>
      </c>
      <c r="Z41" s="607"/>
      <c r="AA41" s="608"/>
      <c r="AB41" s="606">
        <v>9</v>
      </c>
      <c r="AC41" s="607"/>
      <c r="AD41" s="608"/>
      <c r="AE41" s="606">
        <v>10</v>
      </c>
      <c r="AF41" s="607"/>
      <c r="AG41" s="608"/>
      <c r="AH41" s="606">
        <v>11</v>
      </c>
      <c r="AI41" s="607"/>
      <c r="AJ41" s="608"/>
      <c r="AK41" s="606">
        <v>12</v>
      </c>
      <c r="AL41" s="607"/>
      <c r="AM41" s="608"/>
      <c r="AN41" s="609" t="s">
        <v>30</v>
      </c>
    </row>
    <row r="42" spans="2:40" ht="20.100000000000001" customHeight="1" x14ac:dyDescent="0.15">
      <c r="B42" s="622"/>
      <c r="C42" s="612"/>
      <c r="D42" s="53" t="s">
        <v>31</v>
      </c>
      <c r="E42" s="54" t="s">
        <v>32</v>
      </c>
      <c r="F42" s="55" t="s">
        <v>33</v>
      </c>
      <c r="G42" s="53" t="s">
        <v>31</v>
      </c>
      <c r="H42" s="55" t="s">
        <v>32</v>
      </c>
      <c r="I42" s="55" t="s">
        <v>33</v>
      </c>
      <c r="J42" s="53" t="s">
        <v>31</v>
      </c>
      <c r="K42" s="55" t="s">
        <v>32</v>
      </c>
      <c r="L42" s="55" t="s">
        <v>33</v>
      </c>
      <c r="M42" s="53" t="s">
        <v>31</v>
      </c>
      <c r="N42" s="55" t="s">
        <v>32</v>
      </c>
      <c r="O42" s="55" t="s">
        <v>33</v>
      </c>
      <c r="P42" s="53" t="s">
        <v>31</v>
      </c>
      <c r="Q42" s="55" t="s">
        <v>32</v>
      </c>
      <c r="R42" s="55" t="s">
        <v>33</v>
      </c>
      <c r="S42" s="53" t="s">
        <v>31</v>
      </c>
      <c r="T42" s="56" t="s">
        <v>32</v>
      </c>
      <c r="U42" s="56" t="s">
        <v>33</v>
      </c>
      <c r="V42" s="53" t="s">
        <v>31</v>
      </c>
      <c r="W42" s="55" t="s">
        <v>32</v>
      </c>
      <c r="X42" s="55" t="s">
        <v>33</v>
      </c>
      <c r="Y42" s="53" t="s">
        <v>31</v>
      </c>
      <c r="Z42" s="55" t="s">
        <v>32</v>
      </c>
      <c r="AA42" s="55" t="s">
        <v>33</v>
      </c>
      <c r="AB42" s="53" t="s">
        <v>31</v>
      </c>
      <c r="AC42" s="55" t="s">
        <v>32</v>
      </c>
      <c r="AD42" s="55" t="s">
        <v>33</v>
      </c>
      <c r="AE42" s="53" t="s">
        <v>31</v>
      </c>
      <c r="AF42" s="55" t="s">
        <v>32</v>
      </c>
      <c r="AG42" s="55" t="s">
        <v>33</v>
      </c>
      <c r="AH42" s="53" t="s">
        <v>31</v>
      </c>
      <c r="AI42" s="55" t="s">
        <v>32</v>
      </c>
      <c r="AJ42" s="55" t="s">
        <v>33</v>
      </c>
      <c r="AK42" s="53" t="s">
        <v>31</v>
      </c>
      <c r="AL42" s="55" t="s">
        <v>32</v>
      </c>
      <c r="AM42" s="55" t="s">
        <v>33</v>
      </c>
      <c r="AN42" s="610"/>
    </row>
    <row r="43" spans="2:40" ht="20.100000000000001" customHeight="1" x14ac:dyDescent="0.15">
      <c r="B43" s="611" t="s">
        <v>205</v>
      </c>
      <c r="C43" s="612"/>
      <c r="D43" s="58">
        <f>D34*$C$39/10</f>
        <v>0</v>
      </c>
      <c r="E43" s="61">
        <f t="shared" ref="E43:AM43" si="4">E34*$C$39/10</f>
        <v>120</v>
      </c>
      <c r="F43" s="62">
        <f t="shared" si="4"/>
        <v>54</v>
      </c>
      <c r="G43" s="58">
        <f t="shared" si="4"/>
        <v>54</v>
      </c>
      <c r="H43" s="61">
        <f t="shared" si="4"/>
        <v>79</v>
      </c>
      <c r="I43" s="62">
        <f t="shared" si="4"/>
        <v>54</v>
      </c>
      <c r="J43" s="58">
        <f>J34*$C$39/10</f>
        <v>25</v>
      </c>
      <c r="K43" s="61">
        <f t="shared" si="4"/>
        <v>60</v>
      </c>
      <c r="L43" s="62">
        <f t="shared" si="4"/>
        <v>160</v>
      </c>
      <c r="M43" s="58">
        <f t="shared" si="4"/>
        <v>260</v>
      </c>
      <c r="N43" s="61">
        <f t="shared" si="4"/>
        <v>310</v>
      </c>
      <c r="O43" s="62">
        <f t="shared" si="4"/>
        <v>360</v>
      </c>
      <c r="P43" s="58">
        <f t="shared" si="4"/>
        <v>310</v>
      </c>
      <c r="Q43" s="61">
        <f t="shared" si="4"/>
        <v>267</v>
      </c>
      <c r="R43" s="62">
        <f t="shared" si="4"/>
        <v>192</v>
      </c>
      <c r="S43" s="58">
        <f t="shared" si="4"/>
        <v>192</v>
      </c>
      <c r="T43" s="61">
        <f t="shared" si="4"/>
        <v>185</v>
      </c>
      <c r="U43" s="62">
        <f t="shared" si="4"/>
        <v>212</v>
      </c>
      <c r="V43" s="58">
        <f t="shared" si="4"/>
        <v>312</v>
      </c>
      <c r="W43" s="61">
        <f t="shared" si="4"/>
        <v>355</v>
      </c>
      <c r="X43" s="62">
        <f t="shared" si="4"/>
        <v>367.00000000000006</v>
      </c>
      <c r="Y43" s="58">
        <f t="shared" si="4"/>
        <v>367.00000000000006</v>
      </c>
      <c r="Z43" s="61">
        <f t="shared" si="4"/>
        <v>310</v>
      </c>
      <c r="AA43" s="62">
        <f t="shared" si="4"/>
        <v>267</v>
      </c>
      <c r="AB43" s="58">
        <f t="shared" si="4"/>
        <v>260</v>
      </c>
      <c r="AC43" s="61">
        <f t="shared" si="4"/>
        <v>217</v>
      </c>
      <c r="AD43" s="62">
        <f t="shared" si="4"/>
        <v>155</v>
      </c>
      <c r="AE43" s="58">
        <f t="shared" si="4"/>
        <v>155</v>
      </c>
      <c r="AF43" s="61">
        <f t="shared" si="4"/>
        <v>55</v>
      </c>
      <c r="AG43" s="62">
        <f t="shared" si="4"/>
        <v>7</v>
      </c>
      <c r="AH43" s="58">
        <f t="shared" si="4"/>
        <v>5</v>
      </c>
      <c r="AI43" s="61">
        <f t="shared" si="4"/>
        <v>0</v>
      </c>
      <c r="AJ43" s="62">
        <f t="shared" si="4"/>
        <v>5</v>
      </c>
      <c r="AK43" s="58">
        <f t="shared" si="4"/>
        <v>40</v>
      </c>
      <c r="AL43" s="61">
        <f t="shared" si="4"/>
        <v>45</v>
      </c>
      <c r="AM43" s="62">
        <f t="shared" si="4"/>
        <v>85</v>
      </c>
      <c r="AN43" s="60">
        <f t="shared" ref="AN43:AN47" si="5">SUM(D43:AM43)</f>
        <v>5901</v>
      </c>
    </row>
    <row r="44" spans="2:40" ht="20.100000000000001" customHeight="1" thickBot="1" x14ac:dyDescent="0.2">
      <c r="B44" s="613" t="s">
        <v>98</v>
      </c>
      <c r="C44" s="614"/>
      <c r="D44" s="246"/>
      <c r="E44" s="242">
        <f>SUM(D43:F43)</f>
        <v>174</v>
      </c>
      <c r="F44" s="242"/>
      <c r="G44" s="246"/>
      <c r="H44" s="242">
        <f>SUM(G43:I43)</f>
        <v>187</v>
      </c>
      <c r="I44" s="242"/>
      <c r="J44" s="246"/>
      <c r="K44" s="242">
        <f>SUM(J43:L43)</f>
        <v>245</v>
      </c>
      <c r="L44" s="242"/>
      <c r="M44" s="246"/>
      <c r="N44" s="242">
        <f>SUM(M43:O43)</f>
        <v>930</v>
      </c>
      <c r="O44" s="242"/>
      <c r="P44" s="246"/>
      <c r="Q44" s="242">
        <f>SUM(P43:R43)</f>
        <v>769</v>
      </c>
      <c r="R44" s="242"/>
      <c r="S44" s="246"/>
      <c r="T44" s="242">
        <f>SUM(S43:U43)</f>
        <v>589</v>
      </c>
      <c r="U44" s="242"/>
      <c r="V44" s="246"/>
      <c r="W44" s="242">
        <f>SUM(V43:X43)</f>
        <v>1034</v>
      </c>
      <c r="X44" s="242"/>
      <c r="Y44" s="246"/>
      <c r="Z44" s="242">
        <f>SUM(Y43:AA43)</f>
        <v>944</v>
      </c>
      <c r="AA44" s="242"/>
      <c r="AB44" s="246"/>
      <c r="AC44" s="242">
        <f>SUM(AB43:AD43)</f>
        <v>632</v>
      </c>
      <c r="AD44" s="242"/>
      <c r="AE44" s="246"/>
      <c r="AF44" s="242">
        <f>SUM(AE43:AG43)</f>
        <v>217</v>
      </c>
      <c r="AG44" s="242"/>
      <c r="AH44" s="246"/>
      <c r="AI44" s="242">
        <f>SUM(AH43:AJ43)</f>
        <v>10</v>
      </c>
      <c r="AJ44" s="242"/>
      <c r="AK44" s="246"/>
      <c r="AL44" s="242">
        <f>SUM(AK43:AM43)</f>
        <v>170</v>
      </c>
      <c r="AM44" s="242"/>
      <c r="AN44" s="247">
        <f t="shared" si="5"/>
        <v>5901</v>
      </c>
    </row>
    <row r="45" spans="2:40" ht="20.100000000000001" customHeight="1" thickTop="1" x14ac:dyDescent="0.15">
      <c r="B45" s="615" t="s">
        <v>203</v>
      </c>
      <c r="C45" s="248" t="s">
        <v>201</v>
      </c>
      <c r="D45" s="249"/>
      <c r="E45" s="250">
        <v>60</v>
      </c>
      <c r="F45" s="250">
        <v>34</v>
      </c>
      <c r="G45" s="249">
        <v>34</v>
      </c>
      <c r="H45" s="250">
        <v>40</v>
      </c>
      <c r="I45" s="250">
        <v>34</v>
      </c>
      <c r="J45" s="249">
        <v>25</v>
      </c>
      <c r="K45" s="250">
        <v>30</v>
      </c>
      <c r="L45" s="250">
        <v>75</v>
      </c>
      <c r="M45" s="249">
        <v>75</v>
      </c>
      <c r="N45" s="250">
        <v>77</v>
      </c>
      <c r="O45" s="250">
        <v>77</v>
      </c>
      <c r="P45" s="249">
        <v>76</v>
      </c>
      <c r="Q45" s="250">
        <v>76</v>
      </c>
      <c r="R45" s="250">
        <v>77</v>
      </c>
      <c r="S45" s="249">
        <v>77</v>
      </c>
      <c r="T45" s="250">
        <v>75</v>
      </c>
      <c r="U45" s="250">
        <v>77</v>
      </c>
      <c r="V45" s="249">
        <v>77</v>
      </c>
      <c r="W45" s="250">
        <v>76</v>
      </c>
      <c r="X45" s="250">
        <v>77</v>
      </c>
      <c r="Y45" s="249">
        <v>77</v>
      </c>
      <c r="Z45" s="250">
        <v>77</v>
      </c>
      <c r="AA45" s="250">
        <v>76</v>
      </c>
      <c r="AB45" s="249">
        <v>77</v>
      </c>
      <c r="AC45" s="250">
        <v>77</v>
      </c>
      <c r="AD45" s="250">
        <v>75</v>
      </c>
      <c r="AE45" s="249">
        <v>75</v>
      </c>
      <c r="AF45" s="250">
        <v>30</v>
      </c>
      <c r="AG45" s="250">
        <v>7</v>
      </c>
      <c r="AH45" s="249">
        <v>5</v>
      </c>
      <c r="AI45" s="250"/>
      <c r="AJ45" s="250">
        <v>5</v>
      </c>
      <c r="AK45" s="249">
        <v>20</v>
      </c>
      <c r="AL45" s="250">
        <v>25</v>
      </c>
      <c r="AM45" s="250">
        <v>45</v>
      </c>
      <c r="AN45" s="251">
        <f t="shared" si="5"/>
        <v>1920</v>
      </c>
    </row>
    <row r="46" spans="2:40" ht="20.100000000000001" customHeight="1" x14ac:dyDescent="0.15">
      <c r="B46" s="616"/>
      <c r="C46" s="244" t="s">
        <v>202</v>
      </c>
      <c r="D46" s="252"/>
      <c r="E46" s="59">
        <v>60</v>
      </c>
      <c r="F46" s="59">
        <v>20</v>
      </c>
      <c r="G46" s="252">
        <v>20</v>
      </c>
      <c r="H46" s="59">
        <v>39</v>
      </c>
      <c r="I46" s="59">
        <v>20</v>
      </c>
      <c r="J46" s="252"/>
      <c r="K46" s="59">
        <v>30</v>
      </c>
      <c r="L46" s="59">
        <v>70</v>
      </c>
      <c r="M46" s="252">
        <v>75</v>
      </c>
      <c r="N46" s="59">
        <v>77</v>
      </c>
      <c r="O46" s="59">
        <v>77</v>
      </c>
      <c r="P46" s="252">
        <v>76</v>
      </c>
      <c r="Q46" s="59">
        <v>76</v>
      </c>
      <c r="R46" s="59">
        <v>77</v>
      </c>
      <c r="S46" s="252">
        <v>77</v>
      </c>
      <c r="T46" s="59">
        <v>75</v>
      </c>
      <c r="U46" s="59">
        <v>77</v>
      </c>
      <c r="V46" s="252">
        <v>77</v>
      </c>
      <c r="W46" s="59">
        <v>76</v>
      </c>
      <c r="X46" s="59">
        <v>77</v>
      </c>
      <c r="Y46" s="252">
        <v>77</v>
      </c>
      <c r="Z46" s="59">
        <v>77</v>
      </c>
      <c r="AA46" s="59">
        <v>76</v>
      </c>
      <c r="AB46" s="252">
        <v>77</v>
      </c>
      <c r="AC46" s="59">
        <v>77</v>
      </c>
      <c r="AD46" s="59">
        <v>75</v>
      </c>
      <c r="AE46" s="252">
        <v>75</v>
      </c>
      <c r="AF46" s="59">
        <v>25</v>
      </c>
      <c r="AG46" s="59"/>
      <c r="AH46" s="252"/>
      <c r="AI46" s="59"/>
      <c r="AJ46" s="59"/>
      <c r="AK46" s="252">
        <v>20</v>
      </c>
      <c r="AL46" s="59">
        <v>20</v>
      </c>
      <c r="AM46" s="59">
        <v>40</v>
      </c>
      <c r="AN46" s="60">
        <f t="shared" si="5"/>
        <v>1815</v>
      </c>
    </row>
    <row r="47" spans="2:40" ht="20.100000000000001" customHeight="1" x14ac:dyDescent="0.15">
      <c r="B47" s="616"/>
      <c r="C47" s="244" t="s">
        <v>208</v>
      </c>
      <c r="D47" s="252"/>
      <c r="E47" s="59"/>
      <c r="F47" s="59">
        <v>0</v>
      </c>
      <c r="G47" s="252"/>
      <c r="H47" s="59">
        <v>0</v>
      </c>
      <c r="I47" s="59"/>
      <c r="J47" s="252"/>
      <c r="K47" s="59"/>
      <c r="L47" s="59">
        <v>15</v>
      </c>
      <c r="M47" s="252">
        <v>60</v>
      </c>
      <c r="N47" s="59">
        <v>60</v>
      </c>
      <c r="O47" s="59">
        <v>60</v>
      </c>
      <c r="P47" s="252">
        <v>60</v>
      </c>
      <c r="Q47" s="59">
        <v>60</v>
      </c>
      <c r="R47" s="59">
        <v>38</v>
      </c>
      <c r="S47" s="252">
        <v>38</v>
      </c>
      <c r="T47" s="59">
        <v>35</v>
      </c>
      <c r="U47" s="59">
        <v>58</v>
      </c>
      <c r="V47" s="252">
        <v>60</v>
      </c>
      <c r="W47" s="59">
        <v>60</v>
      </c>
      <c r="X47" s="59">
        <v>60</v>
      </c>
      <c r="Y47" s="252">
        <v>60</v>
      </c>
      <c r="Z47" s="59">
        <v>60</v>
      </c>
      <c r="AA47" s="59">
        <v>60</v>
      </c>
      <c r="AB47" s="252">
        <v>60</v>
      </c>
      <c r="AC47" s="59">
        <v>60</v>
      </c>
      <c r="AD47" s="59">
        <v>5</v>
      </c>
      <c r="AE47" s="252">
        <v>5</v>
      </c>
      <c r="AF47" s="59"/>
      <c r="AG47" s="59"/>
      <c r="AH47" s="252"/>
      <c r="AI47" s="59"/>
      <c r="AJ47" s="59"/>
      <c r="AK47" s="252"/>
      <c r="AL47" s="59">
        <v>0</v>
      </c>
      <c r="AM47" s="59">
        <v>0</v>
      </c>
      <c r="AN47" s="60">
        <f t="shared" si="5"/>
        <v>974</v>
      </c>
    </row>
    <row r="48" spans="2:40" ht="20.100000000000001" customHeight="1" x14ac:dyDescent="0.15">
      <c r="B48" s="616"/>
      <c r="C48" s="245"/>
      <c r="D48" s="252"/>
      <c r="E48" s="59"/>
      <c r="F48" s="59"/>
      <c r="G48" s="252"/>
      <c r="H48" s="59"/>
      <c r="I48" s="59"/>
      <c r="J48" s="252"/>
      <c r="K48" s="59"/>
      <c r="L48" s="59"/>
      <c r="M48" s="252"/>
      <c r="N48" s="59"/>
      <c r="O48" s="59"/>
      <c r="P48" s="252"/>
      <c r="Q48" s="59"/>
      <c r="R48" s="59"/>
      <c r="S48" s="252"/>
      <c r="T48" s="59"/>
      <c r="U48" s="59"/>
      <c r="V48" s="252"/>
      <c r="W48" s="59"/>
      <c r="X48" s="59"/>
      <c r="Y48" s="252"/>
      <c r="Z48" s="59"/>
      <c r="AA48" s="59"/>
      <c r="AB48" s="252"/>
      <c r="AC48" s="59"/>
      <c r="AD48" s="59"/>
      <c r="AE48" s="252"/>
      <c r="AF48" s="59"/>
      <c r="AG48" s="59"/>
      <c r="AH48" s="252"/>
      <c r="AI48" s="59"/>
      <c r="AJ48" s="59"/>
      <c r="AK48" s="252"/>
      <c r="AL48" s="59"/>
      <c r="AM48" s="59"/>
      <c r="AN48" s="60">
        <f t="shared" ref="AN48:AN51" si="6">SUM(D48:AM48)</f>
        <v>0</v>
      </c>
    </row>
    <row r="49" spans="2:40" ht="20.100000000000001" customHeight="1" thickBot="1" x14ac:dyDescent="0.2">
      <c r="B49" s="617"/>
      <c r="C49" s="259" t="s">
        <v>206</v>
      </c>
      <c r="D49" s="253">
        <f>SUM(D45:D48)</f>
        <v>0</v>
      </c>
      <c r="E49" s="254">
        <f t="shared" ref="E49:AM49" si="7">SUM(E45:E48)</f>
        <v>120</v>
      </c>
      <c r="F49" s="254">
        <f t="shared" si="7"/>
        <v>54</v>
      </c>
      <c r="G49" s="253">
        <f t="shared" si="7"/>
        <v>54</v>
      </c>
      <c r="H49" s="254">
        <f t="shared" si="7"/>
        <v>79</v>
      </c>
      <c r="I49" s="254">
        <f t="shared" si="7"/>
        <v>54</v>
      </c>
      <c r="J49" s="253">
        <f t="shared" si="7"/>
        <v>25</v>
      </c>
      <c r="K49" s="254">
        <f t="shared" si="7"/>
        <v>60</v>
      </c>
      <c r="L49" s="254">
        <f t="shared" si="7"/>
        <v>160</v>
      </c>
      <c r="M49" s="253">
        <f t="shared" si="7"/>
        <v>210</v>
      </c>
      <c r="N49" s="254">
        <f t="shared" si="7"/>
        <v>214</v>
      </c>
      <c r="O49" s="254">
        <f t="shared" si="7"/>
        <v>214</v>
      </c>
      <c r="P49" s="253">
        <f t="shared" si="7"/>
        <v>212</v>
      </c>
      <c r="Q49" s="254">
        <f t="shared" si="7"/>
        <v>212</v>
      </c>
      <c r="R49" s="254">
        <f t="shared" si="7"/>
        <v>192</v>
      </c>
      <c r="S49" s="253">
        <f t="shared" si="7"/>
        <v>192</v>
      </c>
      <c r="T49" s="254">
        <f t="shared" si="7"/>
        <v>185</v>
      </c>
      <c r="U49" s="254">
        <f t="shared" si="7"/>
        <v>212</v>
      </c>
      <c r="V49" s="253">
        <f t="shared" si="7"/>
        <v>214</v>
      </c>
      <c r="W49" s="254">
        <f t="shared" si="7"/>
        <v>212</v>
      </c>
      <c r="X49" s="254">
        <f t="shared" si="7"/>
        <v>214</v>
      </c>
      <c r="Y49" s="253">
        <f t="shared" si="7"/>
        <v>214</v>
      </c>
      <c r="Z49" s="254">
        <f t="shared" si="7"/>
        <v>214</v>
      </c>
      <c r="AA49" s="254">
        <f t="shared" si="7"/>
        <v>212</v>
      </c>
      <c r="AB49" s="253">
        <f t="shared" si="7"/>
        <v>214</v>
      </c>
      <c r="AC49" s="254">
        <f t="shared" si="7"/>
        <v>214</v>
      </c>
      <c r="AD49" s="254">
        <f t="shared" si="7"/>
        <v>155</v>
      </c>
      <c r="AE49" s="253">
        <f t="shared" si="7"/>
        <v>155</v>
      </c>
      <c r="AF49" s="254">
        <f t="shared" si="7"/>
        <v>55</v>
      </c>
      <c r="AG49" s="254">
        <f t="shared" si="7"/>
        <v>7</v>
      </c>
      <c r="AH49" s="253">
        <f t="shared" si="7"/>
        <v>5</v>
      </c>
      <c r="AI49" s="254">
        <f t="shared" si="7"/>
        <v>0</v>
      </c>
      <c r="AJ49" s="254">
        <f t="shared" si="7"/>
        <v>5</v>
      </c>
      <c r="AK49" s="253">
        <f t="shared" si="7"/>
        <v>40</v>
      </c>
      <c r="AL49" s="254">
        <f t="shared" si="7"/>
        <v>45</v>
      </c>
      <c r="AM49" s="254">
        <f t="shared" si="7"/>
        <v>85</v>
      </c>
      <c r="AN49" s="255">
        <f t="shared" si="6"/>
        <v>4709</v>
      </c>
    </row>
    <row r="50" spans="2:40" ht="20.100000000000001" customHeight="1" thickTop="1" x14ac:dyDescent="0.15">
      <c r="B50" s="602" t="s">
        <v>207</v>
      </c>
      <c r="C50" s="603"/>
      <c r="D50" s="260">
        <f>D49-D43</f>
        <v>0</v>
      </c>
      <c r="E50" s="261">
        <f t="shared" ref="E50:AM50" si="8">E49-E43</f>
        <v>0</v>
      </c>
      <c r="F50" s="261">
        <f t="shared" si="8"/>
        <v>0</v>
      </c>
      <c r="G50" s="260">
        <f t="shared" si="8"/>
        <v>0</v>
      </c>
      <c r="H50" s="261">
        <f t="shared" si="8"/>
        <v>0</v>
      </c>
      <c r="I50" s="261">
        <f t="shared" si="8"/>
        <v>0</v>
      </c>
      <c r="J50" s="260">
        <f t="shared" si="8"/>
        <v>0</v>
      </c>
      <c r="K50" s="261">
        <f t="shared" si="8"/>
        <v>0</v>
      </c>
      <c r="L50" s="261">
        <f t="shared" si="8"/>
        <v>0</v>
      </c>
      <c r="M50" s="260">
        <f t="shared" si="8"/>
        <v>-50</v>
      </c>
      <c r="N50" s="261">
        <f t="shared" si="8"/>
        <v>-96</v>
      </c>
      <c r="O50" s="261">
        <f t="shared" si="8"/>
        <v>-146</v>
      </c>
      <c r="P50" s="260">
        <f t="shared" si="8"/>
        <v>-98</v>
      </c>
      <c r="Q50" s="261">
        <f t="shared" si="8"/>
        <v>-55</v>
      </c>
      <c r="R50" s="261">
        <f t="shared" si="8"/>
        <v>0</v>
      </c>
      <c r="S50" s="260">
        <f t="shared" si="8"/>
        <v>0</v>
      </c>
      <c r="T50" s="261">
        <f t="shared" si="8"/>
        <v>0</v>
      </c>
      <c r="U50" s="261">
        <f t="shared" si="8"/>
        <v>0</v>
      </c>
      <c r="V50" s="260">
        <f t="shared" si="8"/>
        <v>-98</v>
      </c>
      <c r="W50" s="261">
        <f t="shared" si="8"/>
        <v>-143</v>
      </c>
      <c r="X50" s="261">
        <f t="shared" si="8"/>
        <v>-153.00000000000006</v>
      </c>
      <c r="Y50" s="260">
        <f t="shared" si="8"/>
        <v>-153.00000000000006</v>
      </c>
      <c r="Z50" s="261">
        <f t="shared" si="8"/>
        <v>-96</v>
      </c>
      <c r="AA50" s="261">
        <f t="shared" si="8"/>
        <v>-55</v>
      </c>
      <c r="AB50" s="260">
        <f t="shared" si="8"/>
        <v>-46</v>
      </c>
      <c r="AC50" s="261">
        <f t="shared" si="8"/>
        <v>-3</v>
      </c>
      <c r="AD50" s="261">
        <f t="shared" si="8"/>
        <v>0</v>
      </c>
      <c r="AE50" s="260">
        <f t="shared" si="8"/>
        <v>0</v>
      </c>
      <c r="AF50" s="261">
        <f t="shared" si="8"/>
        <v>0</v>
      </c>
      <c r="AG50" s="261">
        <f t="shared" si="8"/>
        <v>0</v>
      </c>
      <c r="AH50" s="260">
        <f t="shared" si="8"/>
        <v>0</v>
      </c>
      <c r="AI50" s="262">
        <f t="shared" si="8"/>
        <v>0</v>
      </c>
      <c r="AJ50" s="261">
        <f t="shared" si="8"/>
        <v>0</v>
      </c>
      <c r="AK50" s="260">
        <f t="shared" si="8"/>
        <v>0</v>
      </c>
      <c r="AL50" s="261">
        <f t="shared" si="8"/>
        <v>0</v>
      </c>
      <c r="AM50" s="261">
        <f t="shared" si="8"/>
        <v>0</v>
      </c>
      <c r="AN50" s="251">
        <f t="shared" si="6"/>
        <v>-1192</v>
      </c>
    </row>
    <row r="51" spans="2:40" ht="20.100000000000001" customHeight="1" thickBot="1" x14ac:dyDescent="0.2">
      <c r="B51" s="604" t="s">
        <v>204</v>
      </c>
      <c r="C51" s="605"/>
      <c r="D51" s="256"/>
      <c r="E51" s="257"/>
      <c r="F51" s="257"/>
      <c r="G51" s="256"/>
      <c r="H51" s="257"/>
      <c r="I51" s="257"/>
      <c r="J51" s="256"/>
      <c r="K51" s="257"/>
      <c r="L51" s="334">
        <f t="shared" ref="L51:R51" si="9">L50*-1</f>
        <v>0</v>
      </c>
      <c r="M51" s="332">
        <f>M50*-1</f>
        <v>50</v>
      </c>
      <c r="N51" s="333">
        <f t="shared" si="9"/>
        <v>96</v>
      </c>
      <c r="O51" s="334">
        <f t="shared" si="9"/>
        <v>146</v>
      </c>
      <c r="P51" s="332">
        <f>P50*-1</f>
        <v>98</v>
      </c>
      <c r="Q51" s="333">
        <f t="shared" si="9"/>
        <v>55</v>
      </c>
      <c r="R51" s="334">
        <f t="shared" si="9"/>
        <v>0</v>
      </c>
      <c r="S51" s="332">
        <f>S50*-1</f>
        <v>0</v>
      </c>
      <c r="T51" s="333">
        <f t="shared" ref="T51" si="10">T50*-1</f>
        <v>0</v>
      </c>
      <c r="U51" s="334">
        <f t="shared" ref="U51" si="11">U50*-1</f>
        <v>0</v>
      </c>
      <c r="V51" s="332">
        <f t="shared" ref="V51:AC51" si="12">V50*-1</f>
        <v>98</v>
      </c>
      <c r="W51" s="333">
        <f t="shared" si="12"/>
        <v>143</v>
      </c>
      <c r="X51" s="334">
        <f t="shared" si="12"/>
        <v>153.00000000000006</v>
      </c>
      <c r="Y51" s="332">
        <f t="shared" si="12"/>
        <v>153.00000000000006</v>
      </c>
      <c r="Z51" s="333">
        <f t="shared" si="12"/>
        <v>96</v>
      </c>
      <c r="AA51" s="334">
        <f t="shared" si="12"/>
        <v>55</v>
      </c>
      <c r="AB51" s="332">
        <f t="shared" si="12"/>
        <v>46</v>
      </c>
      <c r="AC51" s="333">
        <f t="shared" si="12"/>
        <v>3</v>
      </c>
      <c r="AD51" s="334"/>
      <c r="AE51" s="256"/>
      <c r="AF51" s="257"/>
      <c r="AG51" s="257"/>
      <c r="AH51" s="256"/>
      <c r="AI51" s="257"/>
      <c r="AJ51" s="257"/>
      <c r="AK51" s="256"/>
      <c r="AL51" s="257"/>
      <c r="AM51" s="257"/>
      <c r="AN51" s="258">
        <f t="shared" si="6"/>
        <v>1192</v>
      </c>
    </row>
  </sheetData>
  <mergeCells count="54">
    <mergeCell ref="B4:C5"/>
    <mergeCell ref="D4:F4"/>
    <mergeCell ref="G4:I4"/>
    <mergeCell ref="J4:L4"/>
    <mergeCell ref="M4:O4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20:C20"/>
    <mergeCell ref="B21:C21"/>
    <mergeCell ref="B22:C22"/>
    <mergeCell ref="B6:C8"/>
    <mergeCell ref="B9:C9"/>
    <mergeCell ref="B10:C10"/>
    <mergeCell ref="B11:C11"/>
    <mergeCell ref="B14:C14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S41:U41"/>
    <mergeCell ref="B35:C35"/>
    <mergeCell ref="B41:C42"/>
    <mergeCell ref="D41:F41"/>
    <mergeCell ref="B32:C32"/>
    <mergeCell ref="B33:C33"/>
    <mergeCell ref="B34:C34"/>
    <mergeCell ref="B50:C50"/>
    <mergeCell ref="B51:C51"/>
    <mergeCell ref="AK41:AM41"/>
    <mergeCell ref="AN41:AN42"/>
    <mergeCell ref="B43:C43"/>
    <mergeCell ref="B44:C44"/>
    <mergeCell ref="B45:B49"/>
    <mergeCell ref="V41:X41"/>
    <mergeCell ref="Y41:AA41"/>
    <mergeCell ref="AB41:AD41"/>
    <mergeCell ref="AE41:AG41"/>
    <mergeCell ref="AH41:AJ41"/>
    <mergeCell ref="G41:I41"/>
    <mergeCell ref="J41:L41"/>
    <mergeCell ref="M41:O41"/>
    <mergeCell ref="P41:R41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75" zoomScaleNormal="75" zoomScaleSheetLayoutView="100" workbookViewId="0"/>
  </sheetViews>
  <sheetFormatPr defaultRowHeight="13.5" x14ac:dyDescent="0.15"/>
  <cols>
    <col min="1" max="1" width="1.625" style="31" customWidth="1"/>
    <col min="2" max="2" width="5" style="31" customWidth="1"/>
    <col min="3" max="3" width="22.5" style="31" bestFit="1" customWidth="1"/>
    <col min="4" max="4" width="30" style="31" bestFit="1" customWidth="1"/>
    <col min="5" max="5" width="9" style="31" bestFit="1" customWidth="1"/>
    <col min="6" max="6" width="6" style="31" bestFit="1" customWidth="1"/>
    <col min="7" max="7" width="17.625" style="31" customWidth="1"/>
    <col min="8" max="8" width="10.625" style="31" customWidth="1"/>
    <col min="9" max="9" width="17.625" style="31" customWidth="1"/>
    <col min="10" max="10" width="10.625" style="362" customWidth="1"/>
    <col min="11" max="11" width="15.125" style="32" bestFit="1" customWidth="1"/>
    <col min="12" max="12" width="17.625" style="31" customWidth="1"/>
    <col min="13" max="13" width="10.625" style="31" customWidth="1"/>
    <col min="14" max="14" width="17.625" style="31" customWidth="1"/>
    <col min="15" max="15" width="10.625" style="31" customWidth="1"/>
    <col min="16" max="16" width="19.75" style="31" bestFit="1" customWidth="1"/>
    <col min="17" max="16384" width="9" style="31"/>
  </cols>
  <sheetData>
    <row r="1" spans="2:16" ht="9.9499999999999993" customHeight="1" x14ac:dyDescent="0.15"/>
    <row r="2" spans="2:16" ht="24.95" customHeight="1" thickBot="1" x14ac:dyDescent="0.2">
      <c r="B2" s="5" t="s">
        <v>215</v>
      </c>
      <c r="C2" s="5"/>
      <c r="D2" s="5"/>
      <c r="E2" s="33"/>
      <c r="F2" s="643"/>
      <c r="G2" s="644"/>
      <c r="H2" s="267" t="s">
        <v>195</v>
      </c>
      <c r="I2" s="239" t="s">
        <v>295</v>
      </c>
      <c r="J2" s="363"/>
      <c r="K2" s="267" t="s">
        <v>196</v>
      </c>
      <c r="L2" s="239" t="s">
        <v>357</v>
      </c>
      <c r="M2" s="34"/>
      <c r="P2" s="264"/>
    </row>
    <row r="3" spans="2:16" ht="20.100000000000001" customHeight="1" x14ac:dyDescent="0.15">
      <c r="B3" s="645" t="s">
        <v>68</v>
      </c>
      <c r="C3" s="638" t="s">
        <v>34</v>
      </c>
      <c r="D3" s="638" t="s">
        <v>99</v>
      </c>
      <c r="E3" s="647" t="s">
        <v>35</v>
      </c>
      <c r="F3" s="648"/>
      <c r="G3" s="265" t="s">
        <v>36</v>
      </c>
      <c r="H3" s="265" t="s">
        <v>101</v>
      </c>
      <c r="I3" s="265" t="s">
        <v>100</v>
      </c>
      <c r="J3" s="638" t="s">
        <v>74</v>
      </c>
      <c r="K3" s="35" t="s">
        <v>216</v>
      </c>
      <c r="L3" s="265" t="s">
        <v>37</v>
      </c>
      <c r="M3" s="265" t="s">
        <v>102</v>
      </c>
      <c r="N3" s="265" t="s">
        <v>38</v>
      </c>
      <c r="O3" s="265" t="s">
        <v>39</v>
      </c>
      <c r="P3" s="313" t="s">
        <v>40</v>
      </c>
    </row>
    <row r="4" spans="2:16" ht="20.100000000000001" customHeight="1" x14ac:dyDescent="0.15">
      <c r="B4" s="646"/>
      <c r="C4" s="639"/>
      <c r="D4" s="639"/>
      <c r="E4" s="7" t="s">
        <v>75</v>
      </c>
      <c r="F4" s="7" t="s">
        <v>7</v>
      </c>
      <c r="G4" s="8" t="s">
        <v>217</v>
      </c>
      <c r="H4" s="8" t="s">
        <v>218</v>
      </c>
      <c r="I4" s="8" t="s">
        <v>104</v>
      </c>
      <c r="J4" s="639"/>
      <c r="K4" s="9" t="s">
        <v>219</v>
      </c>
      <c r="L4" s="8" t="s">
        <v>397</v>
      </c>
      <c r="M4" s="8" t="s">
        <v>220</v>
      </c>
      <c r="N4" s="8" t="s">
        <v>398</v>
      </c>
      <c r="O4" s="8" t="s">
        <v>221</v>
      </c>
      <c r="P4" s="314" t="s">
        <v>399</v>
      </c>
    </row>
    <row r="5" spans="2:16" ht="20.100000000000001" customHeight="1" x14ac:dyDescent="0.15">
      <c r="B5" s="640" t="s">
        <v>150</v>
      </c>
      <c r="C5" s="268" t="s">
        <v>213</v>
      </c>
      <c r="D5" s="268" t="s">
        <v>332</v>
      </c>
      <c r="E5" s="268">
        <v>50</v>
      </c>
      <c r="F5" s="36" t="s">
        <v>214</v>
      </c>
      <c r="G5" s="268">
        <v>2160000</v>
      </c>
      <c r="H5" s="269">
        <v>0</v>
      </c>
      <c r="I5" s="268">
        <f>G5*(1-H5)</f>
        <v>2160000</v>
      </c>
      <c r="J5" s="282" t="s">
        <v>363</v>
      </c>
      <c r="K5" s="270">
        <v>0.1</v>
      </c>
      <c r="L5" s="293">
        <f>I5*K5</f>
        <v>216000</v>
      </c>
      <c r="M5" s="355">
        <v>0</v>
      </c>
      <c r="N5" s="293">
        <f t="shared" ref="N5" si="0">L5*M5/100</f>
        <v>0</v>
      </c>
      <c r="O5" s="293">
        <v>24</v>
      </c>
      <c r="P5" s="130">
        <f>IF(O5="","",(L5-N5)/O5)</f>
        <v>9000</v>
      </c>
    </row>
    <row r="6" spans="2:16" ht="20.100000000000001" customHeight="1" x14ac:dyDescent="0.15">
      <c r="B6" s="641"/>
      <c r="C6" s="268" t="s">
        <v>365</v>
      </c>
      <c r="D6" s="268" t="s">
        <v>366</v>
      </c>
      <c r="E6" s="268">
        <v>50</v>
      </c>
      <c r="F6" s="36" t="s">
        <v>305</v>
      </c>
      <c r="G6" s="268">
        <v>2160000</v>
      </c>
      <c r="H6" s="269">
        <v>0</v>
      </c>
      <c r="I6" s="268">
        <f t="shared" ref="I6" si="1">G6*(1-H6)</f>
        <v>2160000</v>
      </c>
      <c r="J6" s="36" t="s">
        <v>362</v>
      </c>
      <c r="K6" s="270">
        <v>0.1</v>
      </c>
      <c r="L6" s="30">
        <f t="shared" ref="L6" si="2">I6*K6</f>
        <v>216000</v>
      </c>
      <c r="M6" s="355">
        <v>0</v>
      </c>
      <c r="N6" s="30">
        <f t="shared" ref="N6" si="3">L6*M6/100</f>
        <v>0</v>
      </c>
      <c r="O6" s="30">
        <v>24</v>
      </c>
      <c r="P6" s="130">
        <f t="shared" ref="P6:P11" si="4">IF(O6="","",(L6-N6)/O6)</f>
        <v>9000</v>
      </c>
    </row>
    <row r="7" spans="2:16" ht="20.100000000000001" customHeight="1" x14ac:dyDescent="0.15">
      <c r="B7" s="641"/>
      <c r="C7" s="268" t="s">
        <v>304</v>
      </c>
      <c r="D7" s="268"/>
      <c r="E7" s="268">
        <v>10000</v>
      </c>
      <c r="F7" s="36" t="s">
        <v>305</v>
      </c>
      <c r="G7" s="268">
        <f>6000000*10</f>
        <v>60000000</v>
      </c>
      <c r="H7" s="269">
        <v>0</v>
      </c>
      <c r="I7" s="268">
        <f t="shared" ref="I7" si="5">G7*(1-H7)</f>
        <v>60000000</v>
      </c>
      <c r="J7" s="282" t="s">
        <v>362</v>
      </c>
      <c r="K7" s="270">
        <v>0.1</v>
      </c>
      <c r="L7" s="30">
        <f t="shared" ref="L7" si="6">I7*K7</f>
        <v>6000000</v>
      </c>
      <c r="M7" s="355">
        <v>0</v>
      </c>
      <c r="N7" s="30">
        <f t="shared" ref="N7" si="7">L7*M7/100</f>
        <v>0</v>
      </c>
      <c r="O7" s="30">
        <v>10</v>
      </c>
      <c r="P7" s="130">
        <f t="shared" ref="P7" si="8">IF(O7="","",(L7-N7)/O7)</f>
        <v>600000</v>
      </c>
    </row>
    <row r="8" spans="2:16" ht="20.100000000000001" customHeight="1" x14ac:dyDescent="0.15">
      <c r="B8" s="641"/>
      <c r="C8" s="268"/>
      <c r="D8" s="268"/>
      <c r="E8" s="271"/>
      <c r="F8" s="36"/>
      <c r="G8" s="268"/>
      <c r="H8" s="269"/>
      <c r="I8" s="268"/>
      <c r="J8" s="36"/>
      <c r="K8" s="270"/>
      <c r="L8" s="30"/>
      <c r="M8" s="39"/>
      <c r="N8" s="30"/>
      <c r="O8" s="30"/>
      <c r="P8" s="130" t="str">
        <f t="shared" si="4"/>
        <v/>
      </c>
    </row>
    <row r="9" spans="2:16" ht="20.100000000000001" customHeight="1" x14ac:dyDescent="0.15">
      <c r="B9" s="641"/>
      <c r="C9" s="268"/>
      <c r="D9" s="268"/>
      <c r="E9" s="271"/>
      <c r="F9" s="36"/>
      <c r="G9" s="268"/>
      <c r="H9" s="269"/>
      <c r="I9" s="268"/>
      <c r="J9" s="36"/>
      <c r="K9" s="270"/>
      <c r="L9" s="30"/>
      <c r="M9" s="39"/>
      <c r="N9" s="30"/>
      <c r="O9" s="30"/>
      <c r="P9" s="130" t="str">
        <f t="shared" ref="P9:P10" si="9">IF(O9="","",(L9-N9)/O9)</f>
        <v/>
      </c>
    </row>
    <row r="10" spans="2:16" ht="20.100000000000001" customHeight="1" x14ac:dyDescent="0.15">
      <c r="B10" s="641"/>
      <c r="C10" s="268"/>
      <c r="D10" s="268"/>
      <c r="E10" s="271"/>
      <c r="F10" s="36"/>
      <c r="G10" s="268"/>
      <c r="H10" s="269"/>
      <c r="I10" s="268"/>
      <c r="J10" s="36"/>
      <c r="K10" s="270"/>
      <c r="L10" s="30"/>
      <c r="M10" s="39"/>
      <c r="N10" s="30"/>
      <c r="O10" s="30"/>
      <c r="P10" s="130" t="str">
        <f t="shared" si="9"/>
        <v/>
      </c>
    </row>
    <row r="11" spans="2:16" ht="20.100000000000001" customHeight="1" x14ac:dyDescent="0.15">
      <c r="B11" s="641"/>
      <c r="C11" s="30"/>
      <c r="D11" s="30"/>
      <c r="E11" s="30"/>
      <c r="F11" s="37"/>
      <c r="G11" s="30"/>
      <c r="H11" s="39"/>
      <c r="I11" s="30"/>
      <c r="J11" s="37"/>
      <c r="K11" s="38"/>
      <c r="L11" s="30"/>
      <c r="M11" s="39"/>
      <c r="N11" s="30"/>
      <c r="O11" s="30"/>
      <c r="P11" s="130" t="str">
        <f t="shared" si="4"/>
        <v/>
      </c>
    </row>
    <row r="12" spans="2:16" ht="20.100000000000001" customHeight="1" x14ac:dyDescent="0.15">
      <c r="B12" s="642"/>
      <c r="C12" s="40" t="s">
        <v>41</v>
      </c>
      <c r="D12" s="41"/>
      <c r="E12" s="41"/>
      <c r="F12" s="42"/>
      <c r="G12" s="41">
        <f>SUM(G5:G11)</f>
        <v>64320000</v>
      </c>
      <c r="H12" s="41"/>
      <c r="I12" s="41">
        <f>SUM(I5:I11)</f>
        <v>64320000</v>
      </c>
      <c r="J12" s="40"/>
      <c r="K12" s="43"/>
      <c r="L12" s="41">
        <f>SUM(L5:L11)</f>
        <v>6432000</v>
      </c>
      <c r="M12" s="41"/>
      <c r="N12" s="41"/>
      <c r="O12" s="41"/>
      <c r="P12" s="315">
        <f>SUM(P5:P11)</f>
        <v>618000</v>
      </c>
    </row>
    <row r="13" spans="2:16" ht="20.100000000000001" customHeight="1" x14ac:dyDescent="0.15">
      <c r="B13" s="640" t="s">
        <v>151</v>
      </c>
      <c r="C13" s="268" t="s">
        <v>265</v>
      </c>
      <c r="D13" s="268"/>
      <c r="E13" s="318">
        <v>2</v>
      </c>
      <c r="F13" s="36" t="s">
        <v>43</v>
      </c>
      <c r="G13" s="268">
        <f>365800*2</f>
        <v>731600</v>
      </c>
      <c r="H13" s="269">
        <v>0</v>
      </c>
      <c r="I13" s="268">
        <f>G13*(1-H13)</f>
        <v>731600</v>
      </c>
      <c r="J13" s="282" t="s">
        <v>362</v>
      </c>
      <c r="K13" s="270">
        <f>10/100</f>
        <v>0.1</v>
      </c>
      <c r="L13" s="268">
        <f>I13*K13</f>
        <v>73160</v>
      </c>
      <c r="M13" s="44">
        <v>0</v>
      </c>
      <c r="N13" s="30">
        <f>L13*M13</f>
        <v>0</v>
      </c>
      <c r="O13" s="45">
        <v>7</v>
      </c>
      <c r="P13" s="130">
        <f t="shared" ref="P13:P37" si="10">IF(O13="","",(L13-N13)/O13)</f>
        <v>10451.428571428571</v>
      </c>
    </row>
    <row r="14" spans="2:16" ht="20.100000000000001" customHeight="1" x14ac:dyDescent="0.15">
      <c r="B14" s="641"/>
      <c r="C14" s="268" t="s">
        <v>266</v>
      </c>
      <c r="D14" s="268"/>
      <c r="E14" s="318">
        <v>1</v>
      </c>
      <c r="F14" s="36" t="s">
        <v>270</v>
      </c>
      <c r="G14" s="268">
        <f>375000*10</f>
        <v>3750000</v>
      </c>
      <c r="H14" s="269">
        <v>0</v>
      </c>
      <c r="I14" s="268">
        <f>G14*(1-H14)</f>
        <v>3750000</v>
      </c>
      <c r="J14" s="282" t="s">
        <v>362</v>
      </c>
      <c r="K14" s="270">
        <f>0.1</f>
        <v>0.1</v>
      </c>
      <c r="L14" s="268">
        <f t="shared" ref="L14:L20" si="11">I14*K14</f>
        <v>375000</v>
      </c>
      <c r="M14" s="44">
        <v>0</v>
      </c>
      <c r="N14" s="30">
        <f t="shared" ref="N14:N19" si="12">L14*M14</f>
        <v>0</v>
      </c>
      <c r="O14" s="45">
        <v>7</v>
      </c>
      <c r="P14" s="130">
        <f t="shared" si="10"/>
        <v>53571.428571428572</v>
      </c>
    </row>
    <row r="15" spans="2:16" ht="20.100000000000001" customHeight="1" x14ac:dyDescent="0.15">
      <c r="B15" s="641"/>
      <c r="C15" s="268" t="s">
        <v>255</v>
      </c>
      <c r="D15" s="268"/>
      <c r="E15" s="318">
        <v>1</v>
      </c>
      <c r="F15" s="36" t="s">
        <v>43</v>
      </c>
      <c r="G15" s="268">
        <v>810000</v>
      </c>
      <c r="H15" s="269">
        <v>0</v>
      </c>
      <c r="I15" s="268">
        <f t="shared" ref="I15" si="13">G15*(1-H15)</f>
        <v>810000</v>
      </c>
      <c r="J15" s="282" t="s">
        <v>362</v>
      </c>
      <c r="K15" s="270">
        <f t="shared" ref="K15:K20" si="14">10/100</f>
        <v>0.1</v>
      </c>
      <c r="L15" s="268">
        <f t="shared" si="11"/>
        <v>81000</v>
      </c>
      <c r="M15" s="44">
        <v>0</v>
      </c>
      <c r="N15" s="30">
        <f t="shared" ref="N15:N16" si="15">L15*M15</f>
        <v>0</v>
      </c>
      <c r="O15" s="30">
        <v>7</v>
      </c>
      <c r="P15" s="130">
        <f t="shared" ref="P15:P16" si="16">IF(O15="","",(L15-N15)/O15)</f>
        <v>11571.428571428571</v>
      </c>
    </row>
    <row r="16" spans="2:16" ht="20.100000000000001" customHeight="1" x14ac:dyDescent="0.15">
      <c r="B16" s="641"/>
      <c r="C16" s="10" t="s">
        <v>267</v>
      </c>
      <c r="D16" s="10"/>
      <c r="E16" s="318">
        <v>1</v>
      </c>
      <c r="F16" s="282" t="s">
        <v>228</v>
      </c>
      <c r="G16" s="268">
        <f>300000</f>
        <v>300000</v>
      </c>
      <c r="H16" s="269">
        <v>0</v>
      </c>
      <c r="I16" s="268">
        <f>G16*(1-H16)</f>
        <v>300000</v>
      </c>
      <c r="J16" s="282" t="s">
        <v>362</v>
      </c>
      <c r="K16" s="270">
        <f t="shared" si="14"/>
        <v>0.1</v>
      </c>
      <c r="L16" s="268">
        <f t="shared" si="11"/>
        <v>30000</v>
      </c>
      <c r="M16" s="44">
        <v>0</v>
      </c>
      <c r="N16" s="30">
        <f t="shared" si="15"/>
        <v>0</v>
      </c>
      <c r="O16" s="30">
        <v>7</v>
      </c>
      <c r="P16" s="130">
        <f t="shared" si="16"/>
        <v>4285.7142857142853</v>
      </c>
    </row>
    <row r="17" spans="2:16" ht="20.100000000000001" customHeight="1" x14ac:dyDescent="0.15">
      <c r="B17" s="641"/>
      <c r="C17" s="268" t="s">
        <v>268</v>
      </c>
      <c r="D17" s="268"/>
      <c r="E17" s="318">
        <v>2</v>
      </c>
      <c r="F17" s="36" t="s">
        <v>271</v>
      </c>
      <c r="G17" s="268">
        <v>400000</v>
      </c>
      <c r="H17" s="269">
        <v>0</v>
      </c>
      <c r="I17" s="268">
        <f t="shared" ref="I17:I39" si="17">G17*(1-H17)</f>
        <v>400000</v>
      </c>
      <c r="J17" s="282" t="s">
        <v>362</v>
      </c>
      <c r="K17" s="270">
        <f t="shared" si="14"/>
        <v>0.1</v>
      </c>
      <c r="L17" s="268">
        <f t="shared" si="11"/>
        <v>40000</v>
      </c>
      <c r="M17" s="44">
        <v>0</v>
      </c>
      <c r="N17" s="30">
        <f t="shared" si="12"/>
        <v>0</v>
      </c>
      <c r="O17" s="30">
        <v>7</v>
      </c>
      <c r="P17" s="130">
        <f t="shared" si="10"/>
        <v>5714.2857142857147</v>
      </c>
    </row>
    <row r="18" spans="2:16" ht="20.100000000000001" customHeight="1" x14ac:dyDescent="0.15">
      <c r="B18" s="641"/>
      <c r="C18" s="268" t="s">
        <v>182</v>
      </c>
      <c r="D18" s="10"/>
      <c r="E18" s="268">
        <v>1</v>
      </c>
      <c r="F18" s="282" t="s">
        <v>76</v>
      </c>
      <c r="G18" s="268">
        <v>920000</v>
      </c>
      <c r="H18" s="269">
        <v>0</v>
      </c>
      <c r="I18" s="268">
        <v>920000</v>
      </c>
      <c r="J18" s="282" t="s">
        <v>362</v>
      </c>
      <c r="K18" s="270">
        <f t="shared" si="14"/>
        <v>0.1</v>
      </c>
      <c r="L18" s="268">
        <f t="shared" si="11"/>
        <v>92000</v>
      </c>
      <c r="M18" s="44">
        <v>0</v>
      </c>
      <c r="N18" s="30">
        <f t="shared" si="12"/>
        <v>0</v>
      </c>
      <c r="O18" s="30">
        <v>4</v>
      </c>
      <c r="P18" s="130">
        <f t="shared" si="10"/>
        <v>23000</v>
      </c>
    </row>
    <row r="19" spans="2:16" ht="20.100000000000001" customHeight="1" x14ac:dyDescent="0.15">
      <c r="B19" s="641"/>
      <c r="C19" s="371" t="s">
        <v>389</v>
      </c>
      <c r="D19" s="268"/>
      <c r="E19" s="268">
        <v>1</v>
      </c>
      <c r="F19" s="36" t="s">
        <v>76</v>
      </c>
      <c r="G19" s="268">
        <v>685800</v>
      </c>
      <c r="H19" s="269">
        <v>0</v>
      </c>
      <c r="I19" s="268">
        <f t="shared" ref="I19" si="18">G19*(1-H19)</f>
        <v>685800</v>
      </c>
      <c r="J19" s="36" t="s">
        <v>362</v>
      </c>
      <c r="K19" s="270">
        <f t="shared" si="14"/>
        <v>0.1</v>
      </c>
      <c r="L19" s="268">
        <f t="shared" si="11"/>
        <v>68580</v>
      </c>
      <c r="M19" s="372">
        <v>0</v>
      </c>
      <c r="N19" s="293">
        <f t="shared" si="12"/>
        <v>0</v>
      </c>
      <c r="O19" s="293">
        <v>7</v>
      </c>
      <c r="P19" s="130">
        <f>IF(O19="","",(L19-N19)/O19)</f>
        <v>9797.1428571428569</v>
      </c>
    </row>
    <row r="20" spans="2:16" ht="20.100000000000001" customHeight="1" x14ac:dyDescent="0.15">
      <c r="B20" s="641"/>
      <c r="C20" s="268" t="s">
        <v>367</v>
      </c>
      <c r="D20" s="268"/>
      <c r="E20" s="268">
        <v>5</v>
      </c>
      <c r="F20" s="36" t="s">
        <v>368</v>
      </c>
      <c r="G20" s="268">
        <v>660000</v>
      </c>
      <c r="H20" s="269">
        <v>0</v>
      </c>
      <c r="I20" s="268">
        <f t="shared" ref="I20" si="19">G20*(1-H20)</f>
        <v>660000</v>
      </c>
      <c r="J20" s="36" t="s">
        <v>362</v>
      </c>
      <c r="K20" s="270">
        <f t="shared" si="14"/>
        <v>0.1</v>
      </c>
      <c r="L20" s="268">
        <f t="shared" si="11"/>
        <v>66000</v>
      </c>
      <c r="M20" s="372">
        <v>0</v>
      </c>
      <c r="N20" s="293">
        <f t="shared" ref="N20" si="20">L20*M20</f>
        <v>0</v>
      </c>
      <c r="O20" s="293">
        <v>7</v>
      </c>
      <c r="P20" s="130">
        <f t="shared" si="10"/>
        <v>9428.5714285714294</v>
      </c>
    </row>
    <row r="21" spans="2:16" ht="20.100000000000001" customHeight="1" x14ac:dyDescent="0.15">
      <c r="B21" s="641"/>
      <c r="C21" s="268"/>
      <c r="D21" s="268"/>
      <c r="E21" s="268"/>
      <c r="F21" s="36"/>
      <c r="G21" s="268"/>
      <c r="H21" s="269"/>
      <c r="I21" s="268"/>
      <c r="J21" s="36"/>
      <c r="K21" s="270"/>
      <c r="L21" s="268"/>
      <c r="M21" s="39"/>
      <c r="N21" s="30"/>
      <c r="O21" s="30"/>
      <c r="P21" s="130" t="str">
        <f t="shared" si="10"/>
        <v/>
      </c>
    </row>
    <row r="22" spans="2:16" ht="20.100000000000001" customHeight="1" x14ac:dyDescent="0.15">
      <c r="B22" s="641"/>
      <c r="C22" s="268"/>
      <c r="D22" s="268"/>
      <c r="E22" s="268"/>
      <c r="F22" s="36"/>
      <c r="G22" s="268"/>
      <c r="H22" s="269"/>
      <c r="I22" s="268"/>
      <c r="J22" s="36"/>
      <c r="K22" s="270"/>
      <c r="L22" s="268"/>
      <c r="M22" s="39"/>
      <c r="N22" s="30"/>
      <c r="O22" s="30"/>
      <c r="P22" s="130" t="str">
        <f t="shared" si="10"/>
        <v/>
      </c>
    </row>
    <row r="23" spans="2:16" ht="20.100000000000001" customHeight="1" x14ac:dyDescent="0.15">
      <c r="B23" s="641"/>
      <c r="C23" s="268"/>
      <c r="D23" s="268"/>
      <c r="E23" s="268"/>
      <c r="F23" s="36"/>
      <c r="G23" s="268"/>
      <c r="H23" s="269"/>
      <c r="I23" s="268"/>
      <c r="J23" s="36"/>
      <c r="K23" s="270"/>
      <c r="L23" s="268"/>
      <c r="M23" s="39"/>
      <c r="N23" s="30"/>
      <c r="O23" s="30"/>
      <c r="P23" s="130" t="str">
        <f t="shared" si="10"/>
        <v/>
      </c>
    </row>
    <row r="24" spans="2:16" ht="20.100000000000001" customHeight="1" x14ac:dyDescent="0.15">
      <c r="B24" s="641"/>
      <c r="C24" s="268"/>
      <c r="D24" s="268"/>
      <c r="E24" s="268"/>
      <c r="F24" s="36"/>
      <c r="G24" s="268"/>
      <c r="H24" s="269"/>
      <c r="I24" s="268"/>
      <c r="J24" s="36"/>
      <c r="K24" s="270"/>
      <c r="L24" s="268"/>
      <c r="M24" s="39"/>
      <c r="N24" s="30"/>
      <c r="O24" s="30"/>
      <c r="P24" s="130" t="str">
        <f t="shared" si="10"/>
        <v/>
      </c>
    </row>
    <row r="25" spans="2:16" ht="20.100000000000001" customHeight="1" x14ac:dyDescent="0.15">
      <c r="B25" s="641"/>
      <c r="C25" s="268"/>
      <c r="D25" s="268"/>
      <c r="E25" s="268"/>
      <c r="F25" s="36"/>
      <c r="G25" s="268"/>
      <c r="H25" s="269"/>
      <c r="I25" s="268"/>
      <c r="J25" s="36"/>
      <c r="K25" s="270"/>
      <c r="L25" s="268"/>
      <c r="M25" s="39"/>
      <c r="N25" s="30"/>
      <c r="O25" s="30"/>
      <c r="P25" s="130" t="str">
        <f t="shared" si="10"/>
        <v/>
      </c>
    </row>
    <row r="26" spans="2:16" ht="20.100000000000001" customHeight="1" x14ac:dyDescent="0.15">
      <c r="B26" s="641"/>
      <c r="C26" s="268"/>
      <c r="D26" s="268"/>
      <c r="E26" s="268"/>
      <c r="F26" s="36"/>
      <c r="G26" s="268"/>
      <c r="H26" s="269"/>
      <c r="I26" s="268"/>
      <c r="J26" s="36"/>
      <c r="K26" s="270"/>
      <c r="L26" s="268"/>
      <c r="M26" s="39"/>
      <c r="N26" s="30"/>
      <c r="O26" s="30"/>
      <c r="P26" s="130" t="str">
        <f t="shared" ref="P26:P27" si="21">IF(O26="","",(L26-N26)/O26)</f>
        <v/>
      </c>
    </row>
    <row r="27" spans="2:16" ht="20.100000000000001" customHeight="1" x14ac:dyDescent="0.15">
      <c r="B27" s="641"/>
      <c r="C27" s="268"/>
      <c r="D27" s="268"/>
      <c r="E27" s="268"/>
      <c r="F27" s="36"/>
      <c r="G27" s="268"/>
      <c r="H27" s="269"/>
      <c r="I27" s="268"/>
      <c r="J27" s="36"/>
      <c r="K27" s="270"/>
      <c r="L27" s="268"/>
      <c r="M27" s="39"/>
      <c r="N27" s="30"/>
      <c r="O27" s="30"/>
      <c r="P27" s="130" t="str">
        <f t="shared" si="21"/>
        <v/>
      </c>
    </row>
    <row r="28" spans="2:16" ht="20.100000000000001" customHeight="1" x14ac:dyDescent="0.15">
      <c r="B28" s="641"/>
      <c r="C28" s="268"/>
      <c r="D28" s="268"/>
      <c r="E28" s="268"/>
      <c r="F28" s="36"/>
      <c r="G28" s="268"/>
      <c r="H28" s="269"/>
      <c r="I28" s="268"/>
      <c r="J28" s="36"/>
      <c r="K28" s="270"/>
      <c r="L28" s="268"/>
      <c r="M28" s="39"/>
      <c r="N28" s="30"/>
      <c r="O28" s="30"/>
      <c r="P28" s="130" t="str">
        <f t="shared" si="10"/>
        <v/>
      </c>
    </row>
    <row r="29" spans="2:16" ht="20.100000000000001" customHeight="1" x14ac:dyDescent="0.15">
      <c r="B29" s="641"/>
      <c r="C29" s="268"/>
      <c r="D29" s="268"/>
      <c r="E29" s="268"/>
      <c r="F29" s="36"/>
      <c r="G29" s="268"/>
      <c r="H29" s="269"/>
      <c r="I29" s="268"/>
      <c r="J29" s="36"/>
      <c r="K29" s="270"/>
      <c r="L29" s="268"/>
      <c r="M29" s="39"/>
      <c r="N29" s="30"/>
      <c r="O29" s="30"/>
      <c r="P29" s="130" t="str">
        <f t="shared" si="10"/>
        <v/>
      </c>
    </row>
    <row r="30" spans="2:16" ht="20.100000000000001" customHeight="1" x14ac:dyDescent="0.15">
      <c r="B30" s="641"/>
      <c r="C30" s="268"/>
      <c r="D30" s="268"/>
      <c r="E30" s="272"/>
      <c r="F30" s="36"/>
      <c r="G30" s="268"/>
      <c r="H30" s="269"/>
      <c r="I30" s="268"/>
      <c r="J30" s="36"/>
      <c r="K30" s="270"/>
      <c r="L30" s="268"/>
      <c r="M30" s="39"/>
      <c r="N30" s="30"/>
      <c r="O30" s="30"/>
      <c r="P30" s="130" t="str">
        <f t="shared" si="10"/>
        <v/>
      </c>
    </row>
    <row r="31" spans="2:16" ht="20.100000000000001" customHeight="1" x14ac:dyDescent="0.15">
      <c r="B31" s="641"/>
      <c r="C31" s="268"/>
      <c r="D31" s="268"/>
      <c r="E31" s="268"/>
      <c r="F31" s="36"/>
      <c r="G31" s="268"/>
      <c r="H31" s="269"/>
      <c r="I31" s="268"/>
      <c r="J31" s="36"/>
      <c r="K31" s="270"/>
      <c r="L31" s="268"/>
      <c r="M31" s="39"/>
      <c r="N31" s="30"/>
      <c r="O31" s="30"/>
      <c r="P31" s="130" t="str">
        <f t="shared" si="10"/>
        <v/>
      </c>
    </row>
    <row r="32" spans="2:16" ht="20.100000000000001" customHeight="1" x14ac:dyDescent="0.15">
      <c r="B32" s="641"/>
      <c r="C32" s="268"/>
      <c r="D32" s="268"/>
      <c r="E32" s="268"/>
      <c r="F32" s="36"/>
      <c r="G32" s="268"/>
      <c r="H32" s="269"/>
      <c r="I32" s="268"/>
      <c r="J32" s="36"/>
      <c r="K32" s="270"/>
      <c r="L32" s="268"/>
      <c r="M32" s="39"/>
      <c r="N32" s="30"/>
      <c r="O32" s="30"/>
      <c r="P32" s="130" t="str">
        <f t="shared" si="10"/>
        <v/>
      </c>
    </row>
    <row r="33" spans="2:16" ht="20.100000000000001" customHeight="1" x14ac:dyDescent="0.15">
      <c r="B33" s="641"/>
      <c r="C33" s="268"/>
      <c r="D33" s="268"/>
      <c r="E33" s="268"/>
      <c r="F33" s="36"/>
      <c r="G33" s="268"/>
      <c r="H33" s="269"/>
      <c r="I33" s="268"/>
      <c r="J33" s="36"/>
      <c r="K33" s="270"/>
      <c r="L33" s="268"/>
      <c r="M33" s="39"/>
      <c r="N33" s="30"/>
      <c r="O33" s="30"/>
      <c r="P33" s="130" t="str">
        <f t="shared" si="10"/>
        <v/>
      </c>
    </row>
    <row r="34" spans="2:16" ht="20.100000000000001" customHeight="1" x14ac:dyDescent="0.15">
      <c r="B34" s="641"/>
      <c r="C34" s="268"/>
      <c r="D34" s="268"/>
      <c r="E34" s="268"/>
      <c r="F34" s="36"/>
      <c r="G34" s="268"/>
      <c r="H34" s="269"/>
      <c r="I34" s="268"/>
      <c r="J34" s="36"/>
      <c r="K34" s="270"/>
      <c r="L34" s="268"/>
      <c r="M34" s="39"/>
      <c r="N34" s="30"/>
      <c r="O34" s="30"/>
      <c r="P34" s="130" t="str">
        <f t="shared" si="10"/>
        <v/>
      </c>
    </row>
    <row r="35" spans="2:16" ht="20.100000000000001" customHeight="1" x14ac:dyDescent="0.15">
      <c r="B35" s="641"/>
      <c r="C35" s="268"/>
      <c r="D35" s="268"/>
      <c r="E35" s="268"/>
      <c r="F35" s="36"/>
      <c r="G35" s="268"/>
      <c r="H35" s="269"/>
      <c r="I35" s="268"/>
      <c r="J35" s="36"/>
      <c r="K35" s="270"/>
      <c r="L35" s="268"/>
      <c r="M35" s="39"/>
      <c r="N35" s="30"/>
      <c r="O35" s="30"/>
      <c r="P35" s="130" t="str">
        <f t="shared" si="10"/>
        <v/>
      </c>
    </row>
    <row r="36" spans="2:16" ht="20.100000000000001" customHeight="1" x14ac:dyDescent="0.15">
      <c r="B36" s="641"/>
      <c r="C36" s="268"/>
      <c r="D36" s="268"/>
      <c r="E36" s="268"/>
      <c r="F36" s="36"/>
      <c r="G36" s="268"/>
      <c r="H36" s="269"/>
      <c r="I36" s="268"/>
      <c r="J36" s="36"/>
      <c r="K36" s="270"/>
      <c r="L36" s="268"/>
      <c r="M36" s="39"/>
      <c r="N36" s="30"/>
      <c r="O36" s="30"/>
      <c r="P36" s="130" t="str">
        <f t="shared" ref="P36" si="22">IF(O36="","",(L36-N36)/O36)</f>
        <v/>
      </c>
    </row>
    <row r="37" spans="2:16" ht="20.100000000000001" customHeight="1" x14ac:dyDescent="0.15">
      <c r="B37" s="641"/>
      <c r="C37" s="268"/>
      <c r="D37" s="268"/>
      <c r="E37" s="268"/>
      <c r="F37" s="36"/>
      <c r="G37" s="268"/>
      <c r="H37" s="269"/>
      <c r="I37" s="268"/>
      <c r="J37" s="36"/>
      <c r="K37" s="270"/>
      <c r="L37" s="268"/>
      <c r="M37" s="39"/>
      <c r="N37" s="30"/>
      <c r="O37" s="30"/>
      <c r="P37" s="130" t="str">
        <f t="shared" si="10"/>
        <v/>
      </c>
    </row>
    <row r="38" spans="2:16" ht="20.100000000000001" customHeight="1" x14ac:dyDescent="0.15">
      <c r="B38" s="642"/>
      <c r="C38" s="273" t="s">
        <v>42</v>
      </c>
      <c r="D38" s="273"/>
      <c r="E38" s="273"/>
      <c r="F38" s="274"/>
      <c r="G38" s="273">
        <f>SUM(G13:G36)</f>
        <v>8257400</v>
      </c>
      <c r="H38" s="273"/>
      <c r="I38" s="273">
        <f>SUM(I13:I36)</f>
        <v>8257400</v>
      </c>
      <c r="J38" s="364"/>
      <c r="K38" s="275"/>
      <c r="L38" s="273">
        <f>SUM(L13:L36)</f>
        <v>825740</v>
      </c>
      <c r="M38" s="41"/>
      <c r="N38" s="41"/>
      <c r="O38" s="41"/>
      <c r="P38" s="315">
        <f>SUM(P13:P36)</f>
        <v>127820</v>
      </c>
    </row>
    <row r="39" spans="2:16" ht="20.100000000000001" customHeight="1" x14ac:dyDescent="0.15">
      <c r="B39" s="640" t="s">
        <v>103</v>
      </c>
      <c r="C39" s="268" t="s">
        <v>269</v>
      </c>
      <c r="D39" s="268"/>
      <c r="E39" s="268">
        <v>1</v>
      </c>
      <c r="F39" s="268" t="s">
        <v>270</v>
      </c>
      <c r="G39" s="268">
        <f>431982*10</f>
        <v>4319820</v>
      </c>
      <c r="H39" s="276"/>
      <c r="I39" s="268">
        <f t="shared" si="17"/>
        <v>4319820</v>
      </c>
      <c r="J39" s="36" t="s">
        <v>362</v>
      </c>
      <c r="K39" s="270">
        <f>0.1</f>
        <v>0.1</v>
      </c>
      <c r="L39" s="268">
        <f>I39*K39</f>
        <v>431982</v>
      </c>
      <c r="M39" s="46">
        <v>0.05</v>
      </c>
      <c r="N39" s="30">
        <f>L39*M39</f>
        <v>21599.100000000002</v>
      </c>
      <c r="O39" s="30">
        <v>11</v>
      </c>
      <c r="P39" s="130">
        <f>IF(O39="","",(L39-N39)/O39)</f>
        <v>37307.536363636369</v>
      </c>
    </row>
    <row r="40" spans="2:16" ht="20.100000000000001" customHeight="1" x14ac:dyDescent="0.15">
      <c r="B40" s="641"/>
      <c r="C40" s="268"/>
      <c r="D40" s="268"/>
      <c r="E40" s="268"/>
      <c r="F40" s="268"/>
      <c r="G40" s="268"/>
      <c r="H40" s="276"/>
      <c r="I40" s="268"/>
      <c r="J40" s="36"/>
      <c r="K40" s="270"/>
      <c r="L40" s="268"/>
      <c r="M40" s="46"/>
      <c r="N40" s="30"/>
      <c r="O40" s="30"/>
      <c r="P40" s="130" t="str">
        <f>IF(O40="","",(L40-N40)/O40)</f>
        <v/>
      </c>
    </row>
    <row r="41" spans="2:16" ht="20.100000000000001" customHeight="1" x14ac:dyDescent="0.15">
      <c r="B41" s="641"/>
      <c r="C41" s="30"/>
      <c r="D41" s="30"/>
      <c r="E41" s="30"/>
      <c r="F41" s="30"/>
      <c r="G41" s="30"/>
      <c r="H41" s="46"/>
      <c r="I41" s="30"/>
      <c r="J41" s="37"/>
      <c r="K41" s="38"/>
      <c r="L41" s="30"/>
      <c r="M41" s="46"/>
      <c r="N41" s="30"/>
      <c r="O41" s="30"/>
      <c r="P41" s="130" t="str">
        <f>IF(O41="","",(L41-N41)/O41)</f>
        <v/>
      </c>
    </row>
    <row r="42" spans="2:16" ht="20.100000000000001" customHeight="1" x14ac:dyDescent="0.15">
      <c r="B42" s="641"/>
      <c r="C42" s="30"/>
      <c r="D42" s="30"/>
      <c r="E42" s="30"/>
      <c r="F42" s="30"/>
      <c r="G42" s="30"/>
      <c r="H42" s="46"/>
      <c r="I42" s="30"/>
      <c r="J42" s="37"/>
      <c r="K42" s="38"/>
      <c r="L42" s="30"/>
      <c r="M42" s="46"/>
      <c r="N42" s="30"/>
      <c r="O42" s="30"/>
      <c r="P42" s="130" t="str">
        <f>IF(O42="","",(L42-N42)/O42)</f>
        <v/>
      </c>
    </row>
    <row r="43" spans="2:16" ht="20.100000000000001" customHeight="1" x14ac:dyDescent="0.15">
      <c r="B43" s="642"/>
      <c r="C43" s="47" t="s">
        <v>42</v>
      </c>
      <c r="D43" s="41"/>
      <c r="E43" s="41"/>
      <c r="F43" s="42"/>
      <c r="G43" s="41">
        <f>SUM(G39:G42)</f>
        <v>4319820</v>
      </c>
      <c r="H43" s="41"/>
      <c r="I43" s="41">
        <f>SUM(I39:I42)</f>
        <v>4319820</v>
      </c>
      <c r="J43" s="40"/>
      <c r="K43" s="43"/>
      <c r="L43" s="41">
        <f>SUM(L39:L42)</f>
        <v>431982</v>
      </c>
      <c r="M43" s="41"/>
      <c r="N43" s="41"/>
      <c r="O43" s="41"/>
      <c r="P43" s="315">
        <f>SUM(P39:P42)</f>
        <v>37307.536363636369</v>
      </c>
    </row>
    <row r="44" spans="2:16" ht="20.100000000000001" customHeight="1" thickBot="1" x14ac:dyDescent="0.2">
      <c r="B44" s="48"/>
      <c r="C44" s="49" t="s">
        <v>222</v>
      </c>
      <c r="D44" s="50"/>
      <c r="E44" s="50"/>
      <c r="F44" s="51"/>
      <c r="G44" s="50">
        <f>G12+G38+G43</f>
        <v>76897220</v>
      </c>
      <c r="H44" s="50"/>
      <c r="I44" s="50">
        <f>I12+I38+I43</f>
        <v>76897220</v>
      </c>
      <c r="J44" s="365"/>
      <c r="K44" s="52"/>
      <c r="L44" s="50">
        <f>L12+L38+L43</f>
        <v>7689722</v>
      </c>
      <c r="M44" s="50"/>
      <c r="N44" s="50"/>
      <c r="O44" s="50"/>
      <c r="P44" s="316">
        <f>P12+P38+P43</f>
        <v>783127.53636363638</v>
      </c>
    </row>
    <row r="45" spans="2:16" ht="11.25" customHeight="1" x14ac:dyDescent="0.15"/>
  </sheetData>
  <mergeCells count="9">
    <mergeCell ref="J3:J4"/>
    <mergeCell ref="B39:B43"/>
    <mergeCell ref="B13:B38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100" workbookViewId="0"/>
  </sheetViews>
  <sheetFormatPr defaultColWidth="10.875" defaultRowHeight="13.5" x14ac:dyDescent="0.15"/>
  <cols>
    <col min="1" max="1" width="1.625" style="92" customWidth="1"/>
    <col min="2" max="2" width="5.875" style="92" customWidth="1"/>
    <col min="3" max="3" width="10.625" style="92" customWidth="1"/>
    <col min="4" max="4" width="12.375" style="92" customWidth="1"/>
    <col min="5" max="5" width="14.625" style="92" customWidth="1"/>
    <col min="6" max="7" width="15.875" style="92" customWidth="1"/>
    <col min="8" max="8" width="10.875" style="92"/>
    <col min="9" max="9" width="11.375" style="92" bestFit="1" customWidth="1"/>
    <col min="10" max="10" width="13.375" style="92" customWidth="1"/>
    <col min="11" max="11" width="7.125" style="92" customWidth="1"/>
    <col min="12" max="12" width="15.375" style="92" customWidth="1"/>
    <col min="13" max="13" width="9.375" style="92" bestFit="1" customWidth="1"/>
    <col min="14" max="14" width="10.875" style="92"/>
    <col min="15" max="15" width="7.25" style="92" customWidth="1"/>
    <col min="16" max="16" width="9.625" style="92" customWidth="1"/>
    <col min="17" max="17" width="10.875" style="92" customWidth="1"/>
    <col min="18" max="18" width="7.5" style="92" customWidth="1"/>
    <col min="19" max="19" width="3.75" style="92" customWidth="1"/>
    <col min="20" max="16384" width="10.875" style="92"/>
  </cols>
  <sheetData>
    <row r="1" spans="2:19" s="93" customFormat="1" ht="9.9499999999999993" customHeight="1" x14ac:dyDescent="0.15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2:19" s="93" customFormat="1" ht="24.95" customHeight="1" thickBot="1" x14ac:dyDescent="0.2">
      <c r="B2" s="3" t="s">
        <v>329</v>
      </c>
      <c r="H2" s="94" t="s">
        <v>195</v>
      </c>
      <c r="I2" s="3" t="s">
        <v>296</v>
      </c>
      <c r="K2" s="94" t="s">
        <v>196</v>
      </c>
      <c r="L2" s="3" t="s">
        <v>357</v>
      </c>
      <c r="N2" s="92"/>
      <c r="O2" s="92"/>
      <c r="Q2" s="4"/>
      <c r="R2" s="4"/>
    </row>
    <row r="3" spans="2:19" s="93" customFormat="1" ht="18" customHeight="1" x14ac:dyDescent="0.15">
      <c r="B3" s="684" t="s">
        <v>17</v>
      </c>
      <c r="C3" s="685"/>
      <c r="D3" s="685"/>
      <c r="E3" s="686"/>
      <c r="F3" s="122" t="s">
        <v>18</v>
      </c>
      <c r="G3" s="96"/>
      <c r="H3" s="97" t="s">
        <v>19</v>
      </c>
      <c r="I3" s="95"/>
      <c r="J3" s="95"/>
      <c r="K3" s="687" t="s">
        <v>164</v>
      </c>
      <c r="L3" s="688"/>
      <c r="M3" s="688"/>
      <c r="N3" s="688"/>
      <c r="O3" s="688"/>
      <c r="P3" s="688"/>
      <c r="Q3" s="688"/>
      <c r="R3" s="688"/>
      <c r="S3" s="689"/>
    </row>
    <row r="4" spans="2:19" s="93" customFormat="1" ht="18" customHeight="1" x14ac:dyDescent="0.15">
      <c r="B4" s="682" t="s">
        <v>20</v>
      </c>
      <c r="C4" s="683"/>
      <c r="D4" s="185" t="s">
        <v>159</v>
      </c>
      <c r="E4" s="195"/>
      <c r="F4" s="189">
        <f>R11</f>
        <v>2737890</v>
      </c>
      <c r="G4" s="690" t="s">
        <v>369</v>
      </c>
      <c r="H4" s="691"/>
      <c r="I4" s="691"/>
      <c r="J4" s="692"/>
      <c r="K4" s="278" t="s">
        <v>223</v>
      </c>
      <c r="L4" s="279" t="s">
        <v>224</v>
      </c>
      <c r="M4" s="337" t="s">
        <v>21</v>
      </c>
      <c r="N4" s="337" t="s">
        <v>20</v>
      </c>
      <c r="O4" s="279" t="s">
        <v>223</v>
      </c>
      <c r="P4" s="339" t="s">
        <v>225</v>
      </c>
      <c r="Q4" s="188" t="s">
        <v>21</v>
      </c>
      <c r="R4" s="677" t="s">
        <v>20</v>
      </c>
      <c r="S4" s="678"/>
    </row>
    <row r="5" spans="2:19" s="93" customFormat="1" ht="18" customHeight="1" x14ac:dyDescent="0.15">
      <c r="B5" s="682"/>
      <c r="C5" s="683"/>
      <c r="D5" s="185" t="s">
        <v>69</v>
      </c>
      <c r="E5" s="195"/>
      <c r="F5" s="189">
        <v>0</v>
      </c>
      <c r="G5" s="163"/>
      <c r="H5" s="196"/>
      <c r="I5" s="196"/>
      <c r="J5" s="196"/>
      <c r="K5" s="277">
        <v>3</v>
      </c>
      <c r="L5" s="189">
        <v>100</v>
      </c>
      <c r="M5" s="340">
        <f>'９　ハウスアスパラガス単価算出基礎'!E20</f>
        <v>1339</v>
      </c>
      <c r="N5" s="343">
        <f>L5*M5</f>
        <v>133900</v>
      </c>
      <c r="O5" s="190">
        <v>10</v>
      </c>
      <c r="P5" s="338">
        <v>100</v>
      </c>
      <c r="Q5" s="190">
        <f>'９　ハウスアスパラガス単価算出基礎'!L20</f>
        <v>1049.4000000000001</v>
      </c>
      <c r="R5" s="674">
        <f>P5*Q5</f>
        <v>104940.00000000001</v>
      </c>
      <c r="S5" s="653"/>
    </row>
    <row r="6" spans="2:19" s="93" customFormat="1" ht="18" customHeight="1" x14ac:dyDescent="0.15">
      <c r="B6" s="702" t="s">
        <v>162</v>
      </c>
      <c r="C6" s="705" t="s">
        <v>249</v>
      </c>
      <c r="D6" s="189" t="s">
        <v>45</v>
      </c>
      <c r="E6" s="197"/>
      <c r="F6" s="189">
        <f>+P13</f>
        <v>0</v>
      </c>
      <c r="G6" s="368"/>
      <c r="H6" s="196"/>
      <c r="I6" s="196"/>
      <c r="J6" s="196"/>
      <c r="K6" s="194">
        <v>4</v>
      </c>
      <c r="L6" s="191">
        <v>450</v>
      </c>
      <c r="M6" s="341">
        <f>'９　ハウスアスパラガス単価算出基礎'!F20</f>
        <v>1605.6</v>
      </c>
      <c r="N6" s="343">
        <f t="shared" ref="N6:N11" si="0">L6*M6</f>
        <v>722520</v>
      </c>
      <c r="O6" s="190"/>
      <c r="P6" s="189"/>
      <c r="Q6" s="189"/>
      <c r="R6" s="674"/>
      <c r="S6" s="653"/>
    </row>
    <row r="7" spans="2:19" s="93" customFormat="1" ht="18" customHeight="1" x14ac:dyDescent="0.15">
      <c r="B7" s="703"/>
      <c r="C7" s="706"/>
      <c r="D7" s="189" t="s">
        <v>46</v>
      </c>
      <c r="E7" s="197"/>
      <c r="F7" s="189">
        <f>P22</f>
        <v>70260</v>
      </c>
      <c r="G7" s="693" t="s">
        <v>416</v>
      </c>
      <c r="H7" s="694"/>
      <c r="I7" s="694"/>
      <c r="J7" s="695"/>
      <c r="K7" s="192">
        <v>5</v>
      </c>
      <c r="L7" s="193">
        <v>350</v>
      </c>
      <c r="M7" s="341">
        <f>'９　ハウスアスパラガス単価算出基礎'!G20</f>
        <v>1304</v>
      </c>
      <c r="N7" s="343">
        <f t="shared" si="0"/>
        <v>456400</v>
      </c>
      <c r="O7" s="190"/>
      <c r="P7" s="189"/>
      <c r="Q7" s="189"/>
      <c r="R7" s="674"/>
      <c r="S7" s="653"/>
    </row>
    <row r="8" spans="2:19" s="93" customFormat="1" ht="18" customHeight="1" x14ac:dyDescent="0.15">
      <c r="B8" s="703"/>
      <c r="C8" s="706"/>
      <c r="D8" s="189" t="s">
        <v>47</v>
      </c>
      <c r="E8" s="197"/>
      <c r="F8" s="189">
        <f>P28</f>
        <v>37615.619999999995</v>
      </c>
      <c r="G8" s="693" t="s">
        <v>417</v>
      </c>
      <c r="H8" s="694"/>
      <c r="I8" s="694"/>
      <c r="J8" s="695"/>
      <c r="K8" s="190">
        <v>6</v>
      </c>
      <c r="L8" s="189">
        <v>250</v>
      </c>
      <c r="M8" s="341">
        <f>'９　ハウスアスパラガス単価算出基礎'!H20</f>
        <v>1257.5999999999999</v>
      </c>
      <c r="N8" s="343">
        <f t="shared" si="0"/>
        <v>314400</v>
      </c>
      <c r="O8" s="190"/>
      <c r="P8" s="189"/>
      <c r="Q8" s="189"/>
      <c r="R8" s="674"/>
      <c r="S8" s="653"/>
    </row>
    <row r="9" spans="2:19" s="93" customFormat="1" ht="18" customHeight="1" x14ac:dyDescent="0.15">
      <c r="B9" s="703"/>
      <c r="C9" s="706"/>
      <c r="D9" s="189" t="s">
        <v>70</v>
      </c>
      <c r="E9" s="197"/>
      <c r="F9" s="189">
        <f>P37</f>
        <v>27834.915999999997</v>
      </c>
      <c r="G9" s="693" t="s">
        <v>418</v>
      </c>
      <c r="H9" s="694"/>
      <c r="I9" s="694"/>
      <c r="J9" s="695"/>
      <c r="K9" s="347">
        <v>7</v>
      </c>
      <c r="L9" s="341">
        <v>500</v>
      </c>
      <c r="M9" s="341">
        <f>'９　ハウスアスパラガス単価算出基礎'!I20</f>
        <v>800.6</v>
      </c>
      <c r="N9" s="343">
        <f t="shared" si="0"/>
        <v>400300</v>
      </c>
      <c r="O9" s="190"/>
      <c r="P9" s="341"/>
      <c r="Q9" s="341"/>
      <c r="R9" s="675"/>
      <c r="S9" s="676"/>
    </row>
    <row r="10" spans="2:19" s="93" customFormat="1" ht="18" customHeight="1" x14ac:dyDescent="0.15">
      <c r="B10" s="703"/>
      <c r="C10" s="706"/>
      <c r="D10" s="189" t="s">
        <v>48</v>
      </c>
      <c r="E10" s="197"/>
      <c r="F10" s="189">
        <f>'８　ハウスアスパラガス算出基礎'!V20</f>
        <v>69473.333333333343</v>
      </c>
      <c r="G10" s="651"/>
      <c r="H10" s="652"/>
      <c r="I10" s="652"/>
      <c r="J10" s="653"/>
      <c r="K10" s="347">
        <v>8</v>
      </c>
      <c r="L10" s="341">
        <v>450</v>
      </c>
      <c r="M10" s="341">
        <f>'９　ハウスアスパラガス単価算出基礎'!J20</f>
        <v>705.4</v>
      </c>
      <c r="N10" s="343">
        <f t="shared" si="0"/>
        <v>317430</v>
      </c>
      <c r="O10" s="190"/>
      <c r="P10" s="341"/>
      <c r="Q10" s="341"/>
      <c r="R10" s="675"/>
      <c r="S10" s="676"/>
    </row>
    <row r="11" spans="2:19" s="93" customFormat="1" ht="18" customHeight="1" thickBot="1" x14ac:dyDescent="0.2">
      <c r="B11" s="703"/>
      <c r="C11" s="706"/>
      <c r="D11" s="189" t="s">
        <v>4</v>
      </c>
      <c r="E11" s="197"/>
      <c r="F11" s="189">
        <f>'８　ハウスアスパラガス算出基礎'!V34</f>
        <v>5284</v>
      </c>
      <c r="G11" s="651"/>
      <c r="H11" s="652"/>
      <c r="I11" s="652"/>
      <c r="J11" s="653"/>
      <c r="K11" s="348">
        <v>9</v>
      </c>
      <c r="L11" s="349">
        <v>300</v>
      </c>
      <c r="M11" s="350">
        <f>'９　ハウスアスパラガス単価算出基礎'!K20</f>
        <v>960</v>
      </c>
      <c r="N11" s="351">
        <f t="shared" si="0"/>
        <v>288000</v>
      </c>
      <c r="O11" s="352" t="s">
        <v>22</v>
      </c>
      <c r="P11" s="98">
        <f>SUM(L5:L11,P5:P10)</f>
        <v>2500</v>
      </c>
      <c r="Q11" s="99">
        <f>R11/P11</f>
        <v>1095.1559999999999</v>
      </c>
      <c r="R11" s="666">
        <f>SUM(N5:N11,R5:S10)</f>
        <v>2737890</v>
      </c>
      <c r="S11" s="667"/>
    </row>
    <row r="12" spans="2:19" s="93" customFormat="1" ht="18" customHeight="1" thickTop="1" x14ac:dyDescent="0.15">
      <c r="B12" s="703"/>
      <c r="C12" s="706"/>
      <c r="D12" s="189" t="s">
        <v>5</v>
      </c>
      <c r="E12" s="197"/>
      <c r="F12" s="189">
        <f>P11*174.85</f>
        <v>437125</v>
      </c>
      <c r="G12" s="165" t="s">
        <v>282</v>
      </c>
      <c r="H12" s="369"/>
      <c r="I12" s="174"/>
      <c r="J12" s="198"/>
      <c r="K12" s="649" t="s">
        <v>163</v>
      </c>
      <c r="L12" s="344" t="s">
        <v>123</v>
      </c>
      <c r="M12" s="345" t="s">
        <v>7</v>
      </c>
      <c r="N12" s="342" t="s">
        <v>229</v>
      </c>
      <c r="O12" s="346" t="s">
        <v>21</v>
      </c>
      <c r="P12" s="346" t="s">
        <v>24</v>
      </c>
      <c r="Q12" s="668" t="s">
        <v>25</v>
      </c>
      <c r="R12" s="669"/>
      <c r="S12" s="670"/>
    </row>
    <row r="13" spans="2:19" s="93" customFormat="1" ht="18" customHeight="1" x14ac:dyDescent="0.15">
      <c r="B13" s="703"/>
      <c r="C13" s="706"/>
      <c r="D13" s="711" t="s">
        <v>49</v>
      </c>
      <c r="E13" s="199" t="s">
        <v>150</v>
      </c>
      <c r="F13" s="189">
        <f>'６　固定資本装備と減価償却費'!L12*'７　ハウスアスパラガス部門収支'!H13</f>
        <v>64320</v>
      </c>
      <c r="G13" s="419" t="s">
        <v>152</v>
      </c>
      <c r="H13" s="420">
        <v>0.01</v>
      </c>
      <c r="I13" s="714" t="s">
        <v>154</v>
      </c>
      <c r="J13" s="715"/>
      <c r="K13" s="649"/>
      <c r="L13" s="266"/>
      <c r="M13" s="284"/>
      <c r="N13" s="125"/>
      <c r="O13" s="125"/>
      <c r="P13" s="125"/>
      <c r="Q13" s="671"/>
      <c r="R13" s="672"/>
      <c r="S13" s="673"/>
    </row>
    <row r="14" spans="2:19" s="93" customFormat="1" ht="18" customHeight="1" x14ac:dyDescent="0.15">
      <c r="B14" s="703"/>
      <c r="C14" s="706"/>
      <c r="D14" s="712"/>
      <c r="E14" s="199" t="s">
        <v>151</v>
      </c>
      <c r="F14" s="189">
        <f>'６　固定資本装備と減価償却費'!L38*'７　ハウスアスパラガス部門収支'!H14</f>
        <v>41287</v>
      </c>
      <c r="G14" s="419" t="s">
        <v>152</v>
      </c>
      <c r="H14" s="420">
        <v>0.05</v>
      </c>
      <c r="I14" s="714" t="s">
        <v>154</v>
      </c>
      <c r="J14" s="715"/>
      <c r="K14" s="649"/>
      <c r="L14" s="187"/>
      <c r="M14" s="186"/>
      <c r="N14" s="125"/>
      <c r="O14" s="125"/>
      <c r="P14" s="125"/>
      <c r="Q14" s="671"/>
      <c r="R14" s="672"/>
      <c r="S14" s="673"/>
    </row>
    <row r="15" spans="2:19" s="93" customFormat="1" ht="18" customHeight="1" thickBot="1" x14ac:dyDescent="0.2">
      <c r="B15" s="703"/>
      <c r="C15" s="706"/>
      <c r="D15" s="711" t="s">
        <v>71</v>
      </c>
      <c r="E15" s="199" t="s">
        <v>150</v>
      </c>
      <c r="F15" s="189">
        <f>'６　固定資本装備と減価償却費'!P12</f>
        <v>618000</v>
      </c>
      <c r="G15" s="693" t="s">
        <v>154</v>
      </c>
      <c r="H15" s="694"/>
      <c r="I15" s="694"/>
      <c r="J15" s="695"/>
      <c r="K15" s="649"/>
      <c r="L15" s="103" t="s">
        <v>26</v>
      </c>
      <c r="M15" s="102"/>
      <c r="N15" s="103"/>
      <c r="O15" s="103"/>
      <c r="P15" s="103">
        <f>SUM(P13:P14)</f>
        <v>0</v>
      </c>
      <c r="Q15" s="657"/>
      <c r="R15" s="658"/>
      <c r="S15" s="659"/>
    </row>
    <row r="16" spans="2:19" s="93" customFormat="1" ht="18" customHeight="1" thickTop="1" x14ac:dyDescent="0.15">
      <c r="B16" s="703"/>
      <c r="C16" s="706"/>
      <c r="D16" s="713"/>
      <c r="E16" s="199" t="s">
        <v>151</v>
      </c>
      <c r="F16" s="189">
        <f>'６　固定資本装備と減価償却費'!P38</f>
        <v>127820</v>
      </c>
      <c r="G16" s="693" t="s">
        <v>154</v>
      </c>
      <c r="H16" s="694"/>
      <c r="I16" s="694"/>
      <c r="J16" s="695"/>
      <c r="K16" s="649"/>
      <c r="L16" s="181" t="s">
        <v>124</v>
      </c>
      <c r="M16" s="182"/>
      <c r="N16" s="285" t="s">
        <v>229</v>
      </c>
      <c r="O16" s="183" t="s">
        <v>21</v>
      </c>
      <c r="P16" s="184" t="s">
        <v>24</v>
      </c>
      <c r="Q16" s="660" t="s">
        <v>25</v>
      </c>
      <c r="R16" s="661"/>
      <c r="S16" s="662"/>
    </row>
    <row r="17" spans="1:19" s="93" customFormat="1" ht="18" customHeight="1" x14ac:dyDescent="0.15">
      <c r="B17" s="703"/>
      <c r="C17" s="706"/>
      <c r="D17" s="712"/>
      <c r="E17" s="189" t="s">
        <v>50</v>
      </c>
      <c r="F17" s="189">
        <f>'６　固定資本装備と減価償却費'!P43</f>
        <v>37307.536363636369</v>
      </c>
      <c r="G17" s="693" t="s">
        <v>154</v>
      </c>
      <c r="H17" s="694"/>
      <c r="I17" s="694"/>
      <c r="J17" s="695"/>
      <c r="K17" s="649"/>
      <c r="L17" s="185" t="s">
        <v>130</v>
      </c>
      <c r="M17" s="186"/>
      <c r="N17" s="165" t="s">
        <v>277</v>
      </c>
      <c r="O17" s="178"/>
      <c r="P17" s="176">
        <f>'８　ハウスアスパラガス算出基礎'!G7</f>
        <v>20000</v>
      </c>
      <c r="Q17" s="654"/>
      <c r="R17" s="655"/>
      <c r="S17" s="656"/>
    </row>
    <row r="18" spans="1:19" s="93" customFormat="1" ht="18" customHeight="1" x14ac:dyDescent="0.15">
      <c r="A18" s="92"/>
      <c r="B18" s="703"/>
      <c r="C18" s="706"/>
      <c r="D18" s="189" t="s">
        <v>51</v>
      </c>
      <c r="E18" s="197"/>
      <c r="F18" s="189">
        <f>3000*80/100</f>
        <v>2400</v>
      </c>
      <c r="G18" s="165" t="s">
        <v>392</v>
      </c>
      <c r="H18" s="174"/>
      <c r="I18" s="383">
        <v>2400</v>
      </c>
      <c r="J18" s="198" t="s">
        <v>342</v>
      </c>
      <c r="K18" s="649"/>
      <c r="L18" s="185" t="s">
        <v>128</v>
      </c>
      <c r="M18" s="186"/>
      <c r="N18" s="165" t="s">
        <v>278</v>
      </c>
      <c r="O18" s="178"/>
      <c r="P18" s="176">
        <f>'８　ハウスアスパラガス算出基礎'!G11</f>
        <v>610</v>
      </c>
      <c r="Q18" s="654"/>
      <c r="R18" s="655"/>
      <c r="S18" s="656"/>
    </row>
    <row r="19" spans="1:19" s="93" customFormat="1" ht="18" customHeight="1" x14ac:dyDescent="0.15">
      <c r="A19" s="92"/>
      <c r="B19" s="703"/>
      <c r="C19" s="706"/>
      <c r="D19" s="189" t="s">
        <v>127</v>
      </c>
      <c r="E19" s="197"/>
      <c r="F19" s="189">
        <f>SUM(F6:F18)/99</f>
        <v>15542.70106764616</v>
      </c>
      <c r="G19" s="200" t="s">
        <v>165</v>
      </c>
      <c r="H19" s="204">
        <v>0.01</v>
      </c>
      <c r="I19" s="104"/>
      <c r="J19" s="6"/>
      <c r="K19" s="649"/>
      <c r="L19" s="165" t="s">
        <v>129</v>
      </c>
      <c r="M19" s="174"/>
      <c r="N19" s="165" t="s">
        <v>279</v>
      </c>
      <c r="O19" s="178"/>
      <c r="P19" s="176">
        <f>'８　ハウスアスパラガス算出基礎'!G16</f>
        <v>49650</v>
      </c>
      <c r="Q19" s="654"/>
      <c r="R19" s="655"/>
      <c r="S19" s="656"/>
    </row>
    <row r="20" spans="1:19" s="93" customFormat="1" ht="18" customHeight="1" x14ac:dyDescent="0.15">
      <c r="A20" s="92"/>
      <c r="B20" s="703"/>
      <c r="C20" s="707"/>
      <c r="D20" s="700" t="s">
        <v>158</v>
      </c>
      <c r="E20" s="701"/>
      <c r="F20" s="123">
        <f>SUM(F6:F19)</f>
        <v>1554270.106764616</v>
      </c>
      <c r="G20" s="171"/>
      <c r="H20" s="104"/>
      <c r="I20" s="104"/>
      <c r="J20" s="106"/>
      <c r="K20" s="649"/>
      <c r="L20" s="165"/>
      <c r="M20" s="174"/>
      <c r="N20" s="165"/>
      <c r="O20" s="178"/>
      <c r="P20" s="176"/>
      <c r="Q20" s="654"/>
      <c r="R20" s="655"/>
      <c r="S20" s="656"/>
    </row>
    <row r="21" spans="1:19" s="93" customFormat="1" ht="18" customHeight="1" x14ac:dyDescent="0.15">
      <c r="A21" s="92"/>
      <c r="B21" s="703"/>
      <c r="C21" s="708" t="s">
        <v>153</v>
      </c>
      <c r="D21" s="696" t="s">
        <v>52</v>
      </c>
      <c r="E21" s="20" t="s">
        <v>1</v>
      </c>
      <c r="F21" s="189">
        <v>0</v>
      </c>
      <c r="G21" s="421" t="s">
        <v>420</v>
      </c>
      <c r="H21" s="174"/>
      <c r="I21" s="100"/>
      <c r="J21" s="198"/>
      <c r="K21" s="649"/>
      <c r="L21" s="165"/>
      <c r="M21" s="174"/>
      <c r="N21" s="165"/>
      <c r="O21" s="176"/>
      <c r="P21" s="176"/>
      <c r="Q21" s="654"/>
      <c r="R21" s="655"/>
      <c r="S21" s="656"/>
    </row>
    <row r="22" spans="1:19" s="93" customFormat="1" ht="18" customHeight="1" thickBot="1" x14ac:dyDescent="0.2">
      <c r="A22" s="92"/>
      <c r="B22" s="703"/>
      <c r="C22" s="709"/>
      <c r="D22" s="557"/>
      <c r="E22" s="20" t="s">
        <v>2</v>
      </c>
      <c r="F22" s="124">
        <f>20*P11</f>
        <v>50000</v>
      </c>
      <c r="G22" s="185" t="s">
        <v>283</v>
      </c>
      <c r="H22" s="201"/>
      <c r="I22" s="201"/>
      <c r="J22" s="202"/>
      <c r="K22" s="649"/>
      <c r="L22" s="103" t="s">
        <v>26</v>
      </c>
      <c r="M22" s="102"/>
      <c r="N22" s="103"/>
      <c r="O22" s="103"/>
      <c r="P22" s="103">
        <f>SUM(P17:P21)</f>
        <v>70260</v>
      </c>
      <c r="Q22" s="657"/>
      <c r="R22" s="658"/>
      <c r="S22" s="659"/>
    </row>
    <row r="23" spans="1:19" s="93" customFormat="1" ht="18" customHeight="1" thickTop="1" x14ac:dyDescent="0.15">
      <c r="A23" s="92"/>
      <c r="B23" s="703"/>
      <c r="C23" s="709"/>
      <c r="D23" s="697"/>
      <c r="E23" s="20" t="s">
        <v>6</v>
      </c>
      <c r="F23" s="189">
        <f>F4*0.113</f>
        <v>309381.57</v>
      </c>
      <c r="G23" s="716" t="s">
        <v>419</v>
      </c>
      <c r="H23" s="717"/>
      <c r="I23" s="717"/>
      <c r="J23" s="718"/>
      <c r="K23" s="649"/>
      <c r="L23" s="165" t="s">
        <v>125</v>
      </c>
      <c r="M23" s="174"/>
      <c r="N23" s="175" t="s">
        <v>23</v>
      </c>
      <c r="O23" s="175" t="s">
        <v>21</v>
      </c>
      <c r="P23" s="175" t="s">
        <v>24</v>
      </c>
      <c r="Q23" s="660" t="s">
        <v>25</v>
      </c>
      <c r="R23" s="661"/>
      <c r="S23" s="662"/>
    </row>
    <row r="24" spans="1:19" s="93" customFormat="1" ht="18" customHeight="1" x14ac:dyDescent="0.15">
      <c r="A24" s="92"/>
      <c r="B24" s="703"/>
      <c r="C24" s="709"/>
      <c r="D24" s="20" t="s">
        <v>232</v>
      </c>
      <c r="E24" s="27"/>
      <c r="F24" s="124">
        <v>2772</v>
      </c>
      <c r="G24" s="719" t="s">
        <v>393</v>
      </c>
      <c r="H24" s="717"/>
      <c r="I24" s="717"/>
      <c r="J24" s="718"/>
      <c r="K24" s="649"/>
      <c r="L24" s="176" t="s">
        <v>27</v>
      </c>
      <c r="M24" s="174"/>
      <c r="N24" s="165" t="s">
        <v>280</v>
      </c>
      <c r="O24" s="176"/>
      <c r="P24" s="176">
        <f>'８　ハウスアスパラガス算出基礎'!G38</f>
        <v>13449.6</v>
      </c>
      <c r="Q24" s="654"/>
      <c r="R24" s="655"/>
      <c r="S24" s="656"/>
    </row>
    <row r="25" spans="1:19" s="93" customFormat="1" ht="18" customHeight="1" x14ac:dyDescent="0.15">
      <c r="A25" s="92"/>
      <c r="B25" s="703"/>
      <c r="C25" s="709"/>
      <c r="D25" s="20" t="s">
        <v>72</v>
      </c>
      <c r="E25" s="27"/>
      <c r="F25" s="124">
        <v>683</v>
      </c>
      <c r="G25" s="719" t="s">
        <v>393</v>
      </c>
      <c r="H25" s="717"/>
      <c r="I25" s="717"/>
      <c r="J25" s="718"/>
      <c r="K25" s="649"/>
      <c r="L25" s="176" t="s">
        <v>28</v>
      </c>
      <c r="M25" s="174"/>
      <c r="N25" s="165" t="s">
        <v>307</v>
      </c>
      <c r="O25" s="176"/>
      <c r="P25" s="176">
        <f>'８　ハウスアスパラガス算出基礎'!G49</f>
        <v>16611</v>
      </c>
      <c r="Q25" s="654"/>
      <c r="R25" s="655"/>
      <c r="S25" s="656"/>
    </row>
    <row r="26" spans="1:19" s="93" customFormat="1" ht="18" customHeight="1" x14ac:dyDescent="0.15">
      <c r="A26" s="92"/>
      <c r="B26" s="703"/>
      <c r="C26" s="709"/>
      <c r="D26" s="20" t="s">
        <v>94</v>
      </c>
      <c r="E26" s="21"/>
      <c r="F26" s="124">
        <f>'８　ハウスアスパラガス算出基礎'!V57</f>
        <v>30432</v>
      </c>
      <c r="G26" s="693"/>
      <c r="H26" s="694"/>
      <c r="I26" s="694"/>
      <c r="J26" s="695"/>
      <c r="K26" s="649"/>
      <c r="L26" s="176" t="s">
        <v>29</v>
      </c>
      <c r="M26" s="174"/>
      <c r="N26" s="165" t="s">
        <v>306</v>
      </c>
      <c r="O26" s="176"/>
      <c r="P26" s="176">
        <f>'８　ハウスアスパラガス算出基礎'!G53</f>
        <v>2368.3200000000002</v>
      </c>
      <c r="Q26" s="654"/>
      <c r="R26" s="655"/>
      <c r="S26" s="656"/>
    </row>
    <row r="27" spans="1:19" s="93" customFormat="1" ht="18" customHeight="1" x14ac:dyDescent="0.15">
      <c r="A27" s="92"/>
      <c r="B27" s="703"/>
      <c r="C27" s="709"/>
      <c r="D27" s="28" t="s">
        <v>73</v>
      </c>
      <c r="E27" s="29"/>
      <c r="F27" s="203">
        <v>1584</v>
      </c>
      <c r="G27" s="719" t="s">
        <v>393</v>
      </c>
      <c r="H27" s="717"/>
      <c r="I27" s="717"/>
      <c r="J27" s="718"/>
      <c r="K27" s="649"/>
      <c r="L27" s="176" t="s">
        <v>105</v>
      </c>
      <c r="M27" s="174"/>
      <c r="N27" s="165" t="s">
        <v>281</v>
      </c>
      <c r="O27" s="176"/>
      <c r="P27" s="176">
        <f>'８　ハウスアスパラガス算出基礎'!G57</f>
        <v>5186.7</v>
      </c>
      <c r="Q27" s="654"/>
      <c r="R27" s="655"/>
      <c r="S27" s="656"/>
    </row>
    <row r="28" spans="1:19" s="93" customFormat="1" ht="18" customHeight="1" thickBot="1" x14ac:dyDescent="0.2">
      <c r="A28" s="92"/>
      <c r="B28" s="703"/>
      <c r="C28" s="709"/>
      <c r="D28" s="20" t="s">
        <v>53</v>
      </c>
      <c r="E28" s="21"/>
      <c r="F28" s="124">
        <f>'８　ハウスアスパラガス算出基礎'!N57</f>
        <v>3424.4</v>
      </c>
      <c r="G28" s="693"/>
      <c r="H28" s="694"/>
      <c r="I28" s="694"/>
      <c r="J28" s="695"/>
      <c r="K28" s="649"/>
      <c r="L28" s="103" t="s">
        <v>26</v>
      </c>
      <c r="M28" s="102"/>
      <c r="N28" s="103"/>
      <c r="O28" s="103"/>
      <c r="P28" s="103">
        <f>SUM(P24:P27)</f>
        <v>37615.619999999995</v>
      </c>
      <c r="Q28" s="657"/>
      <c r="R28" s="658"/>
      <c r="S28" s="659"/>
    </row>
    <row r="29" spans="1:19" s="93" customFormat="1" ht="18" customHeight="1" thickTop="1" x14ac:dyDescent="0.15">
      <c r="A29" s="92"/>
      <c r="B29" s="703"/>
      <c r="C29" s="709"/>
      <c r="D29" s="20" t="s">
        <v>233</v>
      </c>
      <c r="E29" s="27"/>
      <c r="F29" s="124">
        <f>SUM(F21:F28)/99</f>
        <v>4022.9996969696972</v>
      </c>
      <c r="G29" s="306" t="s">
        <v>250</v>
      </c>
      <c r="H29" s="204">
        <v>0.01</v>
      </c>
      <c r="I29" s="173"/>
      <c r="J29" s="172"/>
      <c r="K29" s="649"/>
      <c r="L29" s="165" t="s">
        <v>126</v>
      </c>
      <c r="M29" s="174"/>
      <c r="N29" s="175" t="s">
        <v>23</v>
      </c>
      <c r="O29" s="175" t="s">
        <v>21</v>
      </c>
      <c r="P29" s="175" t="s">
        <v>24</v>
      </c>
      <c r="Q29" s="660" t="s">
        <v>25</v>
      </c>
      <c r="R29" s="661"/>
      <c r="S29" s="662"/>
    </row>
    <row r="30" spans="1:19" s="93" customFormat="1" ht="18" customHeight="1" thickBot="1" x14ac:dyDescent="0.2">
      <c r="A30" s="92"/>
      <c r="B30" s="704"/>
      <c r="C30" s="710"/>
      <c r="D30" s="698" t="s">
        <v>157</v>
      </c>
      <c r="E30" s="699"/>
      <c r="F30" s="166">
        <f>SUM(F21:F29)</f>
        <v>402299.96969696973</v>
      </c>
      <c r="G30" s="167"/>
      <c r="H30" s="168"/>
      <c r="I30" s="169"/>
      <c r="J30" s="170"/>
      <c r="K30" s="649"/>
      <c r="L30" s="176" t="s">
        <v>116</v>
      </c>
      <c r="M30" s="177"/>
      <c r="N30" s="176" t="s">
        <v>370</v>
      </c>
      <c r="O30" s="178">
        <v>116.8</v>
      </c>
      <c r="P30" s="176">
        <f>'８　ハウスアスパラガス算出基礎'!N10</f>
        <v>847</v>
      </c>
      <c r="Q30" s="679"/>
      <c r="R30" s="680"/>
      <c r="S30" s="681"/>
    </row>
    <row r="31" spans="1:19" s="93" customFormat="1" ht="18" customHeight="1" x14ac:dyDescent="0.15">
      <c r="A31" s="92"/>
      <c r="B31" s="112"/>
      <c r="C31" s="108"/>
      <c r="D31" s="108"/>
      <c r="E31" s="108"/>
      <c r="F31" s="108"/>
      <c r="G31" s="108"/>
      <c r="H31" s="108"/>
      <c r="I31" s="108"/>
      <c r="J31" s="108"/>
      <c r="K31" s="649"/>
      <c r="L31" s="176" t="s">
        <v>117</v>
      </c>
      <c r="M31" s="177"/>
      <c r="N31" s="176" t="s">
        <v>394</v>
      </c>
      <c r="O31" s="178">
        <v>158.4</v>
      </c>
      <c r="P31" s="176">
        <f>'８　ハウスアスパラガス算出基礎'!N15</f>
        <v>6383.52</v>
      </c>
      <c r="Q31" s="679"/>
      <c r="R31" s="680"/>
      <c r="S31" s="681"/>
    </row>
    <row r="32" spans="1:19" s="93" customFormat="1" ht="18" customHeight="1" x14ac:dyDescent="0.15">
      <c r="A32" s="92"/>
      <c r="B32" s="101"/>
      <c r="C32" s="118"/>
      <c r="D32" s="101"/>
      <c r="E32" s="101"/>
      <c r="F32" s="116"/>
      <c r="G32" s="116"/>
      <c r="H32" s="117"/>
      <c r="I32" s="108"/>
      <c r="J32" s="108"/>
      <c r="K32" s="649"/>
      <c r="L32" s="176" t="s">
        <v>119</v>
      </c>
      <c r="M32" s="174"/>
      <c r="N32" s="178"/>
      <c r="O32" s="178"/>
      <c r="P32" s="176">
        <f>SUM(P30:P31)*R32</f>
        <v>2169.1559999999999</v>
      </c>
      <c r="Q32" s="179" t="s">
        <v>118</v>
      </c>
      <c r="R32" s="180">
        <v>0.3</v>
      </c>
      <c r="S32" s="105"/>
    </row>
    <row r="33" spans="1:23" ht="18" customHeight="1" x14ac:dyDescent="0.15">
      <c r="K33" s="649"/>
      <c r="L33" s="176" t="s">
        <v>120</v>
      </c>
      <c r="M33" s="177"/>
      <c r="N33" s="176" t="s">
        <v>370</v>
      </c>
      <c r="O33" s="178">
        <v>168.4</v>
      </c>
      <c r="P33" s="176">
        <f>'８　ハウスアスパラガス算出基礎'!N19</f>
        <v>202.08000000000004</v>
      </c>
      <c r="Q33" s="654"/>
      <c r="R33" s="655"/>
      <c r="S33" s="656"/>
    </row>
    <row r="34" spans="1:23" ht="18" customHeight="1" x14ac:dyDescent="0.15">
      <c r="K34" s="649"/>
      <c r="L34" s="176" t="s">
        <v>121</v>
      </c>
      <c r="M34" s="177"/>
      <c r="N34" s="176" t="s">
        <v>318</v>
      </c>
      <c r="O34" s="178">
        <v>102.1</v>
      </c>
      <c r="P34" s="176">
        <f>'８　ハウスアスパラガス算出基礎'!N23</f>
        <v>10169.16</v>
      </c>
      <c r="Q34" s="654"/>
      <c r="R34" s="655"/>
      <c r="S34" s="656"/>
    </row>
    <row r="35" spans="1:23" ht="18" customHeight="1" x14ac:dyDescent="0.15">
      <c r="K35" s="649"/>
      <c r="L35" s="176" t="s">
        <v>230</v>
      </c>
      <c r="M35" s="177"/>
      <c r="N35" s="176"/>
      <c r="O35" s="178"/>
      <c r="P35" s="176">
        <f>'８　ハウスアスパラガス算出基礎'!N27</f>
        <v>0</v>
      </c>
      <c r="Q35" s="289"/>
      <c r="R35" s="290"/>
      <c r="S35" s="291"/>
    </row>
    <row r="36" spans="1:23" ht="18" customHeight="1" x14ac:dyDescent="0.15">
      <c r="K36" s="649"/>
      <c r="L36" s="176" t="s">
        <v>122</v>
      </c>
      <c r="M36" s="174"/>
      <c r="N36" s="176" t="s">
        <v>370</v>
      </c>
      <c r="O36" s="178">
        <v>14</v>
      </c>
      <c r="P36" s="176">
        <f>'８　ハウスアスパラガス算出基礎'!N31</f>
        <v>8064</v>
      </c>
      <c r="Q36" s="654"/>
      <c r="R36" s="655"/>
      <c r="S36" s="656"/>
    </row>
    <row r="37" spans="1:23" ht="18" customHeight="1" thickBot="1" x14ac:dyDescent="0.2">
      <c r="K37" s="650"/>
      <c r="L37" s="114" t="s">
        <v>26</v>
      </c>
      <c r="M37" s="113"/>
      <c r="N37" s="114"/>
      <c r="O37" s="114"/>
      <c r="P37" s="114">
        <f>SUM(P30:P36)</f>
        <v>27834.915999999997</v>
      </c>
      <c r="Q37" s="663"/>
      <c r="R37" s="664"/>
      <c r="S37" s="665"/>
    </row>
    <row r="38" spans="1:23" s="107" customFormat="1" ht="18" customHeight="1" x14ac:dyDescent="0.15">
      <c r="A38" s="92"/>
      <c r="B38" s="92"/>
      <c r="C38" s="92"/>
      <c r="D38" s="92"/>
      <c r="E38" s="92"/>
      <c r="F38" s="92"/>
      <c r="G38" s="92"/>
      <c r="H38" s="92"/>
      <c r="I38" s="92"/>
      <c r="J38" s="92"/>
    </row>
    <row r="39" spans="1:23" s="107" customFormat="1" ht="18" customHeight="1" x14ac:dyDescent="0.15">
      <c r="A39" s="92"/>
      <c r="B39" s="92"/>
      <c r="C39" s="92"/>
      <c r="D39" s="92"/>
      <c r="E39" s="92"/>
      <c r="F39" s="92"/>
      <c r="G39" s="92"/>
      <c r="H39" s="92"/>
      <c r="I39" s="92"/>
      <c r="J39" s="92"/>
      <c r="T39" s="108"/>
    </row>
    <row r="40" spans="1:23" s="107" customFormat="1" ht="18" customHeight="1" x14ac:dyDescent="0.15">
      <c r="A40" s="92"/>
      <c r="B40" s="92"/>
      <c r="C40" s="92"/>
      <c r="D40" s="92"/>
      <c r="E40" s="92"/>
      <c r="F40" s="92"/>
      <c r="G40" s="92"/>
      <c r="H40" s="92"/>
      <c r="I40" s="92"/>
      <c r="J40" s="92"/>
      <c r="T40" s="93"/>
      <c r="U40" s="93"/>
      <c r="V40" s="93"/>
      <c r="W40" s="93"/>
    </row>
    <row r="41" spans="1:23" s="107" customFormat="1" ht="18" customHeight="1" x14ac:dyDescent="0.15">
      <c r="A41" s="92"/>
      <c r="B41" s="92"/>
      <c r="C41" s="92"/>
      <c r="D41" s="92"/>
      <c r="E41" s="92"/>
      <c r="F41" s="92"/>
      <c r="G41" s="92"/>
      <c r="H41" s="92"/>
      <c r="I41" s="92"/>
      <c r="J41" s="92"/>
      <c r="T41" s="109"/>
      <c r="U41" s="110"/>
      <c r="V41" s="111"/>
      <c r="W41" s="109"/>
    </row>
    <row r="42" spans="1:23" s="107" customFormat="1" ht="18" customHeight="1" x14ac:dyDescent="0.15">
      <c r="A42" s="92"/>
      <c r="B42" s="92"/>
      <c r="C42" s="92"/>
      <c r="D42" s="92"/>
      <c r="E42" s="92"/>
      <c r="F42" s="92"/>
      <c r="G42" s="92"/>
      <c r="H42" s="92"/>
      <c r="I42" s="92"/>
      <c r="J42" s="92"/>
      <c r="T42" s="93"/>
      <c r="U42" s="93"/>
      <c r="V42" s="93"/>
      <c r="W42" s="93"/>
    </row>
    <row r="43" spans="1:23" s="107" customFormat="1" ht="18" customHeight="1" x14ac:dyDescent="0.15">
      <c r="B43" s="92"/>
      <c r="C43" s="92"/>
      <c r="D43" s="92"/>
      <c r="E43" s="92"/>
      <c r="F43" s="92"/>
      <c r="G43" s="92"/>
      <c r="H43" s="92"/>
      <c r="I43" s="92"/>
      <c r="J43" s="92"/>
      <c r="T43" s="94"/>
      <c r="U43" s="108"/>
      <c r="V43" s="93"/>
      <c r="W43" s="109"/>
    </row>
    <row r="44" spans="1:23" s="107" customFormat="1" ht="18" customHeight="1" x14ac:dyDescent="0.15">
      <c r="B44" s="92"/>
      <c r="C44" s="92"/>
      <c r="D44" s="92"/>
      <c r="E44" s="92"/>
      <c r="F44" s="92"/>
      <c r="G44" s="92"/>
      <c r="H44" s="92"/>
      <c r="I44" s="92"/>
      <c r="J44" s="92"/>
      <c r="T44" s="94"/>
      <c r="U44" s="108"/>
      <c r="V44" s="93"/>
      <c r="W44" s="109"/>
    </row>
    <row r="45" spans="1:23" s="107" customFormat="1" ht="18" customHeight="1" x14ac:dyDescent="0.15">
      <c r="B45" s="92"/>
      <c r="C45" s="92"/>
      <c r="D45" s="92"/>
      <c r="E45" s="92"/>
      <c r="F45" s="92"/>
      <c r="G45" s="92"/>
      <c r="H45" s="92"/>
      <c r="I45" s="92"/>
      <c r="J45" s="92"/>
      <c r="T45" s="93"/>
      <c r="U45" s="93"/>
      <c r="V45" s="110"/>
      <c r="W45" s="93"/>
    </row>
    <row r="46" spans="1:23" s="107" customFormat="1" x14ac:dyDescent="0.15">
      <c r="B46" s="92"/>
      <c r="C46" s="92"/>
      <c r="D46" s="92"/>
      <c r="E46" s="92"/>
      <c r="F46" s="92"/>
      <c r="G46" s="92"/>
      <c r="H46" s="92"/>
      <c r="I46" s="92"/>
      <c r="J46" s="92"/>
      <c r="T46" s="94"/>
      <c r="U46" s="93"/>
      <c r="V46" s="93"/>
      <c r="W46" s="109"/>
    </row>
    <row r="47" spans="1:23" s="107" customFormat="1" x14ac:dyDescent="0.15">
      <c r="B47" s="92"/>
      <c r="C47" s="92"/>
      <c r="D47" s="92"/>
      <c r="E47" s="92"/>
      <c r="F47" s="92"/>
      <c r="G47" s="92"/>
      <c r="H47" s="92"/>
      <c r="I47" s="92"/>
      <c r="J47" s="92"/>
      <c r="T47" s="94"/>
      <c r="U47" s="93"/>
      <c r="V47" s="93"/>
      <c r="W47" s="109"/>
    </row>
    <row r="48" spans="1:23" s="107" customFormat="1" x14ac:dyDescent="0.15">
      <c r="B48" s="92"/>
      <c r="C48" s="92"/>
      <c r="D48" s="92"/>
      <c r="E48" s="92"/>
      <c r="F48" s="92"/>
      <c r="G48" s="92"/>
      <c r="H48" s="92"/>
      <c r="I48" s="92"/>
      <c r="J48" s="92"/>
      <c r="T48" s="94"/>
      <c r="U48" s="93"/>
      <c r="V48" s="93"/>
      <c r="W48" s="109"/>
    </row>
    <row r="49" spans="2:23" s="107" customFormat="1" x14ac:dyDescent="0.15">
      <c r="B49" s="92"/>
      <c r="C49" s="92"/>
      <c r="D49" s="92"/>
      <c r="E49" s="92"/>
      <c r="F49" s="92"/>
      <c r="G49" s="92"/>
      <c r="H49" s="92"/>
      <c r="I49" s="92"/>
      <c r="J49" s="92"/>
      <c r="T49" s="94"/>
      <c r="U49" s="93"/>
      <c r="V49" s="93"/>
      <c r="W49" s="109"/>
    </row>
    <row r="50" spans="2:23" s="107" customFormat="1" x14ac:dyDescent="0.15">
      <c r="B50" s="92"/>
      <c r="C50" s="92"/>
      <c r="D50" s="92"/>
      <c r="E50" s="92"/>
      <c r="F50" s="92"/>
      <c r="G50" s="92"/>
      <c r="H50" s="92"/>
      <c r="I50" s="92"/>
      <c r="J50" s="92"/>
      <c r="T50" s="94"/>
      <c r="U50" s="94"/>
      <c r="V50" s="94"/>
      <c r="W50" s="93"/>
    </row>
    <row r="51" spans="2:23" s="107" customFormat="1" ht="13.5" customHeight="1" x14ac:dyDescent="0.15">
      <c r="B51" s="92"/>
      <c r="C51" s="92"/>
      <c r="D51" s="92"/>
      <c r="E51" s="92"/>
      <c r="F51" s="92"/>
      <c r="G51" s="92"/>
      <c r="H51" s="92"/>
      <c r="I51" s="92"/>
      <c r="J51" s="92"/>
      <c r="T51" s="93"/>
      <c r="U51" s="93"/>
      <c r="V51" s="93"/>
      <c r="W51" s="110"/>
    </row>
    <row r="52" spans="2:23" s="107" customFormat="1" x14ac:dyDescent="0.15">
      <c r="B52" s="92"/>
      <c r="C52" s="92"/>
      <c r="D52" s="92"/>
      <c r="E52" s="92"/>
      <c r="F52" s="92"/>
      <c r="G52" s="92"/>
      <c r="H52" s="92"/>
      <c r="I52" s="92"/>
      <c r="J52" s="92"/>
      <c r="T52" s="109"/>
      <c r="U52" s="93"/>
      <c r="V52" s="110"/>
      <c r="W52" s="109"/>
    </row>
    <row r="53" spans="2:23" s="107" customFormat="1" x14ac:dyDescent="0.15">
      <c r="B53" s="92"/>
      <c r="C53" s="92"/>
      <c r="D53" s="92"/>
      <c r="E53" s="92"/>
      <c r="F53" s="92"/>
      <c r="G53" s="92"/>
      <c r="H53" s="92"/>
      <c r="I53" s="92"/>
      <c r="J53" s="92"/>
      <c r="T53" s="93"/>
      <c r="U53" s="93"/>
      <c r="V53" s="93"/>
      <c r="W53" s="93"/>
    </row>
    <row r="54" spans="2:23" s="107" customFormat="1" ht="13.5" customHeight="1" x14ac:dyDescent="0.15">
      <c r="B54" s="92"/>
      <c r="C54" s="92"/>
      <c r="D54" s="92"/>
      <c r="E54" s="92"/>
      <c r="F54" s="92"/>
      <c r="G54" s="92"/>
      <c r="H54" s="92"/>
      <c r="I54" s="92"/>
      <c r="J54" s="92"/>
      <c r="T54" s="94"/>
      <c r="U54" s="93"/>
      <c r="V54" s="94"/>
      <c r="W54" s="109"/>
    </row>
    <row r="55" spans="2:23" s="107" customFormat="1" x14ac:dyDescent="0.15">
      <c r="B55" s="92"/>
      <c r="C55" s="92"/>
      <c r="D55" s="92"/>
      <c r="E55" s="92"/>
      <c r="F55" s="92"/>
      <c r="G55" s="92"/>
      <c r="H55" s="92"/>
      <c r="I55" s="92"/>
      <c r="J55" s="92"/>
      <c r="T55" s="119"/>
      <c r="U55" s="93"/>
      <c r="V55" s="93"/>
      <c r="W55" s="109"/>
    </row>
    <row r="56" spans="2:23" s="107" customFormat="1" x14ac:dyDescent="0.15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3"/>
      <c r="U56" s="94"/>
      <c r="V56" s="93"/>
      <c r="W56" s="93"/>
    </row>
    <row r="57" spans="2:23" s="107" customFormat="1" x14ac:dyDescent="0.15"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108"/>
      <c r="U57" s="108"/>
      <c r="V57" s="108"/>
      <c r="W57" s="108"/>
    </row>
    <row r="58" spans="2:23" s="107" customFormat="1" x14ac:dyDescent="0.15"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108"/>
    </row>
    <row r="59" spans="2:23" s="107" customFormat="1" x14ac:dyDescent="0.15"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108"/>
    </row>
    <row r="60" spans="2:23" s="107" customFormat="1" x14ac:dyDescent="0.15"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108"/>
    </row>
    <row r="61" spans="2:23" s="107" customFormat="1" x14ac:dyDescent="0.15"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2:23" s="107" customFormat="1" x14ac:dyDescent="0.15"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2:23" s="107" customFormat="1" ht="13.5" customHeight="1" x14ac:dyDescent="0.15"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  <row r="64" spans="2:23" s="107" customFormat="1" ht="13.5" customHeight="1" x14ac:dyDescent="0.15"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</row>
    <row r="65" spans="2:19" s="107" customFormat="1" x14ac:dyDescent="0.15"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</row>
    <row r="66" spans="2:19" s="107" customFormat="1" x14ac:dyDescent="0.15"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</row>
    <row r="67" spans="2:19" s="107" customFormat="1" x14ac:dyDescent="0.15"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</row>
    <row r="68" spans="2:19" s="107" customFormat="1" ht="13.5" customHeight="1" x14ac:dyDescent="0.15"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</row>
    <row r="69" spans="2:19" s="107" customFormat="1" x14ac:dyDescent="0.15"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</row>
    <row r="70" spans="2:19" s="107" customFormat="1" x14ac:dyDescent="0.15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</row>
    <row r="71" spans="2:19" s="107" customFormat="1" x14ac:dyDescent="0.15"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</row>
    <row r="72" spans="2:19" s="107" customFormat="1" x14ac:dyDescent="0.15"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</row>
    <row r="73" spans="2:19" s="107" customFormat="1" x14ac:dyDescent="0.15"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</row>
    <row r="74" spans="2:19" s="107" customFormat="1" ht="13.5" customHeight="1" x14ac:dyDescent="0.15"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</row>
    <row r="75" spans="2:19" s="107" customFormat="1" x14ac:dyDescent="0.15"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</row>
    <row r="76" spans="2:19" s="107" customFormat="1" x14ac:dyDescent="0.15"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</row>
    <row r="77" spans="2:19" s="107" customFormat="1" x14ac:dyDescent="0.15"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</row>
    <row r="78" spans="2:19" s="107" customFormat="1" x14ac:dyDescent="0.15"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</row>
    <row r="79" spans="2:19" s="107" customFormat="1" x14ac:dyDescent="0.15"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</row>
    <row r="80" spans="2:19" s="107" customFormat="1" x14ac:dyDescent="0.15"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</row>
    <row r="81" spans="1:19" s="107" customFormat="1" x14ac:dyDescent="0.1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</row>
    <row r="82" spans="1:19" s="107" customFormat="1" x14ac:dyDescent="0.15"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</row>
    <row r="83" spans="1:19" s="107" customFormat="1" x14ac:dyDescent="0.15"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</row>
    <row r="84" spans="1:19" s="107" customFormat="1" x14ac:dyDescent="0.15"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</row>
    <row r="85" spans="1:19" s="107" customFormat="1" x14ac:dyDescent="0.15"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</row>
    <row r="86" spans="1:19" s="107" customFormat="1" ht="13.5" customHeight="1" x14ac:dyDescent="0.15"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</row>
    <row r="87" spans="1:19" s="107" customFormat="1" x14ac:dyDescent="0.15"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</row>
    <row r="88" spans="1:19" s="107" customFormat="1" x14ac:dyDescent="0.15"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</row>
    <row r="89" spans="1:19" s="107" customFormat="1" ht="13.5" customHeight="1" x14ac:dyDescent="0.15"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</row>
    <row r="90" spans="1:19" s="107" customFormat="1" x14ac:dyDescent="0.15"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</row>
    <row r="91" spans="1:19" s="107" customFormat="1" x14ac:dyDescent="0.15"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</row>
    <row r="92" spans="1:19" s="107" customFormat="1" x14ac:dyDescent="0.15"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</row>
    <row r="93" spans="1:19" s="107" customFormat="1" x14ac:dyDescent="0.15"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</row>
    <row r="94" spans="1:19" s="107" customFormat="1" x14ac:dyDescent="0.15"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</row>
    <row r="95" spans="1:19" x14ac:dyDescent="0.15">
      <c r="A95" s="107"/>
    </row>
    <row r="96" spans="1:19" x14ac:dyDescent="0.15">
      <c r="A96" s="107"/>
    </row>
    <row r="97" spans="1:1" x14ac:dyDescent="0.15">
      <c r="A97" s="107"/>
    </row>
    <row r="98" spans="1:1" x14ac:dyDescent="0.15">
      <c r="A98" s="107"/>
    </row>
    <row r="99" spans="1:1" x14ac:dyDescent="0.15">
      <c r="A99" s="107"/>
    </row>
  </sheetData>
  <mergeCells count="61">
    <mergeCell ref="G28:J28"/>
    <mergeCell ref="G23:J23"/>
    <mergeCell ref="G24:J24"/>
    <mergeCell ref="G25:J25"/>
    <mergeCell ref="G26:J26"/>
    <mergeCell ref="G27:J27"/>
    <mergeCell ref="G8:J8"/>
    <mergeCell ref="G9:J9"/>
    <mergeCell ref="G15:J15"/>
    <mergeCell ref="G16:J16"/>
    <mergeCell ref="G17:J17"/>
    <mergeCell ref="G10:J10"/>
    <mergeCell ref="I13:J13"/>
    <mergeCell ref="I14:J14"/>
    <mergeCell ref="D21:D23"/>
    <mergeCell ref="D30:E30"/>
    <mergeCell ref="D20:E20"/>
    <mergeCell ref="B6:B30"/>
    <mergeCell ref="C6:C20"/>
    <mergeCell ref="C21:C30"/>
    <mergeCell ref="D13:D14"/>
    <mergeCell ref="D15:D17"/>
    <mergeCell ref="B4:C5"/>
    <mergeCell ref="B3:E3"/>
    <mergeCell ref="K3:S3"/>
    <mergeCell ref="R6:S6"/>
    <mergeCell ref="R7:S7"/>
    <mergeCell ref="G4:J4"/>
    <mergeCell ref="G7:J7"/>
    <mergeCell ref="Q36:S36"/>
    <mergeCell ref="Q20:S20"/>
    <mergeCell ref="Q21:S21"/>
    <mergeCell ref="Q26:S26"/>
    <mergeCell ref="Q16:S16"/>
    <mergeCell ref="Q17:S17"/>
    <mergeCell ref="Q18:S18"/>
    <mergeCell ref="Q30:S30"/>
    <mergeCell ref="Q31:S31"/>
    <mergeCell ref="Q19:S19"/>
    <mergeCell ref="R8:S8"/>
    <mergeCell ref="R9:S9"/>
    <mergeCell ref="R4:S4"/>
    <mergeCell ref="R5:S5"/>
    <mergeCell ref="Q14:S14"/>
    <mergeCell ref="R10:S10"/>
    <mergeCell ref="K12:K37"/>
    <mergeCell ref="G11:J11"/>
    <mergeCell ref="Q33:S33"/>
    <mergeCell ref="Q34:S34"/>
    <mergeCell ref="Q22:S22"/>
    <mergeCell ref="Q23:S23"/>
    <mergeCell ref="Q24:S24"/>
    <mergeCell ref="Q25:S25"/>
    <mergeCell ref="Q37:S37"/>
    <mergeCell ref="Q27:S27"/>
    <mergeCell ref="Q28:S28"/>
    <mergeCell ref="Q29:S29"/>
    <mergeCell ref="Q15:S15"/>
    <mergeCell ref="R11:S11"/>
    <mergeCell ref="Q12:S12"/>
    <mergeCell ref="Q13:S13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100" workbookViewId="0"/>
  </sheetViews>
  <sheetFormatPr defaultRowHeight="13.5" x14ac:dyDescent="0.15"/>
  <cols>
    <col min="1" max="1" width="1.625" style="31" customWidth="1"/>
    <col min="2" max="2" width="3.625" style="31" customWidth="1"/>
    <col min="3" max="3" width="15.625" style="31" customWidth="1"/>
    <col min="4" max="7" width="8.625" style="31" customWidth="1"/>
    <col min="8" max="8" width="1.625" style="154" customWidth="1"/>
    <col min="9" max="9" width="3.625" style="31" customWidth="1"/>
    <col min="10" max="10" width="15.625" style="31" customWidth="1"/>
    <col min="11" max="14" width="8.625" style="31" customWidth="1"/>
    <col min="15" max="15" width="3.5" style="31" customWidth="1"/>
    <col min="16" max="16" width="15.625" style="120" customWidth="1"/>
    <col min="17" max="17" width="8.625" style="31" customWidth="1"/>
    <col min="18" max="18" width="8.625" style="32" customWidth="1"/>
    <col min="19" max="21" width="8.625" style="31" customWidth="1"/>
    <col min="22" max="22" width="10.625" style="32" customWidth="1"/>
    <col min="23" max="245" width="9" style="31"/>
    <col min="246" max="246" width="1.375" style="31" customWidth="1"/>
    <col min="247" max="247" width="3.5" style="31" customWidth="1"/>
    <col min="248" max="248" width="22.125" style="31" customWidth="1"/>
    <col min="249" max="249" width="9.75" style="31" customWidth="1"/>
    <col min="250" max="250" width="7.375" style="31" customWidth="1"/>
    <col min="251" max="251" width="9" style="31"/>
    <col min="252" max="252" width="9.25" style="31" customWidth="1"/>
    <col min="253" max="253" width="3.5" style="31" customWidth="1"/>
    <col min="254" max="255" width="12.625" style="31" customWidth="1"/>
    <col min="256" max="256" width="9" style="31"/>
    <col min="257" max="257" width="7.75" style="31" customWidth="1"/>
    <col min="258" max="258" width="13.125" style="31" customWidth="1"/>
    <col min="259" max="259" width="6.125" style="31" customWidth="1"/>
    <col min="260" max="260" width="9.75" style="31" customWidth="1"/>
    <col min="261" max="261" width="1.375" style="31" customWidth="1"/>
    <col min="262" max="501" width="9" style="31"/>
    <col min="502" max="502" width="1.375" style="31" customWidth="1"/>
    <col min="503" max="503" width="3.5" style="31" customWidth="1"/>
    <col min="504" max="504" width="22.125" style="31" customWidth="1"/>
    <col min="505" max="505" width="9.75" style="31" customWidth="1"/>
    <col min="506" max="506" width="7.375" style="31" customWidth="1"/>
    <col min="507" max="507" width="9" style="31"/>
    <col min="508" max="508" width="9.25" style="31" customWidth="1"/>
    <col min="509" max="509" width="3.5" style="31" customWidth="1"/>
    <col min="510" max="511" width="12.625" style="31" customWidth="1"/>
    <col min="512" max="512" width="9" style="31"/>
    <col min="513" max="513" width="7.75" style="31" customWidth="1"/>
    <col min="514" max="514" width="13.125" style="31" customWidth="1"/>
    <col min="515" max="515" width="6.125" style="31" customWidth="1"/>
    <col min="516" max="516" width="9.75" style="31" customWidth="1"/>
    <col min="517" max="517" width="1.375" style="31" customWidth="1"/>
    <col min="518" max="757" width="9" style="31"/>
    <col min="758" max="758" width="1.375" style="31" customWidth="1"/>
    <col min="759" max="759" width="3.5" style="31" customWidth="1"/>
    <col min="760" max="760" width="22.125" style="31" customWidth="1"/>
    <col min="761" max="761" width="9.75" style="31" customWidth="1"/>
    <col min="762" max="762" width="7.375" style="31" customWidth="1"/>
    <col min="763" max="763" width="9" style="31"/>
    <col min="764" max="764" width="9.25" style="31" customWidth="1"/>
    <col min="765" max="765" width="3.5" style="31" customWidth="1"/>
    <col min="766" max="767" width="12.625" style="31" customWidth="1"/>
    <col min="768" max="768" width="9" style="31"/>
    <col min="769" max="769" width="7.75" style="31" customWidth="1"/>
    <col min="770" max="770" width="13.125" style="31" customWidth="1"/>
    <col min="771" max="771" width="6.125" style="31" customWidth="1"/>
    <col min="772" max="772" width="9.75" style="31" customWidth="1"/>
    <col min="773" max="773" width="1.375" style="31" customWidth="1"/>
    <col min="774" max="1013" width="9" style="31"/>
    <col min="1014" max="1014" width="1.375" style="31" customWidth="1"/>
    <col min="1015" max="1015" width="3.5" style="31" customWidth="1"/>
    <col min="1016" max="1016" width="22.125" style="31" customWidth="1"/>
    <col min="1017" max="1017" width="9.75" style="31" customWidth="1"/>
    <col min="1018" max="1018" width="7.375" style="31" customWidth="1"/>
    <col min="1019" max="1019" width="9" style="31"/>
    <col min="1020" max="1020" width="9.25" style="31" customWidth="1"/>
    <col min="1021" max="1021" width="3.5" style="31" customWidth="1"/>
    <col min="1022" max="1023" width="12.625" style="31" customWidth="1"/>
    <col min="1024" max="1024" width="9" style="31"/>
    <col min="1025" max="1025" width="7.75" style="31" customWidth="1"/>
    <col min="1026" max="1026" width="13.125" style="31" customWidth="1"/>
    <col min="1027" max="1027" width="6.125" style="31" customWidth="1"/>
    <col min="1028" max="1028" width="9.75" style="31" customWidth="1"/>
    <col min="1029" max="1029" width="1.375" style="31" customWidth="1"/>
    <col min="1030" max="1269" width="9" style="31"/>
    <col min="1270" max="1270" width="1.375" style="31" customWidth="1"/>
    <col min="1271" max="1271" width="3.5" style="31" customWidth="1"/>
    <col min="1272" max="1272" width="22.125" style="31" customWidth="1"/>
    <col min="1273" max="1273" width="9.75" style="31" customWidth="1"/>
    <col min="1274" max="1274" width="7.375" style="31" customWidth="1"/>
    <col min="1275" max="1275" width="9" style="31"/>
    <col min="1276" max="1276" width="9.25" style="31" customWidth="1"/>
    <col min="1277" max="1277" width="3.5" style="31" customWidth="1"/>
    <col min="1278" max="1279" width="12.625" style="31" customWidth="1"/>
    <col min="1280" max="1280" width="9" style="31"/>
    <col min="1281" max="1281" width="7.75" style="31" customWidth="1"/>
    <col min="1282" max="1282" width="13.125" style="31" customWidth="1"/>
    <col min="1283" max="1283" width="6.125" style="31" customWidth="1"/>
    <col min="1284" max="1284" width="9.75" style="31" customWidth="1"/>
    <col min="1285" max="1285" width="1.375" style="31" customWidth="1"/>
    <col min="1286" max="1525" width="9" style="31"/>
    <col min="1526" max="1526" width="1.375" style="31" customWidth="1"/>
    <col min="1527" max="1527" width="3.5" style="31" customWidth="1"/>
    <col min="1528" max="1528" width="22.125" style="31" customWidth="1"/>
    <col min="1529" max="1529" width="9.75" style="31" customWidth="1"/>
    <col min="1530" max="1530" width="7.375" style="31" customWidth="1"/>
    <col min="1531" max="1531" width="9" style="31"/>
    <col min="1532" max="1532" width="9.25" style="31" customWidth="1"/>
    <col min="1533" max="1533" width="3.5" style="31" customWidth="1"/>
    <col min="1534" max="1535" width="12.625" style="31" customWidth="1"/>
    <col min="1536" max="1536" width="9" style="31"/>
    <col min="1537" max="1537" width="7.75" style="31" customWidth="1"/>
    <col min="1538" max="1538" width="13.125" style="31" customWidth="1"/>
    <col min="1539" max="1539" width="6.125" style="31" customWidth="1"/>
    <col min="1540" max="1540" width="9.75" style="31" customWidth="1"/>
    <col min="1541" max="1541" width="1.375" style="31" customWidth="1"/>
    <col min="1542" max="1781" width="9" style="31"/>
    <col min="1782" max="1782" width="1.375" style="31" customWidth="1"/>
    <col min="1783" max="1783" width="3.5" style="31" customWidth="1"/>
    <col min="1784" max="1784" width="22.125" style="31" customWidth="1"/>
    <col min="1785" max="1785" width="9.75" style="31" customWidth="1"/>
    <col min="1786" max="1786" width="7.375" style="31" customWidth="1"/>
    <col min="1787" max="1787" width="9" style="31"/>
    <col min="1788" max="1788" width="9.25" style="31" customWidth="1"/>
    <col min="1789" max="1789" width="3.5" style="31" customWidth="1"/>
    <col min="1790" max="1791" width="12.625" style="31" customWidth="1"/>
    <col min="1792" max="1792" width="9" style="31"/>
    <col min="1793" max="1793" width="7.75" style="31" customWidth="1"/>
    <col min="1794" max="1794" width="13.125" style="31" customWidth="1"/>
    <col min="1795" max="1795" width="6.125" style="31" customWidth="1"/>
    <col min="1796" max="1796" width="9.75" style="31" customWidth="1"/>
    <col min="1797" max="1797" width="1.375" style="31" customWidth="1"/>
    <col min="1798" max="2037" width="9" style="31"/>
    <col min="2038" max="2038" width="1.375" style="31" customWidth="1"/>
    <col min="2039" max="2039" width="3.5" style="31" customWidth="1"/>
    <col min="2040" max="2040" width="22.125" style="31" customWidth="1"/>
    <col min="2041" max="2041" width="9.75" style="31" customWidth="1"/>
    <col min="2042" max="2042" width="7.375" style="31" customWidth="1"/>
    <col min="2043" max="2043" width="9" style="31"/>
    <col min="2044" max="2044" width="9.25" style="31" customWidth="1"/>
    <col min="2045" max="2045" width="3.5" style="31" customWidth="1"/>
    <col min="2046" max="2047" width="12.625" style="31" customWidth="1"/>
    <col min="2048" max="2048" width="9" style="31"/>
    <col min="2049" max="2049" width="7.75" style="31" customWidth="1"/>
    <col min="2050" max="2050" width="13.125" style="31" customWidth="1"/>
    <col min="2051" max="2051" width="6.125" style="31" customWidth="1"/>
    <col min="2052" max="2052" width="9.75" style="31" customWidth="1"/>
    <col min="2053" max="2053" width="1.375" style="31" customWidth="1"/>
    <col min="2054" max="2293" width="9" style="31"/>
    <col min="2294" max="2294" width="1.375" style="31" customWidth="1"/>
    <col min="2295" max="2295" width="3.5" style="31" customWidth="1"/>
    <col min="2296" max="2296" width="22.125" style="31" customWidth="1"/>
    <col min="2297" max="2297" width="9.75" style="31" customWidth="1"/>
    <col min="2298" max="2298" width="7.375" style="31" customWidth="1"/>
    <col min="2299" max="2299" width="9" style="31"/>
    <col min="2300" max="2300" width="9.25" style="31" customWidth="1"/>
    <col min="2301" max="2301" width="3.5" style="31" customWidth="1"/>
    <col min="2302" max="2303" width="12.625" style="31" customWidth="1"/>
    <col min="2304" max="2304" width="9" style="31"/>
    <col min="2305" max="2305" width="7.75" style="31" customWidth="1"/>
    <col min="2306" max="2306" width="13.125" style="31" customWidth="1"/>
    <col min="2307" max="2307" width="6.125" style="31" customWidth="1"/>
    <col min="2308" max="2308" width="9.75" style="31" customWidth="1"/>
    <col min="2309" max="2309" width="1.375" style="31" customWidth="1"/>
    <col min="2310" max="2549" width="9" style="31"/>
    <col min="2550" max="2550" width="1.375" style="31" customWidth="1"/>
    <col min="2551" max="2551" width="3.5" style="31" customWidth="1"/>
    <col min="2552" max="2552" width="22.125" style="31" customWidth="1"/>
    <col min="2553" max="2553" width="9.75" style="31" customWidth="1"/>
    <col min="2554" max="2554" width="7.375" style="31" customWidth="1"/>
    <col min="2555" max="2555" width="9" style="31"/>
    <col min="2556" max="2556" width="9.25" style="31" customWidth="1"/>
    <col min="2557" max="2557" width="3.5" style="31" customWidth="1"/>
    <col min="2558" max="2559" width="12.625" style="31" customWidth="1"/>
    <col min="2560" max="2560" width="9" style="31"/>
    <col min="2561" max="2561" width="7.75" style="31" customWidth="1"/>
    <col min="2562" max="2562" width="13.125" style="31" customWidth="1"/>
    <col min="2563" max="2563" width="6.125" style="31" customWidth="1"/>
    <col min="2564" max="2564" width="9.75" style="31" customWidth="1"/>
    <col min="2565" max="2565" width="1.375" style="31" customWidth="1"/>
    <col min="2566" max="2805" width="9" style="31"/>
    <col min="2806" max="2806" width="1.375" style="31" customWidth="1"/>
    <col min="2807" max="2807" width="3.5" style="31" customWidth="1"/>
    <col min="2808" max="2808" width="22.125" style="31" customWidth="1"/>
    <col min="2809" max="2809" width="9.75" style="31" customWidth="1"/>
    <col min="2810" max="2810" width="7.375" style="31" customWidth="1"/>
    <col min="2811" max="2811" width="9" style="31"/>
    <col min="2812" max="2812" width="9.25" style="31" customWidth="1"/>
    <col min="2813" max="2813" width="3.5" style="31" customWidth="1"/>
    <col min="2814" max="2815" width="12.625" style="31" customWidth="1"/>
    <col min="2816" max="2816" width="9" style="31"/>
    <col min="2817" max="2817" width="7.75" style="31" customWidth="1"/>
    <col min="2818" max="2818" width="13.125" style="31" customWidth="1"/>
    <col min="2819" max="2819" width="6.125" style="31" customWidth="1"/>
    <col min="2820" max="2820" width="9.75" style="31" customWidth="1"/>
    <col min="2821" max="2821" width="1.375" style="31" customWidth="1"/>
    <col min="2822" max="3061" width="9" style="31"/>
    <col min="3062" max="3062" width="1.375" style="31" customWidth="1"/>
    <col min="3063" max="3063" width="3.5" style="31" customWidth="1"/>
    <col min="3064" max="3064" width="22.125" style="31" customWidth="1"/>
    <col min="3065" max="3065" width="9.75" style="31" customWidth="1"/>
    <col min="3066" max="3066" width="7.375" style="31" customWidth="1"/>
    <col min="3067" max="3067" width="9" style="31"/>
    <col min="3068" max="3068" width="9.25" style="31" customWidth="1"/>
    <col min="3069" max="3069" width="3.5" style="31" customWidth="1"/>
    <col min="3070" max="3071" width="12.625" style="31" customWidth="1"/>
    <col min="3072" max="3072" width="9" style="31"/>
    <col min="3073" max="3073" width="7.75" style="31" customWidth="1"/>
    <col min="3074" max="3074" width="13.125" style="31" customWidth="1"/>
    <col min="3075" max="3075" width="6.125" style="31" customWidth="1"/>
    <col min="3076" max="3076" width="9.75" style="31" customWidth="1"/>
    <col min="3077" max="3077" width="1.375" style="31" customWidth="1"/>
    <col min="3078" max="3317" width="9" style="31"/>
    <col min="3318" max="3318" width="1.375" style="31" customWidth="1"/>
    <col min="3319" max="3319" width="3.5" style="31" customWidth="1"/>
    <col min="3320" max="3320" width="22.125" style="31" customWidth="1"/>
    <col min="3321" max="3321" width="9.75" style="31" customWidth="1"/>
    <col min="3322" max="3322" width="7.375" style="31" customWidth="1"/>
    <col min="3323" max="3323" width="9" style="31"/>
    <col min="3324" max="3324" width="9.25" style="31" customWidth="1"/>
    <col min="3325" max="3325" width="3.5" style="31" customWidth="1"/>
    <col min="3326" max="3327" width="12.625" style="31" customWidth="1"/>
    <col min="3328" max="3328" width="9" style="31"/>
    <col min="3329" max="3329" width="7.75" style="31" customWidth="1"/>
    <col min="3330" max="3330" width="13.125" style="31" customWidth="1"/>
    <col min="3331" max="3331" width="6.125" style="31" customWidth="1"/>
    <col min="3332" max="3332" width="9.75" style="31" customWidth="1"/>
    <col min="3333" max="3333" width="1.375" style="31" customWidth="1"/>
    <col min="3334" max="3573" width="9" style="31"/>
    <col min="3574" max="3574" width="1.375" style="31" customWidth="1"/>
    <col min="3575" max="3575" width="3.5" style="31" customWidth="1"/>
    <col min="3576" max="3576" width="22.125" style="31" customWidth="1"/>
    <col min="3577" max="3577" width="9.75" style="31" customWidth="1"/>
    <col min="3578" max="3578" width="7.375" style="31" customWidth="1"/>
    <col min="3579" max="3579" width="9" style="31"/>
    <col min="3580" max="3580" width="9.25" style="31" customWidth="1"/>
    <col min="3581" max="3581" width="3.5" style="31" customWidth="1"/>
    <col min="3582" max="3583" width="12.625" style="31" customWidth="1"/>
    <col min="3584" max="3584" width="9" style="31"/>
    <col min="3585" max="3585" width="7.75" style="31" customWidth="1"/>
    <col min="3586" max="3586" width="13.125" style="31" customWidth="1"/>
    <col min="3587" max="3587" width="6.125" style="31" customWidth="1"/>
    <col min="3588" max="3588" width="9.75" style="31" customWidth="1"/>
    <col min="3589" max="3589" width="1.375" style="31" customWidth="1"/>
    <col min="3590" max="3829" width="9" style="31"/>
    <col min="3830" max="3830" width="1.375" style="31" customWidth="1"/>
    <col min="3831" max="3831" width="3.5" style="31" customWidth="1"/>
    <col min="3832" max="3832" width="22.125" style="31" customWidth="1"/>
    <col min="3833" max="3833" width="9.75" style="31" customWidth="1"/>
    <col min="3834" max="3834" width="7.375" style="31" customWidth="1"/>
    <col min="3835" max="3835" width="9" style="31"/>
    <col min="3836" max="3836" width="9.25" style="31" customWidth="1"/>
    <col min="3837" max="3837" width="3.5" style="31" customWidth="1"/>
    <col min="3838" max="3839" width="12.625" style="31" customWidth="1"/>
    <col min="3840" max="3840" width="9" style="31"/>
    <col min="3841" max="3841" width="7.75" style="31" customWidth="1"/>
    <col min="3842" max="3842" width="13.125" style="31" customWidth="1"/>
    <col min="3843" max="3843" width="6.125" style="31" customWidth="1"/>
    <col min="3844" max="3844" width="9.75" style="31" customWidth="1"/>
    <col min="3845" max="3845" width="1.375" style="31" customWidth="1"/>
    <col min="3846" max="4085" width="9" style="31"/>
    <col min="4086" max="4086" width="1.375" style="31" customWidth="1"/>
    <col min="4087" max="4087" width="3.5" style="31" customWidth="1"/>
    <col min="4088" max="4088" width="22.125" style="31" customWidth="1"/>
    <col min="4089" max="4089" width="9.75" style="31" customWidth="1"/>
    <col min="4090" max="4090" width="7.375" style="31" customWidth="1"/>
    <col min="4091" max="4091" width="9" style="31"/>
    <col min="4092" max="4092" width="9.25" style="31" customWidth="1"/>
    <col min="4093" max="4093" width="3.5" style="31" customWidth="1"/>
    <col min="4094" max="4095" width="12.625" style="31" customWidth="1"/>
    <col min="4096" max="4096" width="9" style="31"/>
    <col min="4097" max="4097" width="7.75" style="31" customWidth="1"/>
    <col min="4098" max="4098" width="13.125" style="31" customWidth="1"/>
    <col min="4099" max="4099" width="6.125" style="31" customWidth="1"/>
    <col min="4100" max="4100" width="9.75" style="31" customWidth="1"/>
    <col min="4101" max="4101" width="1.375" style="31" customWidth="1"/>
    <col min="4102" max="4341" width="9" style="31"/>
    <col min="4342" max="4342" width="1.375" style="31" customWidth="1"/>
    <col min="4343" max="4343" width="3.5" style="31" customWidth="1"/>
    <col min="4344" max="4344" width="22.125" style="31" customWidth="1"/>
    <col min="4345" max="4345" width="9.75" style="31" customWidth="1"/>
    <col min="4346" max="4346" width="7.375" style="31" customWidth="1"/>
    <col min="4347" max="4347" width="9" style="31"/>
    <col min="4348" max="4348" width="9.25" style="31" customWidth="1"/>
    <col min="4349" max="4349" width="3.5" style="31" customWidth="1"/>
    <col min="4350" max="4351" width="12.625" style="31" customWidth="1"/>
    <col min="4352" max="4352" width="9" style="31"/>
    <col min="4353" max="4353" width="7.75" style="31" customWidth="1"/>
    <col min="4354" max="4354" width="13.125" style="31" customWidth="1"/>
    <col min="4355" max="4355" width="6.125" style="31" customWidth="1"/>
    <col min="4356" max="4356" width="9.75" style="31" customWidth="1"/>
    <col min="4357" max="4357" width="1.375" style="31" customWidth="1"/>
    <col min="4358" max="4597" width="9" style="31"/>
    <col min="4598" max="4598" width="1.375" style="31" customWidth="1"/>
    <col min="4599" max="4599" width="3.5" style="31" customWidth="1"/>
    <col min="4600" max="4600" width="22.125" style="31" customWidth="1"/>
    <col min="4601" max="4601" width="9.75" style="31" customWidth="1"/>
    <col min="4602" max="4602" width="7.375" style="31" customWidth="1"/>
    <col min="4603" max="4603" width="9" style="31"/>
    <col min="4604" max="4604" width="9.25" style="31" customWidth="1"/>
    <col min="4605" max="4605" width="3.5" style="31" customWidth="1"/>
    <col min="4606" max="4607" width="12.625" style="31" customWidth="1"/>
    <col min="4608" max="4608" width="9" style="31"/>
    <col min="4609" max="4609" width="7.75" style="31" customWidth="1"/>
    <col min="4610" max="4610" width="13.125" style="31" customWidth="1"/>
    <col min="4611" max="4611" width="6.125" style="31" customWidth="1"/>
    <col min="4612" max="4612" width="9.75" style="31" customWidth="1"/>
    <col min="4613" max="4613" width="1.375" style="31" customWidth="1"/>
    <col min="4614" max="4853" width="9" style="31"/>
    <col min="4854" max="4854" width="1.375" style="31" customWidth="1"/>
    <col min="4855" max="4855" width="3.5" style="31" customWidth="1"/>
    <col min="4856" max="4856" width="22.125" style="31" customWidth="1"/>
    <col min="4857" max="4857" width="9.75" style="31" customWidth="1"/>
    <col min="4858" max="4858" width="7.375" style="31" customWidth="1"/>
    <col min="4859" max="4859" width="9" style="31"/>
    <col min="4860" max="4860" width="9.25" style="31" customWidth="1"/>
    <col min="4861" max="4861" width="3.5" style="31" customWidth="1"/>
    <col min="4862" max="4863" width="12.625" style="31" customWidth="1"/>
    <col min="4864" max="4864" width="9" style="31"/>
    <col min="4865" max="4865" width="7.75" style="31" customWidth="1"/>
    <col min="4866" max="4866" width="13.125" style="31" customWidth="1"/>
    <col min="4867" max="4867" width="6.125" style="31" customWidth="1"/>
    <col min="4868" max="4868" width="9.75" style="31" customWidth="1"/>
    <col min="4869" max="4869" width="1.375" style="31" customWidth="1"/>
    <col min="4870" max="5109" width="9" style="31"/>
    <col min="5110" max="5110" width="1.375" style="31" customWidth="1"/>
    <col min="5111" max="5111" width="3.5" style="31" customWidth="1"/>
    <col min="5112" max="5112" width="22.125" style="31" customWidth="1"/>
    <col min="5113" max="5113" width="9.75" style="31" customWidth="1"/>
    <col min="5114" max="5114" width="7.375" style="31" customWidth="1"/>
    <col min="5115" max="5115" width="9" style="31"/>
    <col min="5116" max="5116" width="9.25" style="31" customWidth="1"/>
    <col min="5117" max="5117" width="3.5" style="31" customWidth="1"/>
    <col min="5118" max="5119" width="12.625" style="31" customWidth="1"/>
    <col min="5120" max="5120" width="9" style="31"/>
    <col min="5121" max="5121" width="7.75" style="31" customWidth="1"/>
    <col min="5122" max="5122" width="13.125" style="31" customWidth="1"/>
    <col min="5123" max="5123" width="6.125" style="31" customWidth="1"/>
    <col min="5124" max="5124" width="9.75" style="31" customWidth="1"/>
    <col min="5125" max="5125" width="1.375" style="31" customWidth="1"/>
    <col min="5126" max="5365" width="9" style="31"/>
    <col min="5366" max="5366" width="1.375" style="31" customWidth="1"/>
    <col min="5367" max="5367" width="3.5" style="31" customWidth="1"/>
    <col min="5368" max="5368" width="22.125" style="31" customWidth="1"/>
    <col min="5369" max="5369" width="9.75" style="31" customWidth="1"/>
    <col min="5370" max="5370" width="7.375" style="31" customWidth="1"/>
    <col min="5371" max="5371" width="9" style="31"/>
    <col min="5372" max="5372" width="9.25" style="31" customWidth="1"/>
    <col min="5373" max="5373" width="3.5" style="31" customWidth="1"/>
    <col min="5374" max="5375" width="12.625" style="31" customWidth="1"/>
    <col min="5376" max="5376" width="9" style="31"/>
    <col min="5377" max="5377" width="7.75" style="31" customWidth="1"/>
    <col min="5378" max="5378" width="13.125" style="31" customWidth="1"/>
    <col min="5379" max="5379" width="6.125" style="31" customWidth="1"/>
    <col min="5380" max="5380" width="9.75" style="31" customWidth="1"/>
    <col min="5381" max="5381" width="1.375" style="31" customWidth="1"/>
    <col min="5382" max="5621" width="9" style="31"/>
    <col min="5622" max="5622" width="1.375" style="31" customWidth="1"/>
    <col min="5623" max="5623" width="3.5" style="31" customWidth="1"/>
    <col min="5624" max="5624" width="22.125" style="31" customWidth="1"/>
    <col min="5625" max="5625" width="9.75" style="31" customWidth="1"/>
    <col min="5626" max="5626" width="7.375" style="31" customWidth="1"/>
    <col min="5627" max="5627" width="9" style="31"/>
    <col min="5628" max="5628" width="9.25" style="31" customWidth="1"/>
    <col min="5629" max="5629" width="3.5" style="31" customWidth="1"/>
    <col min="5630" max="5631" width="12.625" style="31" customWidth="1"/>
    <col min="5632" max="5632" width="9" style="31"/>
    <col min="5633" max="5633" width="7.75" style="31" customWidth="1"/>
    <col min="5634" max="5634" width="13.125" style="31" customWidth="1"/>
    <col min="5635" max="5635" width="6.125" style="31" customWidth="1"/>
    <col min="5636" max="5636" width="9.75" style="31" customWidth="1"/>
    <col min="5637" max="5637" width="1.375" style="31" customWidth="1"/>
    <col min="5638" max="5877" width="9" style="31"/>
    <col min="5878" max="5878" width="1.375" style="31" customWidth="1"/>
    <col min="5879" max="5879" width="3.5" style="31" customWidth="1"/>
    <col min="5880" max="5880" width="22.125" style="31" customWidth="1"/>
    <col min="5881" max="5881" width="9.75" style="31" customWidth="1"/>
    <col min="5882" max="5882" width="7.375" style="31" customWidth="1"/>
    <col min="5883" max="5883" width="9" style="31"/>
    <col min="5884" max="5884" width="9.25" style="31" customWidth="1"/>
    <col min="5885" max="5885" width="3.5" style="31" customWidth="1"/>
    <col min="5886" max="5887" width="12.625" style="31" customWidth="1"/>
    <col min="5888" max="5888" width="9" style="31"/>
    <col min="5889" max="5889" width="7.75" style="31" customWidth="1"/>
    <col min="5890" max="5890" width="13.125" style="31" customWidth="1"/>
    <col min="5891" max="5891" width="6.125" style="31" customWidth="1"/>
    <col min="5892" max="5892" width="9.75" style="31" customWidth="1"/>
    <col min="5893" max="5893" width="1.375" style="31" customWidth="1"/>
    <col min="5894" max="6133" width="9" style="31"/>
    <col min="6134" max="6134" width="1.375" style="31" customWidth="1"/>
    <col min="6135" max="6135" width="3.5" style="31" customWidth="1"/>
    <col min="6136" max="6136" width="22.125" style="31" customWidth="1"/>
    <col min="6137" max="6137" width="9.75" style="31" customWidth="1"/>
    <col min="6138" max="6138" width="7.375" style="31" customWidth="1"/>
    <col min="6139" max="6139" width="9" style="31"/>
    <col min="6140" max="6140" width="9.25" style="31" customWidth="1"/>
    <col min="6141" max="6141" width="3.5" style="31" customWidth="1"/>
    <col min="6142" max="6143" width="12.625" style="31" customWidth="1"/>
    <col min="6144" max="6144" width="9" style="31"/>
    <col min="6145" max="6145" width="7.75" style="31" customWidth="1"/>
    <col min="6146" max="6146" width="13.125" style="31" customWidth="1"/>
    <col min="6147" max="6147" width="6.125" style="31" customWidth="1"/>
    <col min="6148" max="6148" width="9.75" style="31" customWidth="1"/>
    <col min="6149" max="6149" width="1.375" style="31" customWidth="1"/>
    <col min="6150" max="6389" width="9" style="31"/>
    <col min="6390" max="6390" width="1.375" style="31" customWidth="1"/>
    <col min="6391" max="6391" width="3.5" style="31" customWidth="1"/>
    <col min="6392" max="6392" width="22.125" style="31" customWidth="1"/>
    <col min="6393" max="6393" width="9.75" style="31" customWidth="1"/>
    <col min="6394" max="6394" width="7.375" style="31" customWidth="1"/>
    <col min="6395" max="6395" width="9" style="31"/>
    <col min="6396" max="6396" width="9.25" style="31" customWidth="1"/>
    <col min="6397" max="6397" width="3.5" style="31" customWidth="1"/>
    <col min="6398" max="6399" width="12.625" style="31" customWidth="1"/>
    <col min="6400" max="6400" width="9" style="31"/>
    <col min="6401" max="6401" width="7.75" style="31" customWidth="1"/>
    <col min="6402" max="6402" width="13.125" style="31" customWidth="1"/>
    <col min="6403" max="6403" width="6.125" style="31" customWidth="1"/>
    <col min="6404" max="6404" width="9.75" style="31" customWidth="1"/>
    <col min="6405" max="6405" width="1.375" style="31" customWidth="1"/>
    <col min="6406" max="6645" width="9" style="31"/>
    <col min="6646" max="6646" width="1.375" style="31" customWidth="1"/>
    <col min="6647" max="6647" width="3.5" style="31" customWidth="1"/>
    <col min="6648" max="6648" width="22.125" style="31" customWidth="1"/>
    <col min="6649" max="6649" width="9.75" style="31" customWidth="1"/>
    <col min="6650" max="6650" width="7.375" style="31" customWidth="1"/>
    <col min="6651" max="6651" width="9" style="31"/>
    <col min="6652" max="6652" width="9.25" style="31" customWidth="1"/>
    <col min="6653" max="6653" width="3.5" style="31" customWidth="1"/>
    <col min="6654" max="6655" width="12.625" style="31" customWidth="1"/>
    <col min="6656" max="6656" width="9" style="31"/>
    <col min="6657" max="6657" width="7.75" style="31" customWidth="1"/>
    <col min="6658" max="6658" width="13.125" style="31" customWidth="1"/>
    <col min="6659" max="6659" width="6.125" style="31" customWidth="1"/>
    <col min="6660" max="6660" width="9.75" style="31" customWidth="1"/>
    <col min="6661" max="6661" width="1.375" style="31" customWidth="1"/>
    <col min="6662" max="6901" width="9" style="31"/>
    <col min="6902" max="6902" width="1.375" style="31" customWidth="1"/>
    <col min="6903" max="6903" width="3.5" style="31" customWidth="1"/>
    <col min="6904" max="6904" width="22.125" style="31" customWidth="1"/>
    <col min="6905" max="6905" width="9.75" style="31" customWidth="1"/>
    <col min="6906" max="6906" width="7.375" style="31" customWidth="1"/>
    <col min="6907" max="6907" width="9" style="31"/>
    <col min="6908" max="6908" width="9.25" style="31" customWidth="1"/>
    <col min="6909" max="6909" width="3.5" style="31" customWidth="1"/>
    <col min="6910" max="6911" width="12.625" style="31" customWidth="1"/>
    <col min="6912" max="6912" width="9" style="31"/>
    <col min="6913" max="6913" width="7.75" style="31" customWidth="1"/>
    <col min="6914" max="6914" width="13.125" style="31" customWidth="1"/>
    <col min="6915" max="6915" width="6.125" style="31" customWidth="1"/>
    <col min="6916" max="6916" width="9.75" style="31" customWidth="1"/>
    <col min="6917" max="6917" width="1.375" style="31" customWidth="1"/>
    <col min="6918" max="7157" width="9" style="31"/>
    <col min="7158" max="7158" width="1.375" style="31" customWidth="1"/>
    <col min="7159" max="7159" width="3.5" style="31" customWidth="1"/>
    <col min="7160" max="7160" width="22.125" style="31" customWidth="1"/>
    <col min="7161" max="7161" width="9.75" style="31" customWidth="1"/>
    <col min="7162" max="7162" width="7.375" style="31" customWidth="1"/>
    <col min="7163" max="7163" width="9" style="31"/>
    <col min="7164" max="7164" width="9.25" style="31" customWidth="1"/>
    <col min="7165" max="7165" width="3.5" style="31" customWidth="1"/>
    <col min="7166" max="7167" width="12.625" style="31" customWidth="1"/>
    <col min="7168" max="7168" width="9" style="31"/>
    <col min="7169" max="7169" width="7.75" style="31" customWidth="1"/>
    <col min="7170" max="7170" width="13.125" style="31" customWidth="1"/>
    <col min="7171" max="7171" width="6.125" style="31" customWidth="1"/>
    <col min="7172" max="7172" width="9.75" style="31" customWidth="1"/>
    <col min="7173" max="7173" width="1.375" style="31" customWidth="1"/>
    <col min="7174" max="7413" width="9" style="31"/>
    <col min="7414" max="7414" width="1.375" style="31" customWidth="1"/>
    <col min="7415" max="7415" width="3.5" style="31" customWidth="1"/>
    <col min="7416" max="7416" width="22.125" style="31" customWidth="1"/>
    <col min="7417" max="7417" width="9.75" style="31" customWidth="1"/>
    <col min="7418" max="7418" width="7.375" style="31" customWidth="1"/>
    <col min="7419" max="7419" width="9" style="31"/>
    <col min="7420" max="7420" width="9.25" style="31" customWidth="1"/>
    <col min="7421" max="7421" width="3.5" style="31" customWidth="1"/>
    <col min="7422" max="7423" width="12.625" style="31" customWidth="1"/>
    <col min="7424" max="7424" width="9" style="31"/>
    <col min="7425" max="7425" width="7.75" style="31" customWidth="1"/>
    <col min="7426" max="7426" width="13.125" style="31" customWidth="1"/>
    <col min="7427" max="7427" width="6.125" style="31" customWidth="1"/>
    <col min="7428" max="7428" width="9.75" style="31" customWidth="1"/>
    <col min="7429" max="7429" width="1.375" style="31" customWidth="1"/>
    <col min="7430" max="7669" width="9" style="31"/>
    <col min="7670" max="7670" width="1.375" style="31" customWidth="1"/>
    <col min="7671" max="7671" width="3.5" style="31" customWidth="1"/>
    <col min="7672" max="7672" width="22.125" style="31" customWidth="1"/>
    <col min="7673" max="7673" width="9.75" style="31" customWidth="1"/>
    <col min="7674" max="7674" width="7.375" style="31" customWidth="1"/>
    <col min="7675" max="7675" width="9" style="31"/>
    <col min="7676" max="7676" width="9.25" style="31" customWidth="1"/>
    <col min="7677" max="7677" width="3.5" style="31" customWidth="1"/>
    <col min="7678" max="7679" width="12.625" style="31" customWidth="1"/>
    <col min="7680" max="7680" width="9" style="31"/>
    <col min="7681" max="7681" width="7.75" style="31" customWidth="1"/>
    <col min="7682" max="7682" width="13.125" style="31" customWidth="1"/>
    <col min="7683" max="7683" width="6.125" style="31" customWidth="1"/>
    <col min="7684" max="7684" width="9.75" style="31" customWidth="1"/>
    <col min="7685" max="7685" width="1.375" style="31" customWidth="1"/>
    <col min="7686" max="7925" width="9" style="31"/>
    <col min="7926" max="7926" width="1.375" style="31" customWidth="1"/>
    <col min="7927" max="7927" width="3.5" style="31" customWidth="1"/>
    <col min="7928" max="7928" width="22.125" style="31" customWidth="1"/>
    <col min="7929" max="7929" width="9.75" style="31" customWidth="1"/>
    <col min="7930" max="7930" width="7.375" style="31" customWidth="1"/>
    <col min="7931" max="7931" width="9" style="31"/>
    <col min="7932" max="7932" width="9.25" style="31" customWidth="1"/>
    <col min="7933" max="7933" width="3.5" style="31" customWidth="1"/>
    <col min="7934" max="7935" width="12.625" style="31" customWidth="1"/>
    <col min="7936" max="7936" width="9" style="31"/>
    <col min="7937" max="7937" width="7.75" style="31" customWidth="1"/>
    <col min="7938" max="7938" width="13.125" style="31" customWidth="1"/>
    <col min="7939" max="7939" width="6.125" style="31" customWidth="1"/>
    <col min="7940" max="7940" width="9.75" style="31" customWidth="1"/>
    <col min="7941" max="7941" width="1.375" style="31" customWidth="1"/>
    <col min="7942" max="8181" width="9" style="31"/>
    <col min="8182" max="8182" width="1.375" style="31" customWidth="1"/>
    <col min="8183" max="8183" width="3.5" style="31" customWidth="1"/>
    <col min="8184" max="8184" width="22.125" style="31" customWidth="1"/>
    <col min="8185" max="8185" width="9.75" style="31" customWidth="1"/>
    <col min="8186" max="8186" width="7.375" style="31" customWidth="1"/>
    <col min="8187" max="8187" width="9" style="31"/>
    <col min="8188" max="8188" width="9.25" style="31" customWidth="1"/>
    <col min="8189" max="8189" width="3.5" style="31" customWidth="1"/>
    <col min="8190" max="8191" width="12.625" style="31" customWidth="1"/>
    <col min="8192" max="8192" width="9" style="31"/>
    <col min="8193" max="8193" width="7.75" style="31" customWidth="1"/>
    <col min="8194" max="8194" width="13.125" style="31" customWidth="1"/>
    <col min="8195" max="8195" width="6.125" style="31" customWidth="1"/>
    <col min="8196" max="8196" width="9.75" style="31" customWidth="1"/>
    <col min="8197" max="8197" width="1.375" style="31" customWidth="1"/>
    <col min="8198" max="8437" width="9" style="31"/>
    <col min="8438" max="8438" width="1.375" style="31" customWidth="1"/>
    <col min="8439" max="8439" width="3.5" style="31" customWidth="1"/>
    <col min="8440" max="8440" width="22.125" style="31" customWidth="1"/>
    <col min="8441" max="8441" width="9.75" style="31" customWidth="1"/>
    <col min="8442" max="8442" width="7.375" style="31" customWidth="1"/>
    <col min="8443" max="8443" width="9" style="31"/>
    <col min="8444" max="8444" width="9.25" style="31" customWidth="1"/>
    <col min="8445" max="8445" width="3.5" style="31" customWidth="1"/>
    <col min="8446" max="8447" width="12.625" style="31" customWidth="1"/>
    <col min="8448" max="8448" width="9" style="31"/>
    <col min="8449" max="8449" width="7.75" style="31" customWidth="1"/>
    <col min="8450" max="8450" width="13.125" style="31" customWidth="1"/>
    <col min="8451" max="8451" width="6.125" style="31" customWidth="1"/>
    <col min="8452" max="8452" width="9.75" style="31" customWidth="1"/>
    <col min="8453" max="8453" width="1.375" style="31" customWidth="1"/>
    <col min="8454" max="8693" width="9" style="31"/>
    <col min="8694" max="8694" width="1.375" style="31" customWidth="1"/>
    <col min="8695" max="8695" width="3.5" style="31" customWidth="1"/>
    <col min="8696" max="8696" width="22.125" style="31" customWidth="1"/>
    <col min="8697" max="8697" width="9.75" style="31" customWidth="1"/>
    <col min="8698" max="8698" width="7.375" style="31" customWidth="1"/>
    <col min="8699" max="8699" width="9" style="31"/>
    <col min="8700" max="8700" width="9.25" style="31" customWidth="1"/>
    <col min="8701" max="8701" width="3.5" style="31" customWidth="1"/>
    <col min="8702" max="8703" width="12.625" style="31" customWidth="1"/>
    <col min="8704" max="8704" width="9" style="31"/>
    <col min="8705" max="8705" width="7.75" style="31" customWidth="1"/>
    <col min="8706" max="8706" width="13.125" style="31" customWidth="1"/>
    <col min="8707" max="8707" width="6.125" style="31" customWidth="1"/>
    <col min="8708" max="8708" width="9.75" style="31" customWidth="1"/>
    <col min="8709" max="8709" width="1.375" style="31" customWidth="1"/>
    <col min="8710" max="8949" width="9" style="31"/>
    <col min="8950" max="8950" width="1.375" style="31" customWidth="1"/>
    <col min="8951" max="8951" width="3.5" style="31" customWidth="1"/>
    <col min="8952" max="8952" width="22.125" style="31" customWidth="1"/>
    <col min="8953" max="8953" width="9.75" style="31" customWidth="1"/>
    <col min="8954" max="8954" width="7.375" style="31" customWidth="1"/>
    <col min="8955" max="8955" width="9" style="31"/>
    <col min="8956" max="8956" width="9.25" style="31" customWidth="1"/>
    <col min="8957" max="8957" width="3.5" style="31" customWidth="1"/>
    <col min="8958" max="8959" width="12.625" style="31" customWidth="1"/>
    <col min="8960" max="8960" width="9" style="31"/>
    <col min="8961" max="8961" width="7.75" style="31" customWidth="1"/>
    <col min="8962" max="8962" width="13.125" style="31" customWidth="1"/>
    <col min="8963" max="8963" width="6.125" style="31" customWidth="1"/>
    <col min="8964" max="8964" width="9.75" style="31" customWidth="1"/>
    <col min="8965" max="8965" width="1.375" style="31" customWidth="1"/>
    <col min="8966" max="9205" width="9" style="31"/>
    <col min="9206" max="9206" width="1.375" style="31" customWidth="1"/>
    <col min="9207" max="9207" width="3.5" style="31" customWidth="1"/>
    <col min="9208" max="9208" width="22.125" style="31" customWidth="1"/>
    <col min="9209" max="9209" width="9.75" style="31" customWidth="1"/>
    <col min="9210" max="9210" width="7.375" style="31" customWidth="1"/>
    <col min="9211" max="9211" width="9" style="31"/>
    <col min="9212" max="9212" width="9.25" style="31" customWidth="1"/>
    <col min="9213" max="9213" width="3.5" style="31" customWidth="1"/>
    <col min="9214" max="9215" width="12.625" style="31" customWidth="1"/>
    <col min="9216" max="9216" width="9" style="31"/>
    <col min="9217" max="9217" width="7.75" style="31" customWidth="1"/>
    <col min="9218" max="9218" width="13.125" style="31" customWidth="1"/>
    <col min="9219" max="9219" width="6.125" style="31" customWidth="1"/>
    <col min="9220" max="9220" width="9.75" style="31" customWidth="1"/>
    <col min="9221" max="9221" width="1.375" style="31" customWidth="1"/>
    <col min="9222" max="9461" width="9" style="31"/>
    <col min="9462" max="9462" width="1.375" style="31" customWidth="1"/>
    <col min="9463" max="9463" width="3.5" style="31" customWidth="1"/>
    <col min="9464" max="9464" width="22.125" style="31" customWidth="1"/>
    <col min="9465" max="9465" width="9.75" style="31" customWidth="1"/>
    <col min="9466" max="9466" width="7.375" style="31" customWidth="1"/>
    <col min="9467" max="9467" width="9" style="31"/>
    <col min="9468" max="9468" width="9.25" style="31" customWidth="1"/>
    <col min="9469" max="9469" width="3.5" style="31" customWidth="1"/>
    <col min="9470" max="9471" width="12.625" style="31" customWidth="1"/>
    <col min="9472" max="9472" width="9" style="31"/>
    <col min="9473" max="9473" width="7.75" style="31" customWidth="1"/>
    <col min="9474" max="9474" width="13.125" style="31" customWidth="1"/>
    <col min="9475" max="9475" width="6.125" style="31" customWidth="1"/>
    <col min="9476" max="9476" width="9.75" style="31" customWidth="1"/>
    <col min="9477" max="9477" width="1.375" style="31" customWidth="1"/>
    <col min="9478" max="9717" width="9" style="31"/>
    <col min="9718" max="9718" width="1.375" style="31" customWidth="1"/>
    <col min="9719" max="9719" width="3.5" style="31" customWidth="1"/>
    <col min="9720" max="9720" width="22.125" style="31" customWidth="1"/>
    <col min="9721" max="9721" width="9.75" style="31" customWidth="1"/>
    <col min="9722" max="9722" width="7.375" style="31" customWidth="1"/>
    <col min="9723" max="9723" width="9" style="31"/>
    <col min="9724" max="9724" width="9.25" style="31" customWidth="1"/>
    <col min="9725" max="9725" width="3.5" style="31" customWidth="1"/>
    <col min="9726" max="9727" width="12.625" style="31" customWidth="1"/>
    <col min="9728" max="9728" width="9" style="31"/>
    <col min="9729" max="9729" width="7.75" style="31" customWidth="1"/>
    <col min="9730" max="9730" width="13.125" style="31" customWidth="1"/>
    <col min="9731" max="9731" width="6.125" style="31" customWidth="1"/>
    <col min="9732" max="9732" width="9.75" style="31" customWidth="1"/>
    <col min="9733" max="9733" width="1.375" style="31" customWidth="1"/>
    <col min="9734" max="9973" width="9" style="31"/>
    <col min="9974" max="9974" width="1.375" style="31" customWidth="1"/>
    <col min="9975" max="9975" width="3.5" style="31" customWidth="1"/>
    <col min="9976" max="9976" width="22.125" style="31" customWidth="1"/>
    <col min="9977" max="9977" width="9.75" style="31" customWidth="1"/>
    <col min="9978" max="9978" width="7.375" style="31" customWidth="1"/>
    <col min="9979" max="9979" width="9" style="31"/>
    <col min="9980" max="9980" width="9.25" style="31" customWidth="1"/>
    <col min="9981" max="9981" width="3.5" style="31" customWidth="1"/>
    <col min="9982" max="9983" width="12.625" style="31" customWidth="1"/>
    <col min="9984" max="9984" width="9" style="31"/>
    <col min="9985" max="9985" width="7.75" style="31" customWidth="1"/>
    <col min="9986" max="9986" width="13.125" style="31" customWidth="1"/>
    <col min="9987" max="9987" width="6.125" style="31" customWidth="1"/>
    <col min="9988" max="9988" width="9.75" style="31" customWidth="1"/>
    <col min="9989" max="9989" width="1.375" style="31" customWidth="1"/>
    <col min="9990" max="10229" width="9" style="31"/>
    <col min="10230" max="10230" width="1.375" style="31" customWidth="1"/>
    <col min="10231" max="10231" width="3.5" style="31" customWidth="1"/>
    <col min="10232" max="10232" width="22.125" style="31" customWidth="1"/>
    <col min="10233" max="10233" width="9.75" style="31" customWidth="1"/>
    <col min="10234" max="10234" width="7.375" style="31" customWidth="1"/>
    <col min="10235" max="10235" width="9" style="31"/>
    <col min="10236" max="10236" width="9.25" style="31" customWidth="1"/>
    <col min="10237" max="10237" width="3.5" style="31" customWidth="1"/>
    <col min="10238" max="10239" width="12.625" style="31" customWidth="1"/>
    <col min="10240" max="10240" width="9" style="31"/>
    <col min="10241" max="10241" width="7.75" style="31" customWidth="1"/>
    <col min="10242" max="10242" width="13.125" style="31" customWidth="1"/>
    <col min="10243" max="10243" width="6.125" style="31" customWidth="1"/>
    <col min="10244" max="10244" width="9.75" style="31" customWidth="1"/>
    <col min="10245" max="10245" width="1.375" style="31" customWidth="1"/>
    <col min="10246" max="10485" width="9" style="31"/>
    <col min="10486" max="10486" width="1.375" style="31" customWidth="1"/>
    <col min="10487" max="10487" width="3.5" style="31" customWidth="1"/>
    <col min="10488" max="10488" width="22.125" style="31" customWidth="1"/>
    <col min="10489" max="10489" width="9.75" style="31" customWidth="1"/>
    <col min="10490" max="10490" width="7.375" style="31" customWidth="1"/>
    <col min="10491" max="10491" width="9" style="31"/>
    <col min="10492" max="10492" width="9.25" style="31" customWidth="1"/>
    <col min="10493" max="10493" width="3.5" style="31" customWidth="1"/>
    <col min="10494" max="10495" width="12.625" style="31" customWidth="1"/>
    <col min="10496" max="10496" width="9" style="31"/>
    <col min="10497" max="10497" width="7.75" style="31" customWidth="1"/>
    <col min="10498" max="10498" width="13.125" style="31" customWidth="1"/>
    <col min="10499" max="10499" width="6.125" style="31" customWidth="1"/>
    <col min="10500" max="10500" width="9.75" style="31" customWidth="1"/>
    <col min="10501" max="10501" width="1.375" style="31" customWidth="1"/>
    <col min="10502" max="10741" width="9" style="31"/>
    <col min="10742" max="10742" width="1.375" style="31" customWidth="1"/>
    <col min="10743" max="10743" width="3.5" style="31" customWidth="1"/>
    <col min="10744" max="10744" width="22.125" style="31" customWidth="1"/>
    <col min="10745" max="10745" width="9.75" style="31" customWidth="1"/>
    <col min="10746" max="10746" width="7.375" style="31" customWidth="1"/>
    <col min="10747" max="10747" width="9" style="31"/>
    <col min="10748" max="10748" width="9.25" style="31" customWidth="1"/>
    <col min="10749" max="10749" width="3.5" style="31" customWidth="1"/>
    <col min="10750" max="10751" width="12.625" style="31" customWidth="1"/>
    <col min="10752" max="10752" width="9" style="31"/>
    <col min="10753" max="10753" width="7.75" style="31" customWidth="1"/>
    <col min="10754" max="10754" width="13.125" style="31" customWidth="1"/>
    <col min="10755" max="10755" width="6.125" style="31" customWidth="1"/>
    <col min="10756" max="10756" width="9.75" style="31" customWidth="1"/>
    <col min="10757" max="10757" width="1.375" style="31" customWidth="1"/>
    <col min="10758" max="10997" width="9" style="31"/>
    <col min="10998" max="10998" width="1.375" style="31" customWidth="1"/>
    <col min="10999" max="10999" width="3.5" style="31" customWidth="1"/>
    <col min="11000" max="11000" width="22.125" style="31" customWidth="1"/>
    <col min="11001" max="11001" width="9.75" style="31" customWidth="1"/>
    <col min="11002" max="11002" width="7.375" style="31" customWidth="1"/>
    <col min="11003" max="11003" width="9" style="31"/>
    <col min="11004" max="11004" width="9.25" style="31" customWidth="1"/>
    <col min="11005" max="11005" width="3.5" style="31" customWidth="1"/>
    <col min="11006" max="11007" width="12.625" style="31" customWidth="1"/>
    <col min="11008" max="11008" width="9" style="31"/>
    <col min="11009" max="11009" width="7.75" style="31" customWidth="1"/>
    <col min="11010" max="11010" width="13.125" style="31" customWidth="1"/>
    <col min="11011" max="11011" width="6.125" style="31" customWidth="1"/>
    <col min="11012" max="11012" width="9.75" style="31" customWidth="1"/>
    <col min="11013" max="11013" width="1.375" style="31" customWidth="1"/>
    <col min="11014" max="11253" width="9" style="31"/>
    <col min="11254" max="11254" width="1.375" style="31" customWidth="1"/>
    <col min="11255" max="11255" width="3.5" style="31" customWidth="1"/>
    <col min="11256" max="11256" width="22.125" style="31" customWidth="1"/>
    <col min="11257" max="11257" width="9.75" style="31" customWidth="1"/>
    <col min="11258" max="11258" width="7.375" style="31" customWidth="1"/>
    <col min="11259" max="11259" width="9" style="31"/>
    <col min="11260" max="11260" width="9.25" style="31" customWidth="1"/>
    <col min="11261" max="11261" width="3.5" style="31" customWidth="1"/>
    <col min="11262" max="11263" width="12.625" style="31" customWidth="1"/>
    <col min="11264" max="11264" width="9" style="31"/>
    <col min="11265" max="11265" width="7.75" style="31" customWidth="1"/>
    <col min="11266" max="11266" width="13.125" style="31" customWidth="1"/>
    <col min="11267" max="11267" width="6.125" style="31" customWidth="1"/>
    <col min="11268" max="11268" width="9.75" style="31" customWidth="1"/>
    <col min="11269" max="11269" width="1.375" style="31" customWidth="1"/>
    <col min="11270" max="11509" width="9" style="31"/>
    <col min="11510" max="11510" width="1.375" style="31" customWidth="1"/>
    <col min="11511" max="11511" width="3.5" style="31" customWidth="1"/>
    <col min="11512" max="11512" width="22.125" style="31" customWidth="1"/>
    <col min="11513" max="11513" width="9.75" style="31" customWidth="1"/>
    <col min="11514" max="11514" width="7.375" style="31" customWidth="1"/>
    <col min="11515" max="11515" width="9" style="31"/>
    <col min="11516" max="11516" width="9.25" style="31" customWidth="1"/>
    <col min="11517" max="11517" width="3.5" style="31" customWidth="1"/>
    <col min="11518" max="11519" width="12.625" style="31" customWidth="1"/>
    <col min="11520" max="11520" width="9" style="31"/>
    <col min="11521" max="11521" width="7.75" style="31" customWidth="1"/>
    <col min="11522" max="11522" width="13.125" style="31" customWidth="1"/>
    <col min="11523" max="11523" width="6.125" style="31" customWidth="1"/>
    <col min="11524" max="11524" width="9.75" style="31" customWidth="1"/>
    <col min="11525" max="11525" width="1.375" style="31" customWidth="1"/>
    <col min="11526" max="11765" width="9" style="31"/>
    <col min="11766" max="11766" width="1.375" style="31" customWidth="1"/>
    <col min="11767" max="11767" width="3.5" style="31" customWidth="1"/>
    <col min="11768" max="11768" width="22.125" style="31" customWidth="1"/>
    <col min="11769" max="11769" width="9.75" style="31" customWidth="1"/>
    <col min="11770" max="11770" width="7.375" style="31" customWidth="1"/>
    <col min="11771" max="11771" width="9" style="31"/>
    <col min="11772" max="11772" width="9.25" style="31" customWidth="1"/>
    <col min="11773" max="11773" width="3.5" style="31" customWidth="1"/>
    <col min="11774" max="11775" width="12.625" style="31" customWidth="1"/>
    <col min="11776" max="11776" width="9" style="31"/>
    <col min="11777" max="11777" width="7.75" style="31" customWidth="1"/>
    <col min="11778" max="11778" width="13.125" style="31" customWidth="1"/>
    <col min="11779" max="11779" width="6.125" style="31" customWidth="1"/>
    <col min="11780" max="11780" width="9.75" style="31" customWidth="1"/>
    <col min="11781" max="11781" width="1.375" style="31" customWidth="1"/>
    <col min="11782" max="12021" width="9" style="31"/>
    <col min="12022" max="12022" width="1.375" style="31" customWidth="1"/>
    <col min="12023" max="12023" width="3.5" style="31" customWidth="1"/>
    <col min="12024" max="12024" width="22.125" style="31" customWidth="1"/>
    <col min="12025" max="12025" width="9.75" style="31" customWidth="1"/>
    <col min="12026" max="12026" width="7.375" style="31" customWidth="1"/>
    <col min="12027" max="12027" width="9" style="31"/>
    <col min="12028" max="12028" width="9.25" style="31" customWidth="1"/>
    <col min="12029" max="12029" width="3.5" style="31" customWidth="1"/>
    <col min="12030" max="12031" width="12.625" style="31" customWidth="1"/>
    <col min="12032" max="12032" width="9" style="31"/>
    <col min="12033" max="12033" width="7.75" style="31" customWidth="1"/>
    <col min="12034" max="12034" width="13.125" style="31" customWidth="1"/>
    <col min="12035" max="12035" width="6.125" style="31" customWidth="1"/>
    <col min="12036" max="12036" width="9.75" style="31" customWidth="1"/>
    <col min="12037" max="12037" width="1.375" style="31" customWidth="1"/>
    <col min="12038" max="12277" width="9" style="31"/>
    <col min="12278" max="12278" width="1.375" style="31" customWidth="1"/>
    <col min="12279" max="12279" width="3.5" style="31" customWidth="1"/>
    <col min="12280" max="12280" width="22.125" style="31" customWidth="1"/>
    <col min="12281" max="12281" width="9.75" style="31" customWidth="1"/>
    <col min="12282" max="12282" width="7.375" style="31" customWidth="1"/>
    <col min="12283" max="12283" width="9" style="31"/>
    <col min="12284" max="12284" width="9.25" style="31" customWidth="1"/>
    <col min="12285" max="12285" width="3.5" style="31" customWidth="1"/>
    <col min="12286" max="12287" width="12.625" style="31" customWidth="1"/>
    <col min="12288" max="12288" width="9" style="31"/>
    <col min="12289" max="12289" width="7.75" style="31" customWidth="1"/>
    <col min="12290" max="12290" width="13.125" style="31" customWidth="1"/>
    <col min="12291" max="12291" width="6.125" style="31" customWidth="1"/>
    <col min="12292" max="12292" width="9.75" style="31" customWidth="1"/>
    <col min="12293" max="12293" width="1.375" style="31" customWidth="1"/>
    <col min="12294" max="12533" width="9" style="31"/>
    <col min="12534" max="12534" width="1.375" style="31" customWidth="1"/>
    <col min="12535" max="12535" width="3.5" style="31" customWidth="1"/>
    <col min="12536" max="12536" width="22.125" style="31" customWidth="1"/>
    <col min="12537" max="12537" width="9.75" style="31" customWidth="1"/>
    <col min="12538" max="12538" width="7.375" style="31" customWidth="1"/>
    <col min="12539" max="12539" width="9" style="31"/>
    <col min="12540" max="12540" width="9.25" style="31" customWidth="1"/>
    <col min="12541" max="12541" width="3.5" style="31" customWidth="1"/>
    <col min="12542" max="12543" width="12.625" style="31" customWidth="1"/>
    <col min="12544" max="12544" width="9" style="31"/>
    <col min="12545" max="12545" width="7.75" style="31" customWidth="1"/>
    <col min="12546" max="12546" width="13.125" style="31" customWidth="1"/>
    <col min="12547" max="12547" width="6.125" style="31" customWidth="1"/>
    <col min="12548" max="12548" width="9.75" style="31" customWidth="1"/>
    <col min="12549" max="12549" width="1.375" style="31" customWidth="1"/>
    <col min="12550" max="12789" width="9" style="31"/>
    <col min="12790" max="12790" width="1.375" style="31" customWidth="1"/>
    <col min="12791" max="12791" width="3.5" style="31" customWidth="1"/>
    <col min="12792" max="12792" width="22.125" style="31" customWidth="1"/>
    <col min="12793" max="12793" width="9.75" style="31" customWidth="1"/>
    <col min="12794" max="12794" width="7.375" style="31" customWidth="1"/>
    <col min="12795" max="12795" width="9" style="31"/>
    <col min="12796" max="12796" width="9.25" style="31" customWidth="1"/>
    <col min="12797" max="12797" width="3.5" style="31" customWidth="1"/>
    <col min="12798" max="12799" width="12.625" style="31" customWidth="1"/>
    <col min="12800" max="12800" width="9" style="31"/>
    <col min="12801" max="12801" width="7.75" style="31" customWidth="1"/>
    <col min="12802" max="12802" width="13.125" style="31" customWidth="1"/>
    <col min="12803" max="12803" width="6.125" style="31" customWidth="1"/>
    <col min="12804" max="12804" width="9.75" style="31" customWidth="1"/>
    <col min="12805" max="12805" width="1.375" style="31" customWidth="1"/>
    <col min="12806" max="13045" width="9" style="31"/>
    <col min="13046" max="13046" width="1.375" style="31" customWidth="1"/>
    <col min="13047" max="13047" width="3.5" style="31" customWidth="1"/>
    <col min="13048" max="13048" width="22.125" style="31" customWidth="1"/>
    <col min="13049" max="13049" width="9.75" style="31" customWidth="1"/>
    <col min="13050" max="13050" width="7.375" style="31" customWidth="1"/>
    <col min="13051" max="13051" width="9" style="31"/>
    <col min="13052" max="13052" width="9.25" style="31" customWidth="1"/>
    <col min="13053" max="13053" width="3.5" style="31" customWidth="1"/>
    <col min="13054" max="13055" width="12.625" style="31" customWidth="1"/>
    <col min="13056" max="13056" width="9" style="31"/>
    <col min="13057" max="13057" width="7.75" style="31" customWidth="1"/>
    <col min="13058" max="13058" width="13.125" style="31" customWidth="1"/>
    <col min="13059" max="13059" width="6.125" style="31" customWidth="1"/>
    <col min="13060" max="13060" width="9.75" style="31" customWidth="1"/>
    <col min="13061" max="13061" width="1.375" style="31" customWidth="1"/>
    <col min="13062" max="13301" width="9" style="31"/>
    <col min="13302" max="13302" width="1.375" style="31" customWidth="1"/>
    <col min="13303" max="13303" width="3.5" style="31" customWidth="1"/>
    <col min="13304" max="13304" width="22.125" style="31" customWidth="1"/>
    <col min="13305" max="13305" width="9.75" style="31" customWidth="1"/>
    <col min="13306" max="13306" width="7.375" style="31" customWidth="1"/>
    <col min="13307" max="13307" width="9" style="31"/>
    <col min="13308" max="13308" width="9.25" style="31" customWidth="1"/>
    <col min="13309" max="13309" width="3.5" style="31" customWidth="1"/>
    <col min="13310" max="13311" width="12.625" style="31" customWidth="1"/>
    <col min="13312" max="13312" width="9" style="31"/>
    <col min="13313" max="13313" width="7.75" style="31" customWidth="1"/>
    <col min="13314" max="13314" width="13.125" style="31" customWidth="1"/>
    <col min="13315" max="13315" width="6.125" style="31" customWidth="1"/>
    <col min="13316" max="13316" width="9.75" style="31" customWidth="1"/>
    <col min="13317" max="13317" width="1.375" style="31" customWidth="1"/>
    <col min="13318" max="13557" width="9" style="31"/>
    <col min="13558" max="13558" width="1.375" style="31" customWidth="1"/>
    <col min="13559" max="13559" width="3.5" style="31" customWidth="1"/>
    <col min="13560" max="13560" width="22.125" style="31" customWidth="1"/>
    <col min="13561" max="13561" width="9.75" style="31" customWidth="1"/>
    <col min="13562" max="13562" width="7.375" style="31" customWidth="1"/>
    <col min="13563" max="13563" width="9" style="31"/>
    <col min="13564" max="13564" width="9.25" style="31" customWidth="1"/>
    <col min="13565" max="13565" width="3.5" style="31" customWidth="1"/>
    <col min="13566" max="13567" width="12.625" style="31" customWidth="1"/>
    <col min="13568" max="13568" width="9" style="31"/>
    <col min="13569" max="13569" width="7.75" style="31" customWidth="1"/>
    <col min="13570" max="13570" width="13.125" style="31" customWidth="1"/>
    <col min="13571" max="13571" width="6.125" style="31" customWidth="1"/>
    <col min="13572" max="13572" width="9.75" style="31" customWidth="1"/>
    <col min="13573" max="13573" width="1.375" style="31" customWidth="1"/>
    <col min="13574" max="13813" width="9" style="31"/>
    <col min="13814" max="13814" width="1.375" style="31" customWidth="1"/>
    <col min="13815" max="13815" width="3.5" style="31" customWidth="1"/>
    <col min="13816" max="13816" width="22.125" style="31" customWidth="1"/>
    <col min="13817" max="13817" width="9.75" style="31" customWidth="1"/>
    <col min="13818" max="13818" width="7.375" style="31" customWidth="1"/>
    <col min="13819" max="13819" width="9" style="31"/>
    <col min="13820" max="13820" width="9.25" style="31" customWidth="1"/>
    <col min="13821" max="13821" width="3.5" style="31" customWidth="1"/>
    <col min="13822" max="13823" width="12.625" style="31" customWidth="1"/>
    <col min="13824" max="13824" width="9" style="31"/>
    <col min="13825" max="13825" width="7.75" style="31" customWidth="1"/>
    <col min="13826" max="13826" width="13.125" style="31" customWidth="1"/>
    <col min="13827" max="13827" width="6.125" style="31" customWidth="1"/>
    <col min="13828" max="13828" width="9.75" style="31" customWidth="1"/>
    <col min="13829" max="13829" width="1.375" style="31" customWidth="1"/>
    <col min="13830" max="14069" width="9" style="31"/>
    <col min="14070" max="14070" width="1.375" style="31" customWidth="1"/>
    <col min="14071" max="14071" width="3.5" style="31" customWidth="1"/>
    <col min="14072" max="14072" width="22.125" style="31" customWidth="1"/>
    <col min="14073" max="14073" width="9.75" style="31" customWidth="1"/>
    <col min="14074" max="14074" width="7.375" style="31" customWidth="1"/>
    <col min="14075" max="14075" width="9" style="31"/>
    <col min="14076" max="14076" width="9.25" style="31" customWidth="1"/>
    <col min="14077" max="14077" width="3.5" style="31" customWidth="1"/>
    <col min="14078" max="14079" width="12.625" style="31" customWidth="1"/>
    <col min="14080" max="14080" width="9" style="31"/>
    <col min="14081" max="14081" width="7.75" style="31" customWidth="1"/>
    <col min="14082" max="14082" width="13.125" style="31" customWidth="1"/>
    <col min="14083" max="14083" width="6.125" style="31" customWidth="1"/>
    <col min="14084" max="14084" width="9.75" style="31" customWidth="1"/>
    <col min="14085" max="14085" width="1.375" style="31" customWidth="1"/>
    <col min="14086" max="14325" width="9" style="31"/>
    <col min="14326" max="14326" width="1.375" style="31" customWidth="1"/>
    <col min="14327" max="14327" width="3.5" style="31" customWidth="1"/>
    <col min="14328" max="14328" width="22.125" style="31" customWidth="1"/>
    <col min="14329" max="14329" width="9.75" style="31" customWidth="1"/>
    <col min="14330" max="14330" width="7.375" style="31" customWidth="1"/>
    <col min="14331" max="14331" width="9" style="31"/>
    <col min="14332" max="14332" width="9.25" style="31" customWidth="1"/>
    <col min="14333" max="14333" width="3.5" style="31" customWidth="1"/>
    <col min="14334" max="14335" width="12.625" style="31" customWidth="1"/>
    <col min="14336" max="14336" width="9" style="31"/>
    <col min="14337" max="14337" width="7.75" style="31" customWidth="1"/>
    <col min="14338" max="14338" width="13.125" style="31" customWidth="1"/>
    <col min="14339" max="14339" width="6.125" style="31" customWidth="1"/>
    <col min="14340" max="14340" width="9.75" style="31" customWidth="1"/>
    <col min="14341" max="14341" width="1.375" style="31" customWidth="1"/>
    <col min="14342" max="14581" width="9" style="31"/>
    <col min="14582" max="14582" width="1.375" style="31" customWidth="1"/>
    <col min="14583" max="14583" width="3.5" style="31" customWidth="1"/>
    <col min="14584" max="14584" width="22.125" style="31" customWidth="1"/>
    <col min="14585" max="14585" width="9.75" style="31" customWidth="1"/>
    <col min="14586" max="14586" width="7.375" style="31" customWidth="1"/>
    <col min="14587" max="14587" width="9" style="31"/>
    <col min="14588" max="14588" width="9.25" style="31" customWidth="1"/>
    <col min="14589" max="14589" width="3.5" style="31" customWidth="1"/>
    <col min="14590" max="14591" width="12.625" style="31" customWidth="1"/>
    <col min="14592" max="14592" width="9" style="31"/>
    <col min="14593" max="14593" width="7.75" style="31" customWidth="1"/>
    <col min="14594" max="14594" width="13.125" style="31" customWidth="1"/>
    <col min="14595" max="14595" width="6.125" style="31" customWidth="1"/>
    <col min="14596" max="14596" width="9.75" style="31" customWidth="1"/>
    <col min="14597" max="14597" width="1.375" style="31" customWidth="1"/>
    <col min="14598" max="14837" width="9" style="31"/>
    <col min="14838" max="14838" width="1.375" style="31" customWidth="1"/>
    <col min="14839" max="14839" width="3.5" style="31" customWidth="1"/>
    <col min="14840" max="14840" width="22.125" style="31" customWidth="1"/>
    <col min="14841" max="14841" width="9.75" style="31" customWidth="1"/>
    <col min="14842" max="14842" width="7.375" style="31" customWidth="1"/>
    <col min="14843" max="14843" width="9" style="31"/>
    <col min="14844" max="14844" width="9.25" style="31" customWidth="1"/>
    <col min="14845" max="14845" width="3.5" style="31" customWidth="1"/>
    <col min="14846" max="14847" width="12.625" style="31" customWidth="1"/>
    <col min="14848" max="14848" width="9" style="31"/>
    <col min="14849" max="14849" width="7.75" style="31" customWidth="1"/>
    <col min="14850" max="14850" width="13.125" style="31" customWidth="1"/>
    <col min="14851" max="14851" width="6.125" style="31" customWidth="1"/>
    <col min="14852" max="14852" width="9.75" style="31" customWidth="1"/>
    <col min="14853" max="14853" width="1.375" style="31" customWidth="1"/>
    <col min="14854" max="15093" width="9" style="31"/>
    <col min="15094" max="15094" width="1.375" style="31" customWidth="1"/>
    <col min="15095" max="15095" width="3.5" style="31" customWidth="1"/>
    <col min="15096" max="15096" width="22.125" style="31" customWidth="1"/>
    <col min="15097" max="15097" width="9.75" style="31" customWidth="1"/>
    <col min="15098" max="15098" width="7.375" style="31" customWidth="1"/>
    <col min="15099" max="15099" width="9" style="31"/>
    <col min="15100" max="15100" width="9.25" style="31" customWidth="1"/>
    <col min="15101" max="15101" width="3.5" style="31" customWidth="1"/>
    <col min="15102" max="15103" width="12.625" style="31" customWidth="1"/>
    <col min="15104" max="15104" width="9" style="31"/>
    <col min="15105" max="15105" width="7.75" style="31" customWidth="1"/>
    <col min="15106" max="15106" width="13.125" style="31" customWidth="1"/>
    <col min="15107" max="15107" width="6.125" style="31" customWidth="1"/>
    <col min="15108" max="15108" width="9.75" style="31" customWidth="1"/>
    <col min="15109" max="15109" width="1.375" style="31" customWidth="1"/>
    <col min="15110" max="15349" width="9" style="31"/>
    <col min="15350" max="15350" width="1.375" style="31" customWidth="1"/>
    <col min="15351" max="15351" width="3.5" style="31" customWidth="1"/>
    <col min="15352" max="15352" width="22.125" style="31" customWidth="1"/>
    <col min="15353" max="15353" width="9.75" style="31" customWidth="1"/>
    <col min="15354" max="15354" width="7.375" style="31" customWidth="1"/>
    <col min="15355" max="15355" width="9" style="31"/>
    <col min="15356" max="15356" width="9.25" style="31" customWidth="1"/>
    <col min="15357" max="15357" width="3.5" style="31" customWidth="1"/>
    <col min="15358" max="15359" width="12.625" style="31" customWidth="1"/>
    <col min="15360" max="15360" width="9" style="31"/>
    <col min="15361" max="15361" width="7.75" style="31" customWidth="1"/>
    <col min="15362" max="15362" width="13.125" style="31" customWidth="1"/>
    <col min="15363" max="15363" width="6.125" style="31" customWidth="1"/>
    <col min="15364" max="15364" width="9.75" style="31" customWidth="1"/>
    <col min="15365" max="15365" width="1.375" style="31" customWidth="1"/>
    <col min="15366" max="15605" width="9" style="31"/>
    <col min="15606" max="15606" width="1.375" style="31" customWidth="1"/>
    <col min="15607" max="15607" width="3.5" style="31" customWidth="1"/>
    <col min="15608" max="15608" width="22.125" style="31" customWidth="1"/>
    <col min="15609" max="15609" width="9.75" style="31" customWidth="1"/>
    <col min="15610" max="15610" width="7.375" style="31" customWidth="1"/>
    <col min="15611" max="15611" width="9" style="31"/>
    <col min="15612" max="15612" width="9.25" style="31" customWidth="1"/>
    <col min="15613" max="15613" width="3.5" style="31" customWidth="1"/>
    <col min="15614" max="15615" width="12.625" style="31" customWidth="1"/>
    <col min="15616" max="15616" width="9" style="31"/>
    <col min="15617" max="15617" width="7.75" style="31" customWidth="1"/>
    <col min="15618" max="15618" width="13.125" style="31" customWidth="1"/>
    <col min="15619" max="15619" width="6.125" style="31" customWidth="1"/>
    <col min="15620" max="15620" width="9.75" style="31" customWidth="1"/>
    <col min="15621" max="15621" width="1.375" style="31" customWidth="1"/>
    <col min="15622" max="15861" width="9" style="31"/>
    <col min="15862" max="15862" width="1.375" style="31" customWidth="1"/>
    <col min="15863" max="15863" width="3.5" style="31" customWidth="1"/>
    <col min="15864" max="15864" width="22.125" style="31" customWidth="1"/>
    <col min="15865" max="15865" width="9.75" style="31" customWidth="1"/>
    <col min="15866" max="15866" width="7.375" style="31" customWidth="1"/>
    <col min="15867" max="15867" width="9" style="31"/>
    <col min="15868" max="15868" width="9.25" style="31" customWidth="1"/>
    <col min="15869" max="15869" width="3.5" style="31" customWidth="1"/>
    <col min="15870" max="15871" width="12.625" style="31" customWidth="1"/>
    <col min="15872" max="15872" width="9" style="31"/>
    <col min="15873" max="15873" width="7.75" style="31" customWidth="1"/>
    <col min="15874" max="15874" width="13.125" style="31" customWidth="1"/>
    <col min="15875" max="15875" width="6.125" style="31" customWidth="1"/>
    <col min="15876" max="15876" width="9.75" style="31" customWidth="1"/>
    <col min="15877" max="15877" width="1.375" style="31" customWidth="1"/>
    <col min="15878" max="16117" width="9" style="31"/>
    <col min="16118" max="16118" width="1.375" style="31" customWidth="1"/>
    <col min="16119" max="16119" width="3.5" style="31" customWidth="1"/>
    <col min="16120" max="16120" width="22.125" style="31" customWidth="1"/>
    <col min="16121" max="16121" width="9.75" style="31" customWidth="1"/>
    <col min="16122" max="16122" width="7.375" style="31" customWidth="1"/>
    <col min="16123" max="16123" width="9" style="31"/>
    <col min="16124" max="16124" width="9.25" style="31" customWidth="1"/>
    <col min="16125" max="16125" width="3.5" style="31" customWidth="1"/>
    <col min="16126" max="16127" width="12.625" style="31" customWidth="1"/>
    <col min="16128" max="16128" width="9" style="31"/>
    <col min="16129" max="16129" width="7.75" style="31" customWidth="1"/>
    <col min="16130" max="16130" width="13.125" style="31" customWidth="1"/>
    <col min="16131" max="16131" width="6.125" style="31" customWidth="1"/>
    <col min="16132" max="16132" width="9.75" style="31" customWidth="1"/>
    <col min="16133" max="16133" width="1.375" style="31" customWidth="1"/>
    <col min="16134" max="16384" width="9" style="31"/>
  </cols>
  <sheetData>
    <row r="1" spans="2:22" ht="9.9499999999999993" customHeight="1" x14ac:dyDescent="0.15"/>
    <row r="2" spans="2:22" ht="24.95" customHeight="1" x14ac:dyDescent="0.15">
      <c r="B2" s="31" t="s">
        <v>311</v>
      </c>
      <c r="C2" s="33"/>
      <c r="D2" s="5"/>
      <c r="E2" s="5"/>
      <c r="F2" s="33"/>
      <c r="G2" s="93"/>
      <c r="H2" s="100"/>
      <c r="I2" s="93"/>
      <c r="J2" s="93"/>
      <c r="K2" s="93"/>
      <c r="L2" s="93"/>
      <c r="M2" s="93"/>
      <c r="N2" s="93"/>
      <c r="O2" s="5"/>
    </row>
    <row r="3" spans="2:22" ht="15" customHeight="1" thickBot="1" x14ac:dyDescent="0.2">
      <c r="B3" s="31" t="s">
        <v>160</v>
      </c>
      <c r="I3" s="5" t="s">
        <v>161</v>
      </c>
      <c r="P3" s="154" t="s">
        <v>180</v>
      </c>
    </row>
    <row r="4" spans="2:22" ht="15" customHeight="1" x14ac:dyDescent="0.15">
      <c r="B4" s="218" t="s">
        <v>68</v>
      </c>
      <c r="C4" s="140" t="s">
        <v>136</v>
      </c>
      <c r="D4" s="140" t="s">
        <v>107</v>
      </c>
      <c r="E4" s="140" t="s">
        <v>108</v>
      </c>
      <c r="F4" s="140" t="s">
        <v>21</v>
      </c>
      <c r="G4" s="128" t="s">
        <v>109</v>
      </c>
      <c r="H4" s="141"/>
      <c r="I4" s="736" t="s">
        <v>68</v>
      </c>
      <c r="J4" s="732" t="s">
        <v>139</v>
      </c>
      <c r="K4" s="146" t="s">
        <v>293</v>
      </c>
      <c r="L4" s="146" t="s">
        <v>110</v>
      </c>
      <c r="M4" s="732" t="s">
        <v>21</v>
      </c>
      <c r="N4" s="734" t="s">
        <v>109</v>
      </c>
      <c r="O4" s="164"/>
      <c r="P4" s="219" t="s">
        <v>142</v>
      </c>
      <c r="Q4" s="220" t="s">
        <v>143</v>
      </c>
      <c r="R4" s="220" t="s">
        <v>144</v>
      </c>
      <c r="S4" s="220" t="s">
        <v>145</v>
      </c>
      <c r="T4" s="738" t="s">
        <v>146</v>
      </c>
      <c r="U4" s="686"/>
      <c r="V4" s="221" t="s">
        <v>147</v>
      </c>
    </row>
    <row r="5" spans="2:22" ht="15" customHeight="1" x14ac:dyDescent="0.15">
      <c r="B5" s="640" t="s">
        <v>130</v>
      </c>
      <c r="C5" s="30" t="s">
        <v>436</v>
      </c>
      <c r="D5" s="30">
        <v>4</v>
      </c>
      <c r="E5" s="37" t="s">
        <v>134</v>
      </c>
      <c r="F5" s="30">
        <v>5000</v>
      </c>
      <c r="G5" s="129">
        <f t="shared" ref="G5:G6" si="0">D5*F5</f>
        <v>20000</v>
      </c>
      <c r="H5" s="142"/>
      <c r="I5" s="737"/>
      <c r="J5" s="733"/>
      <c r="K5" s="148" t="s">
        <v>111</v>
      </c>
      <c r="L5" s="148" t="s">
        <v>395</v>
      </c>
      <c r="M5" s="733"/>
      <c r="N5" s="735"/>
      <c r="O5" s="164"/>
      <c r="P5" s="222" t="s">
        <v>257</v>
      </c>
      <c r="Q5" s="126">
        <v>5</v>
      </c>
      <c r="R5" s="162" t="s">
        <v>148</v>
      </c>
      <c r="S5" s="126">
        <v>2100</v>
      </c>
      <c r="T5" s="730">
        <v>3</v>
      </c>
      <c r="U5" s="731"/>
      <c r="V5" s="157">
        <f>Q5*S5/T5</f>
        <v>3500</v>
      </c>
    </row>
    <row r="6" spans="2:22" ht="15" customHeight="1" x14ac:dyDescent="0.15">
      <c r="B6" s="641"/>
      <c r="C6" s="30"/>
      <c r="D6" s="30"/>
      <c r="E6" s="37"/>
      <c r="F6" s="30"/>
      <c r="G6" s="130">
        <f t="shared" si="0"/>
        <v>0</v>
      </c>
      <c r="H6" s="142"/>
      <c r="I6" s="739" t="s">
        <v>138</v>
      </c>
      <c r="J6" s="293" t="s">
        <v>388</v>
      </c>
      <c r="K6" s="356">
        <v>4</v>
      </c>
      <c r="L6" s="356">
        <v>2.5</v>
      </c>
      <c r="M6" s="356">
        <v>84.7</v>
      </c>
      <c r="N6" s="130">
        <f>K6*L6*M6</f>
        <v>847</v>
      </c>
      <c r="O6" s="164"/>
      <c r="P6" s="222" t="s">
        <v>258</v>
      </c>
      <c r="Q6" s="126">
        <v>1000</v>
      </c>
      <c r="R6" s="162" t="s">
        <v>184</v>
      </c>
      <c r="S6" s="126">
        <v>7</v>
      </c>
      <c r="T6" s="730">
        <v>3</v>
      </c>
      <c r="U6" s="731"/>
      <c r="V6" s="157">
        <f t="shared" ref="V6:V10" si="1">Q6*S6/T6</f>
        <v>2333.3333333333335</v>
      </c>
    </row>
    <row r="7" spans="2:22" ht="15" customHeight="1" thickBot="1" x14ac:dyDescent="0.2">
      <c r="B7" s="740"/>
      <c r="C7" s="131" t="s">
        <v>112</v>
      </c>
      <c r="D7" s="131"/>
      <c r="E7" s="131"/>
      <c r="F7" s="131"/>
      <c r="G7" s="132">
        <f>SUM(G5:G6)</f>
        <v>20000</v>
      </c>
      <c r="H7" s="142"/>
      <c r="I7" s="641"/>
      <c r="J7" s="30"/>
      <c r="K7" s="149"/>
      <c r="L7" s="149"/>
      <c r="M7" s="149"/>
      <c r="N7" s="130">
        <f t="shared" ref="N7:N9" si="2">K7*L7*M7</f>
        <v>0</v>
      </c>
      <c r="O7" s="164"/>
      <c r="P7" s="222" t="s">
        <v>274</v>
      </c>
      <c r="Q7" s="126">
        <v>400</v>
      </c>
      <c r="R7" s="162" t="s">
        <v>185</v>
      </c>
      <c r="S7" s="126">
        <v>420</v>
      </c>
      <c r="T7" s="730">
        <v>10</v>
      </c>
      <c r="U7" s="731"/>
      <c r="V7" s="157">
        <f t="shared" si="1"/>
        <v>16800</v>
      </c>
    </row>
    <row r="8" spans="2:22" ht="15" customHeight="1" thickTop="1" x14ac:dyDescent="0.15">
      <c r="B8" s="741" t="s">
        <v>128</v>
      </c>
      <c r="C8" s="30" t="s">
        <v>437</v>
      </c>
      <c r="D8" s="30">
        <v>1</v>
      </c>
      <c r="E8" s="360" t="s">
        <v>358</v>
      </c>
      <c r="F8" s="30">
        <v>610</v>
      </c>
      <c r="G8" s="130">
        <f>D8*F8</f>
        <v>610</v>
      </c>
      <c r="H8" s="142"/>
      <c r="I8" s="641"/>
      <c r="J8" s="30"/>
      <c r="K8" s="149"/>
      <c r="L8" s="149"/>
      <c r="M8" s="149"/>
      <c r="N8" s="130">
        <f t="shared" si="2"/>
        <v>0</v>
      </c>
      <c r="O8" s="164"/>
      <c r="P8" s="222" t="s">
        <v>275</v>
      </c>
      <c r="Q8" s="126">
        <v>5</v>
      </c>
      <c r="R8" s="162" t="s">
        <v>276</v>
      </c>
      <c r="S8" s="126">
        <v>400</v>
      </c>
      <c r="T8" s="730">
        <v>10</v>
      </c>
      <c r="U8" s="731"/>
      <c r="V8" s="157">
        <f t="shared" si="1"/>
        <v>200</v>
      </c>
    </row>
    <row r="9" spans="2:22" ht="15" customHeight="1" x14ac:dyDescent="0.15">
      <c r="B9" s="641"/>
      <c r="C9" s="30"/>
      <c r="D9" s="30"/>
      <c r="E9" s="37"/>
      <c r="F9" s="30"/>
      <c r="G9" s="130">
        <f>D9*F9</f>
        <v>0</v>
      </c>
      <c r="H9" s="142"/>
      <c r="I9" s="641"/>
      <c r="J9" s="30"/>
      <c r="K9" s="149"/>
      <c r="L9" s="149"/>
      <c r="M9" s="149"/>
      <c r="N9" s="130">
        <f t="shared" si="2"/>
        <v>0</v>
      </c>
      <c r="O9" s="164"/>
      <c r="P9" s="222" t="s">
        <v>341</v>
      </c>
      <c r="Q9" s="359">
        <v>2.5</v>
      </c>
      <c r="R9" s="162" t="s">
        <v>185</v>
      </c>
      <c r="S9" s="126">
        <v>17280</v>
      </c>
      <c r="T9" s="730">
        <v>5</v>
      </c>
      <c r="U9" s="731"/>
      <c r="V9" s="157">
        <f t="shared" si="1"/>
        <v>8640</v>
      </c>
    </row>
    <row r="10" spans="2:22" ht="15" customHeight="1" thickBot="1" x14ac:dyDescent="0.2">
      <c r="B10" s="641"/>
      <c r="C10" s="30"/>
      <c r="D10" s="30"/>
      <c r="E10" s="37"/>
      <c r="F10" s="30"/>
      <c r="G10" s="130">
        <f>D10*F10</f>
        <v>0</v>
      </c>
      <c r="H10" s="142"/>
      <c r="I10" s="740"/>
      <c r="J10" s="223" t="s">
        <v>186</v>
      </c>
      <c r="K10" s="150">
        <f t="shared" ref="K10:L10" si="3">SUM(K6:K9)</f>
        <v>4</v>
      </c>
      <c r="L10" s="150">
        <f t="shared" si="3"/>
        <v>2.5</v>
      </c>
      <c r="M10" s="150"/>
      <c r="N10" s="145">
        <f>SUM(N6:N9)</f>
        <v>847</v>
      </c>
      <c r="O10" s="164"/>
      <c r="P10" s="222" t="s">
        <v>343</v>
      </c>
      <c r="Q10" s="126">
        <v>1900</v>
      </c>
      <c r="R10" s="162" t="s">
        <v>344</v>
      </c>
      <c r="S10" s="126">
        <v>100</v>
      </c>
      <c r="T10" s="730">
        <v>5</v>
      </c>
      <c r="U10" s="731"/>
      <c r="V10" s="157">
        <f t="shared" si="1"/>
        <v>38000</v>
      </c>
    </row>
    <row r="11" spans="2:22" ht="15" customHeight="1" thickTop="1" thickBot="1" x14ac:dyDescent="0.2">
      <c r="B11" s="740"/>
      <c r="C11" s="133" t="s">
        <v>113</v>
      </c>
      <c r="D11" s="134"/>
      <c r="E11" s="134"/>
      <c r="F11" s="134"/>
      <c r="G11" s="135">
        <f>SUM(G8:G10)</f>
        <v>610</v>
      </c>
      <c r="H11" s="142"/>
      <c r="I11" s="741" t="s">
        <v>187</v>
      </c>
      <c r="J11" s="30" t="s">
        <v>371</v>
      </c>
      <c r="K11" s="149">
        <v>4.9000000000000004</v>
      </c>
      <c r="L11" s="149">
        <v>2</v>
      </c>
      <c r="M11" s="149">
        <v>158.4</v>
      </c>
      <c r="N11" s="130">
        <f>L11*M11*K11</f>
        <v>1552.3200000000002</v>
      </c>
      <c r="O11" s="164"/>
      <c r="P11" s="222"/>
      <c r="Q11" s="126"/>
      <c r="R11" s="162"/>
      <c r="S11" s="126"/>
      <c r="T11" s="730"/>
      <c r="U11" s="731"/>
      <c r="V11" s="157"/>
    </row>
    <row r="12" spans="2:22" ht="15" customHeight="1" thickTop="1" x14ac:dyDescent="0.15">
      <c r="B12" s="741" t="s">
        <v>129</v>
      </c>
      <c r="C12" s="30" t="s">
        <v>425</v>
      </c>
      <c r="D12" s="30">
        <v>13</v>
      </c>
      <c r="E12" s="37" t="s">
        <v>253</v>
      </c>
      <c r="F12" s="30">
        <v>3370</v>
      </c>
      <c r="G12" s="130">
        <f>D12*F12</f>
        <v>43810</v>
      </c>
      <c r="H12" s="142"/>
      <c r="I12" s="641"/>
      <c r="J12" s="30" t="s">
        <v>372</v>
      </c>
      <c r="K12" s="149">
        <v>20</v>
      </c>
      <c r="L12" s="149">
        <v>1</v>
      </c>
      <c r="M12" s="149">
        <v>158.4</v>
      </c>
      <c r="N12" s="130">
        <f t="shared" ref="N12:N14" si="4">K12*L12*M12</f>
        <v>3168</v>
      </c>
      <c r="O12" s="164"/>
      <c r="P12" s="222"/>
      <c r="Q12" s="126"/>
      <c r="R12" s="162"/>
      <c r="S12" s="126"/>
      <c r="T12" s="730"/>
      <c r="U12" s="731"/>
      <c r="V12" s="157"/>
    </row>
    <row r="13" spans="2:22" ht="15" customHeight="1" x14ac:dyDescent="0.15">
      <c r="B13" s="641"/>
      <c r="C13" s="30" t="s">
        <v>426</v>
      </c>
      <c r="D13" s="30">
        <v>2</v>
      </c>
      <c r="E13" s="37" t="s">
        <v>272</v>
      </c>
      <c r="F13" s="30">
        <v>2920</v>
      </c>
      <c r="G13" s="130">
        <f>D13*F13</f>
        <v>5840</v>
      </c>
      <c r="H13" s="142"/>
      <c r="I13" s="641"/>
      <c r="J13" s="30" t="s">
        <v>373</v>
      </c>
      <c r="K13" s="149">
        <v>4</v>
      </c>
      <c r="L13" s="149">
        <v>1</v>
      </c>
      <c r="M13" s="149">
        <v>158.4</v>
      </c>
      <c r="N13" s="130">
        <f t="shared" si="4"/>
        <v>633.6</v>
      </c>
      <c r="O13" s="164"/>
      <c r="P13" s="222"/>
      <c r="Q13" s="126"/>
      <c r="R13" s="162"/>
      <c r="S13" s="126"/>
      <c r="T13" s="730"/>
      <c r="U13" s="731"/>
      <c r="V13" s="157"/>
    </row>
    <row r="14" spans="2:22" ht="15" customHeight="1" x14ac:dyDescent="0.15">
      <c r="B14" s="641"/>
      <c r="C14" s="30"/>
      <c r="D14" s="30"/>
      <c r="E14" s="37"/>
      <c r="F14" s="30"/>
      <c r="G14" s="130">
        <f>D14*F14</f>
        <v>0</v>
      </c>
      <c r="H14" s="142"/>
      <c r="I14" s="641"/>
      <c r="J14" s="30" t="s">
        <v>374</v>
      </c>
      <c r="K14" s="149">
        <v>6.5</v>
      </c>
      <c r="L14" s="149">
        <v>1</v>
      </c>
      <c r="M14" s="149">
        <v>158.4</v>
      </c>
      <c r="N14" s="130">
        <f t="shared" si="4"/>
        <v>1029.6000000000001</v>
      </c>
      <c r="O14" s="164"/>
      <c r="P14" s="222"/>
      <c r="Q14" s="126"/>
      <c r="R14" s="162"/>
      <c r="S14" s="126"/>
      <c r="T14" s="730"/>
      <c r="U14" s="731"/>
      <c r="V14" s="157"/>
    </row>
    <row r="15" spans="2:22" ht="15" customHeight="1" thickBot="1" x14ac:dyDescent="0.2">
      <c r="B15" s="641"/>
      <c r="C15" s="30"/>
      <c r="D15" s="30"/>
      <c r="E15" s="30"/>
      <c r="F15" s="30"/>
      <c r="G15" s="130">
        <f t="shared" ref="G15" si="5">D15*F15</f>
        <v>0</v>
      </c>
      <c r="H15" s="142"/>
      <c r="I15" s="740"/>
      <c r="J15" s="223" t="s">
        <v>186</v>
      </c>
      <c r="K15" s="150">
        <f t="shared" ref="K15" si="6">SUM(K11:K14)</f>
        <v>35.4</v>
      </c>
      <c r="L15" s="150">
        <f t="shared" ref="L15" si="7">SUM(L11:L14)</f>
        <v>5</v>
      </c>
      <c r="M15" s="150"/>
      <c r="N15" s="145">
        <f>SUM(N11:N14)</f>
        <v>6383.52</v>
      </c>
      <c r="O15" s="164"/>
      <c r="P15" s="222"/>
      <c r="Q15" s="126"/>
      <c r="R15" s="162"/>
      <c r="S15" s="126"/>
      <c r="T15" s="730"/>
      <c r="U15" s="731"/>
      <c r="V15" s="157"/>
    </row>
    <row r="16" spans="2:22" ht="15" customHeight="1" thickTop="1" thickBot="1" x14ac:dyDescent="0.2">
      <c r="B16" s="740"/>
      <c r="C16" s="133" t="s">
        <v>113</v>
      </c>
      <c r="D16" s="134"/>
      <c r="E16" s="134"/>
      <c r="F16" s="134"/>
      <c r="G16" s="135">
        <f>SUM(G12:G15)</f>
        <v>49650</v>
      </c>
      <c r="H16" s="142"/>
      <c r="I16" s="741" t="s">
        <v>140</v>
      </c>
      <c r="J16" s="30" t="s">
        <v>375</v>
      </c>
      <c r="K16" s="149">
        <v>3</v>
      </c>
      <c r="L16" s="149">
        <v>0.4</v>
      </c>
      <c r="M16" s="149">
        <v>168.4</v>
      </c>
      <c r="N16" s="130">
        <f>K16*L16*M16</f>
        <v>202.08000000000004</v>
      </c>
      <c r="O16" s="164"/>
      <c r="P16" s="222"/>
      <c r="Q16" s="126"/>
      <c r="R16" s="288"/>
      <c r="S16" s="126"/>
      <c r="T16" s="730"/>
      <c r="U16" s="731"/>
      <c r="V16" s="157"/>
    </row>
    <row r="17" spans="2:22" ht="15" customHeight="1" thickTop="1" x14ac:dyDescent="0.15">
      <c r="B17" s="741" t="s">
        <v>131</v>
      </c>
      <c r="C17" s="30"/>
      <c r="D17" s="30"/>
      <c r="E17" s="37"/>
      <c r="F17" s="30"/>
      <c r="G17" s="130">
        <f t="shared" ref="G17" si="8">D17*F17</f>
        <v>0</v>
      </c>
      <c r="H17" s="142"/>
      <c r="I17" s="641"/>
      <c r="J17" s="30"/>
      <c r="K17" s="149"/>
      <c r="L17" s="149"/>
      <c r="M17" s="149"/>
      <c r="N17" s="130">
        <f t="shared" ref="N17:N18" si="9">K17*L17*M17</f>
        <v>0</v>
      </c>
      <c r="O17" s="164"/>
      <c r="P17" s="222"/>
      <c r="Q17" s="126"/>
      <c r="R17" s="288"/>
      <c r="S17" s="126"/>
      <c r="T17" s="730"/>
      <c r="U17" s="731"/>
      <c r="V17" s="157"/>
    </row>
    <row r="18" spans="2:22" ht="15" customHeight="1" x14ac:dyDescent="0.15">
      <c r="B18" s="641"/>
      <c r="C18" s="30"/>
      <c r="D18" s="30"/>
      <c r="E18" s="37"/>
      <c r="F18" s="30"/>
      <c r="G18" s="130">
        <f>D18*F18</f>
        <v>0</v>
      </c>
      <c r="H18" s="142"/>
      <c r="I18" s="641"/>
      <c r="J18" s="30"/>
      <c r="K18" s="149"/>
      <c r="L18" s="149"/>
      <c r="M18" s="149"/>
      <c r="N18" s="130">
        <f t="shared" si="9"/>
        <v>0</v>
      </c>
      <c r="O18" s="164"/>
      <c r="P18" s="222"/>
      <c r="Q18" s="126"/>
      <c r="R18" s="162"/>
      <c r="S18" s="126"/>
      <c r="T18" s="730"/>
      <c r="U18" s="731"/>
      <c r="V18" s="157"/>
    </row>
    <row r="19" spans="2:22" ht="15" customHeight="1" thickBot="1" x14ac:dyDescent="0.2">
      <c r="B19" s="641"/>
      <c r="C19" s="30"/>
      <c r="D19" s="30"/>
      <c r="E19" s="30"/>
      <c r="F19" s="30"/>
      <c r="G19" s="130">
        <f t="shared" ref="G19" si="10">D19*F19</f>
        <v>0</v>
      </c>
      <c r="H19" s="142"/>
      <c r="I19" s="740"/>
      <c r="J19" s="223" t="s">
        <v>188</v>
      </c>
      <c r="K19" s="150">
        <f>SUM(K16:K18)</f>
        <v>3</v>
      </c>
      <c r="L19" s="151">
        <f>SUM(L16:L18)</f>
        <v>0.4</v>
      </c>
      <c r="M19" s="152"/>
      <c r="N19" s="145">
        <f>SUM(N16:N18)</f>
        <v>202.08000000000004</v>
      </c>
      <c r="O19" s="164"/>
      <c r="P19" s="222"/>
      <c r="Q19" s="126"/>
      <c r="R19" s="162"/>
      <c r="S19" s="126"/>
      <c r="T19" s="730"/>
      <c r="U19" s="731"/>
      <c r="V19" s="157"/>
    </row>
    <row r="20" spans="2:22" ht="15" customHeight="1" thickTop="1" thickBot="1" x14ac:dyDescent="0.2">
      <c r="B20" s="740"/>
      <c r="C20" s="133" t="s">
        <v>113</v>
      </c>
      <c r="D20" s="134"/>
      <c r="E20" s="134"/>
      <c r="F20" s="134"/>
      <c r="G20" s="135">
        <f>SUM(G17:G19)</f>
        <v>0</v>
      </c>
      <c r="H20" s="142"/>
      <c r="I20" s="741" t="s">
        <v>141</v>
      </c>
      <c r="J20" s="30" t="s">
        <v>376</v>
      </c>
      <c r="K20" s="149">
        <v>8.3000000000000007</v>
      </c>
      <c r="L20" s="149">
        <v>12</v>
      </c>
      <c r="M20" s="149">
        <v>102.1</v>
      </c>
      <c r="N20" s="374">
        <f>+K20*L20*M20</f>
        <v>10169.16</v>
      </c>
      <c r="O20" s="164"/>
      <c r="P20" s="158" t="s">
        <v>26</v>
      </c>
      <c r="Q20" s="159"/>
      <c r="R20" s="159"/>
      <c r="S20" s="159"/>
      <c r="T20" s="743"/>
      <c r="U20" s="744"/>
      <c r="V20" s="160">
        <f>SUM(V5:V19)</f>
        <v>69473.333333333343</v>
      </c>
    </row>
    <row r="21" spans="2:22" ht="15" customHeight="1" thickTop="1" x14ac:dyDescent="0.15">
      <c r="B21" s="741" t="s">
        <v>132</v>
      </c>
      <c r="C21" s="30"/>
      <c r="D21" s="30"/>
      <c r="E21" s="37"/>
      <c r="F21" s="30"/>
      <c r="G21" s="130">
        <f>D21*F21</f>
        <v>0</v>
      </c>
      <c r="H21" s="142"/>
      <c r="I21" s="641"/>
      <c r="J21" s="30"/>
      <c r="K21" s="149"/>
      <c r="L21" s="149"/>
      <c r="M21" s="149"/>
      <c r="N21" s="130"/>
      <c r="O21" s="164"/>
    </row>
    <row r="22" spans="2:22" ht="15" customHeight="1" thickBot="1" x14ac:dyDescent="0.2">
      <c r="B22" s="641"/>
      <c r="C22" s="30"/>
      <c r="D22" s="30"/>
      <c r="E22" s="37"/>
      <c r="F22" s="30"/>
      <c r="G22" s="130">
        <f>D22*F22</f>
        <v>0</v>
      </c>
      <c r="H22" s="142"/>
      <c r="I22" s="641"/>
      <c r="J22" s="30"/>
      <c r="K22" s="149"/>
      <c r="L22" s="149"/>
      <c r="M22" s="149"/>
      <c r="N22" s="130">
        <f t="shared" ref="N22" si="11">K22*L22*M22</f>
        <v>0</v>
      </c>
      <c r="O22" s="164"/>
      <c r="P22" s="154" t="s">
        <v>181</v>
      </c>
    </row>
    <row r="23" spans="2:22" ht="15" customHeight="1" thickBot="1" x14ac:dyDescent="0.2">
      <c r="B23" s="641"/>
      <c r="C23" s="30"/>
      <c r="D23" s="30"/>
      <c r="E23" s="37"/>
      <c r="F23" s="30"/>
      <c r="G23" s="130">
        <f>D23*F23</f>
        <v>0</v>
      </c>
      <c r="H23" s="142"/>
      <c r="I23" s="740"/>
      <c r="J23" s="223" t="s">
        <v>188</v>
      </c>
      <c r="K23" s="150">
        <f>SUM(K20:K22)</f>
        <v>8.3000000000000007</v>
      </c>
      <c r="L23" s="151">
        <f>SUM(L20:L22)</f>
        <v>12</v>
      </c>
      <c r="M23" s="152"/>
      <c r="N23" s="145">
        <f>SUM(N20:N22)</f>
        <v>10169.16</v>
      </c>
      <c r="O23" s="164"/>
      <c r="P23" s="219" t="s">
        <v>149</v>
      </c>
      <c r="Q23" s="220" t="s">
        <v>143</v>
      </c>
      <c r="R23" s="220" t="s">
        <v>144</v>
      </c>
      <c r="S23" s="220" t="s">
        <v>189</v>
      </c>
      <c r="T23" s="220" t="s">
        <v>146</v>
      </c>
      <c r="U23" s="280" t="s">
        <v>226</v>
      </c>
      <c r="V23" s="221" t="s">
        <v>147</v>
      </c>
    </row>
    <row r="24" spans="2:22" ht="15" customHeight="1" thickTop="1" thickBot="1" x14ac:dyDescent="0.2">
      <c r="B24" s="742"/>
      <c r="C24" s="136" t="s">
        <v>115</v>
      </c>
      <c r="D24" s="137"/>
      <c r="E24" s="137"/>
      <c r="F24" s="144"/>
      <c r="G24" s="138">
        <f>SUM(G21:G23)</f>
        <v>0</v>
      </c>
      <c r="I24" s="741" t="s">
        <v>231</v>
      </c>
      <c r="J24" s="30"/>
      <c r="K24" s="149"/>
      <c r="L24" s="149"/>
      <c r="M24" s="149"/>
      <c r="N24" s="130">
        <f>K24*L24*M24</f>
        <v>0</v>
      </c>
      <c r="O24" s="164"/>
      <c r="P24" s="222" t="s">
        <v>256</v>
      </c>
      <c r="Q24" s="126">
        <v>8</v>
      </c>
      <c r="R24" s="281" t="s">
        <v>227</v>
      </c>
      <c r="S24" s="126">
        <v>1000</v>
      </c>
      <c r="T24" s="126">
        <v>5</v>
      </c>
      <c r="U24" s="127">
        <v>100</v>
      </c>
      <c r="V24" s="157">
        <f>Q24*S24/T24/U24*10</f>
        <v>160</v>
      </c>
    </row>
    <row r="25" spans="2:22" ht="15" customHeight="1" x14ac:dyDescent="0.15">
      <c r="H25" s="143"/>
      <c r="I25" s="641"/>
      <c r="J25" s="30"/>
      <c r="K25" s="149"/>
      <c r="L25" s="149"/>
      <c r="M25" s="149"/>
      <c r="N25" s="130">
        <f t="shared" ref="N25:N26" si="12">K25*L25*M25</f>
        <v>0</v>
      </c>
      <c r="O25" s="164"/>
      <c r="P25" s="222" t="s">
        <v>273</v>
      </c>
      <c r="Q25" s="126">
        <v>8</v>
      </c>
      <c r="R25" s="162" t="s">
        <v>271</v>
      </c>
      <c r="S25" s="126">
        <v>10000</v>
      </c>
      <c r="T25" s="126">
        <v>10</v>
      </c>
      <c r="U25" s="127">
        <v>100</v>
      </c>
      <c r="V25" s="157">
        <f t="shared" ref="V25:V28" si="13">Q25*S25/T25/U25*10</f>
        <v>800</v>
      </c>
    </row>
    <row r="26" spans="2:22" ht="15" customHeight="1" thickBot="1" x14ac:dyDescent="0.2">
      <c r="B26" s="5" t="s">
        <v>190</v>
      </c>
      <c r="C26" s="5"/>
      <c r="D26" s="33"/>
      <c r="E26" s="5"/>
      <c r="F26" s="33"/>
      <c r="G26" s="34"/>
      <c r="H26" s="141"/>
      <c r="I26" s="641"/>
      <c r="J26" s="30"/>
      <c r="K26" s="149"/>
      <c r="L26" s="149"/>
      <c r="M26" s="149"/>
      <c r="N26" s="130">
        <f t="shared" si="12"/>
        <v>0</v>
      </c>
      <c r="O26" s="164"/>
      <c r="P26" s="222" t="s">
        <v>375</v>
      </c>
      <c r="Q26" s="126">
        <v>8</v>
      </c>
      <c r="R26" s="373" t="s">
        <v>381</v>
      </c>
      <c r="S26" s="126">
        <v>35000</v>
      </c>
      <c r="T26" s="126">
        <v>7</v>
      </c>
      <c r="U26" s="127">
        <v>100</v>
      </c>
      <c r="V26" s="157">
        <f t="shared" si="13"/>
        <v>4000</v>
      </c>
    </row>
    <row r="27" spans="2:22" ht="15" customHeight="1" thickBot="1" x14ac:dyDescent="0.2">
      <c r="B27" s="218" t="s">
        <v>68</v>
      </c>
      <c r="C27" s="140" t="s">
        <v>106</v>
      </c>
      <c r="D27" s="140" t="s">
        <v>107</v>
      </c>
      <c r="E27" s="140" t="s">
        <v>108</v>
      </c>
      <c r="F27" s="140" t="s">
        <v>21</v>
      </c>
      <c r="G27" s="128" t="s">
        <v>109</v>
      </c>
      <c r="H27" s="142"/>
      <c r="I27" s="740"/>
      <c r="J27" s="223" t="s">
        <v>186</v>
      </c>
      <c r="K27" s="150">
        <f>SUM(K24:K26)</f>
        <v>0</v>
      </c>
      <c r="L27" s="151">
        <f>SUM(L24:L26)</f>
        <v>0</v>
      </c>
      <c r="M27" s="152"/>
      <c r="N27" s="145">
        <f>SUM(N24:N26)</f>
        <v>0</v>
      </c>
      <c r="O27" s="164"/>
      <c r="P27" s="222" t="s">
        <v>382</v>
      </c>
      <c r="Q27" s="126">
        <v>16</v>
      </c>
      <c r="R27" s="373" t="s">
        <v>383</v>
      </c>
      <c r="S27" s="126">
        <v>950</v>
      </c>
      <c r="T27" s="126">
        <v>5</v>
      </c>
      <c r="U27" s="127">
        <v>100</v>
      </c>
      <c r="V27" s="157">
        <f t="shared" si="13"/>
        <v>304</v>
      </c>
    </row>
    <row r="28" spans="2:22" ht="15" customHeight="1" thickTop="1" x14ac:dyDescent="0.15">
      <c r="B28" s="640" t="s">
        <v>27</v>
      </c>
      <c r="C28" s="30" t="s">
        <v>427</v>
      </c>
      <c r="D28" s="58">
        <v>0.6</v>
      </c>
      <c r="E28" s="360" t="s">
        <v>358</v>
      </c>
      <c r="F28" s="30">
        <v>3103</v>
      </c>
      <c r="G28" s="129">
        <f t="shared" ref="G28:G37" si="14">D28*F28</f>
        <v>1861.8</v>
      </c>
      <c r="H28" s="142"/>
      <c r="I28" s="741" t="s">
        <v>137</v>
      </c>
      <c r="J28" s="30" t="s">
        <v>377</v>
      </c>
      <c r="K28" s="149">
        <v>720</v>
      </c>
      <c r="L28" s="149">
        <v>0.8</v>
      </c>
      <c r="M28" s="149">
        <v>14</v>
      </c>
      <c r="N28" s="130">
        <f>K28*L28*M28</f>
        <v>8064</v>
      </c>
      <c r="O28" s="164"/>
      <c r="P28" s="222" t="s">
        <v>384</v>
      </c>
      <c r="Q28" s="126">
        <v>2</v>
      </c>
      <c r="R28" s="373" t="s">
        <v>385</v>
      </c>
      <c r="S28" s="126">
        <v>500</v>
      </c>
      <c r="T28" s="126">
        <v>5</v>
      </c>
      <c r="U28" s="292">
        <v>100</v>
      </c>
      <c r="V28" s="157">
        <f t="shared" si="13"/>
        <v>20</v>
      </c>
    </row>
    <row r="29" spans="2:22" ht="15" customHeight="1" x14ac:dyDescent="0.15">
      <c r="B29" s="641"/>
      <c r="C29" s="30" t="s">
        <v>428</v>
      </c>
      <c r="D29" s="58">
        <v>1.8</v>
      </c>
      <c r="E29" s="360" t="s">
        <v>359</v>
      </c>
      <c r="F29" s="30">
        <v>1629</v>
      </c>
      <c r="G29" s="130">
        <f t="shared" si="14"/>
        <v>2932.2000000000003</v>
      </c>
      <c r="H29" s="142"/>
      <c r="I29" s="641"/>
      <c r="J29" s="30"/>
      <c r="K29" s="149"/>
      <c r="L29" s="149"/>
      <c r="M29" s="149"/>
      <c r="N29" s="130">
        <f t="shared" ref="N29:N30" si="15">K29*L29*M29</f>
        <v>0</v>
      </c>
      <c r="O29" s="32"/>
      <c r="P29" s="222"/>
      <c r="Q29" s="126"/>
      <c r="R29" s="281"/>
      <c r="S29" s="126"/>
      <c r="T29" s="126"/>
      <c r="U29" s="292"/>
      <c r="V29" s="157"/>
    </row>
    <row r="30" spans="2:22" ht="15" customHeight="1" x14ac:dyDescent="0.15">
      <c r="B30" s="641"/>
      <c r="C30" s="30" t="s">
        <v>429</v>
      </c>
      <c r="D30" s="58">
        <v>0.9</v>
      </c>
      <c r="E30" s="360" t="s">
        <v>358</v>
      </c>
      <c r="F30" s="30">
        <v>1844</v>
      </c>
      <c r="G30" s="130">
        <f t="shared" si="14"/>
        <v>1659.6000000000001</v>
      </c>
      <c r="H30" s="142"/>
      <c r="I30" s="641"/>
      <c r="J30" s="30"/>
      <c r="K30" s="149"/>
      <c r="L30" s="149"/>
      <c r="M30" s="149"/>
      <c r="N30" s="130">
        <f t="shared" si="15"/>
        <v>0</v>
      </c>
      <c r="P30" s="222"/>
      <c r="Q30" s="126"/>
      <c r="R30" s="162"/>
      <c r="S30" s="126"/>
      <c r="T30" s="126"/>
      <c r="U30" s="127"/>
      <c r="V30" s="157"/>
    </row>
    <row r="31" spans="2:22" ht="15" customHeight="1" thickBot="1" x14ac:dyDescent="0.2">
      <c r="B31" s="641"/>
      <c r="C31" s="30" t="s">
        <v>430</v>
      </c>
      <c r="D31" s="58">
        <v>1.2</v>
      </c>
      <c r="E31" s="360" t="s">
        <v>359</v>
      </c>
      <c r="F31" s="30">
        <v>3922</v>
      </c>
      <c r="G31" s="130">
        <f t="shared" si="14"/>
        <v>4706.3999999999996</v>
      </c>
      <c r="H31" s="142"/>
      <c r="I31" s="742"/>
      <c r="J31" s="224" t="s">
        <v>191</v>
      </c>
      <c r="K31" s="153">
        <f>SUM(K28:K30)</f>
        <v>720</v>
      </c>
      <c r="L31" s="155">
        <f>SUM(L28:L30)</f>
        <v>0.8</v>
      </c>
      <c r="M31" s="156"/>
      <c r="N31" s="147">
        <f>SUM(N28:N30)</f>
        <v>8064</v>
      </c>
      <c r="P31" s="222"/>
      <c r="Q31" s="126"/>
      <c r="R31" s="162"/>
      <c r="S31" s="126"/>
      <c r="T31" s="126"/>
      <c r="U31" s="127"/>
      <c r="V31" s="157"/>
    </row>
    <row r="32" spans="2:22" ht="15" customHeight="1" x14ac:dyDescent="0.15">
      <c r="B32" s="641"/>
      <c r="C32" s="293" t="s">
        <v>431</v>
      </c>
      <c r="D32" s="252">
        <v>0.6</v>
      </c>
      <c r="E32" s="360" t="s">
        <v>358</v>
      </c>
      <c r="F32" s="293">
        <v>3816</v>
      </c>
      <c r="G32" s="130">
        <f t="shared" si="14"/>
        <v>2289.6</v>
      </c>
      <c r="H32" s="142"/>
      <c r="I32" s="121"/>
      <c r="J32" s="121"/>
      <c r="K32" s="121"/>
      <c r="L32" s="121"/>
      <c r="M32" s="121"/>
      <c r="N32" s="121"/>
      <c r="P32" s="222"/>
      <c r="Q32" s="126"/>
      <c r="R32" s="162"/>
      <c r="S32" s="126"/>
      <c r="T32" s="126"/>
      <c r="U32" s="127"/>
      <c r="V32" s="157"/>
    </row>
    <row r="33" spans="2:22" ht="15" customHeight="1" thickBot="1" x14ac:dyDescent="0.2">
      <c r="B33" s="641"/>
      <c r="C33" s="293"/>
      <c r="D33" s="293"/>
      <c r="E33" s="37"/>
      <c r="F33" s="293"/>
      <c r="G33" s="130">
        <f t="shared" si="14"/>
        <v>0</v>
      </c>
      <c r="H33" s="142"/>
      <c r="I33" s="115" t="s">
        <v>179</v>
      </c>
      <c r="J33" s="108"/>
      <c r="K33" s="108"/>
      <c r="L33" s="108"/>
      <c r="M33" s="108"/>
      <c r="P33" s="222"/>
      <c r="Q33" s="126"/>
      <c r="R33" s="162"/>
      <c r="S33" s="126"/>
      <c r="T33" s="126"/>
      <c r="U33" s="127"/>
      <c r="V33" s="157"/>
    </row>
    <row r="34" spans="2:22" ht="15" customHeight="1" thickBot="1" x14ac:dyDescent="0.2">
      <c r="B34" s="641"/>
      <c r="C34" s="30"/>
      <c r="D34" s="30"/>
      <c r="E34" s="37"/>
      <c r="F34" s="30"/>
      <c r="G34" s="130">
        <f t="shared" si="14"/>
        <v>0</v>
      </c>
      <c r="H34" s="142"/>
      <c r="I34" s="205" t="s">
        <v>167</v>
      </c>
      <c r="J34" s="384" t="s">
        <v>3</v>
      </c>
      <c r="K34" s="763" t="s">
        <v>168</v>
      </c>
      <c r="L34" s="764"/>
      <c r="M34" s="385" t="s">
        <v>226</v>
      </c>
      <c r="N34" s="386" t="s">
        <v>192</v>
      </c>
      <c r="P34" s="225" t="s">
        <v>172</v>
      </c>
      <c r="Q34" s="159"/>
      <c r="R34" s="159"/>
      <c r="S34" s="159"/>
      <c r="T34" s="159"/>
      <c r="U34" s="161"/>
      <c r="V34" s="160">
        <f>SUM(V24:V33)</f>
        <v>5284</v>
      </c>
    </row>
    <row r="35" spans="2:22" ht="15" customHeight="1" x14ac:dyDescent="0.15">
      <c r="B35" s="641"/>
      <c r="C35" s="30"/>
      <c r="D35" s="30"/>
      <c r="E35" s="37"/>
      <c r="F35" s="30"/>
      <c r="G35" s="130">
        <f t="shared" si="14"/>
        <v>0</v>
      </c>
      <c r="H35" s="142"/>
      <c r="I35" s="748" t="s">
        <v>0</v>
      </c>
      <c r="J35" s="139" t="s">
        <v>378</v>
      </c>
      <c r="K35" s="747">
        <v>2160000</v>
      </c>
      <c r="L35" s="747"/>
      <c r="M35" s="378">
        <v>100</v>
      </c>
      <c r="N35" s="213">
        <f>+K35/M35*10*0.3*0.014</f>
        <v>907.2</v>
      </c>
    </row>
    <row r="36" spans="2:22" ht="15" customHeight="1" thickBot="1" x14ac:dyDescent="0.2">
      <c r="B36" s="641"/>
      <c r="C36" s="30"/>
      <c r="D36" s="30"/>
      <c r="E36" s="37"/>
      <c r="F36" s="30"/>
      <c r="G36" s="130">
        <f t="shared" si="14"/>
        <v>0</v>
      </c>
      <c r="H36" s="142"/>
      <c r="I36" s="749"/>
      <c r="J36" s="139" t="s">
        <v>365</v>
      </c>
      <c r="K36" s="747">
        <v>2160000</v>
      </c>
      <c r="L36" s="747"/>
      <c r="M36" s="378">
        <v>100</v>
      </c>
      <c r="N36" s="213">
        <f>+K36/M36*10*0.3*0.014</f>
        <v>907.2</v>
      </c>
      <c r="P36" s="115" t="s">
        <v>173</v>
      </c>
      <c r="Q36" s="108"/>
      <c r="R36" s="108"/>
      <c r="S36" s="108"/>
      <c r="T36" s="108"/>
    </row>
    <row r="37" spans="2:22" ht="15" customHeight="1" x14ac:dyDescent="0.15">
      <c r="B37" s="641"/>
      <c r="C37" s="30"/>
      <c r="D37" s="30"/>
      <c r="E37" s="37"/>
      <c r="F37" s="30"/>
      <c r="G37" s="130">
        <f t="shared" si="14"/>
        <v>0</v>
      </c>
      <c r="H37" s="142"/>
      <c r="I37" s="749"/>
      <c r="J37" s="139" t="s">
        <v>379</v>
      </c>
      <c r="K37" s="747">
        <v>7000</v>
      </c>
      <c r="L37" s="747"/>
      <c r="M37" s="378">
        <v>100</v>
      </c>
      <c r="N37" s="213">
        <f>K37/M37*10</f>
        <v>700</v>
      </c>
      <c r="O37" s="154"/>
      <c r="P37" s="205" t="s">
        <v>166</v>
      </c>
      <c r="Q37" s="765" t="s">
        <v>174</v>
      </c>
      <c r="R37" s="765"/>
      <c r="S37" s="212" t="s">
        <v>177</v>
      </c>
      <c r="T37" s="212" t="s">
        <v>176</v>
      </c>
      <c r="U37" s="283" t="s">
        <v>226</v>
      </c>
      <c r="V37" s="226" t="s">
        <v>192</v>
      </c>
    </row>
    <row r="38" spans="2:22" ht="15" customHeight="1" thickBot="1" x14ac:dyDescent="0.2">
      <c r="B38" s="740"/>
      <c r="C38" s="131" t="s">
        <v>112</v>
      </c>
      <c r="D38" s="131"/>
      <c r="E38" s="131"/>
      <c r="F38" s="131"/>
      <c r="G38" s="132">
        <f>SUM(G28:G37)</f>
        <v>13449.6</v>
      </c>
      <c r="H38" s="142"/>
      <c r="I38" s="749"/>
      <c r="J38" s="378"/>
      <c r="K38" s="379"/>
      <c r="L38" s="380"/>
      <c r="M38" s="5"/>
      <c r="N38" s="213"/>
      <c r="O38" s="154"/>
      <c r="P38" s="728" t="s">
        <v>175</v>
      </c>
      <c r="Q38" s="209" t="s">
        <v>360</v>
      </c>
      <c r="R38" s="361" t="s">
        <v>361</v>
      </c>
      <c r="S38" s="377">
        <v>263720</v>
      </c>
      <c r="T38" s="230">
        <v>1</v>
      </c>
      <c r="U38" s="210">
        <v>100</v>
      </c>
      <c r="V38" s="213">
        <f>+S38*T38/U38*10</f>
        <v>26372</v>
      </c>
    </row>
    <row r="39" spans="2:22" ht="15" customHeight="1" thickTop="1" x14ac:dyDescent="0.15">
      <c r="B39" s="741" t="s">
        <v>133</v>
      </c>
      <c r="C39" s="30" t="s">
        <v>432</v>
      </c>
      <c r="D39" s="319">
        <v>0.3</v>
      </c>
      <c r="E39" s="360" t="s">
        <v>358</v>
      </c>
      <c r="F39" s="30">
        <v>7590</v>
      </c>
      <c r="G39" s="130">
        <f>D39*F39</f>
        <v>2277</v>
      </c>
      <c r="H39" s="142"/>
      <c r="I39" s="749"/>
      <c r="J39" s="139"/>
      <c r="K39" s="747"/>
      <c r="L39" s="747"/>
      <c r="M39" s="378"/>
      <c r="N39" s="213"/>
      <c r="O39" s="154"/>
      <c r="P39" s="726"/>
      <c r="Q39" s="370"/>
      <c r="R39" s="366"/>
      <c r="S39" s="210"/>
      <c r="T39" s="367"/>
      <c r="U39" s="210"/>
      <c r="V39" s="213"/>
    </row>
    <row r="40" spans="2:22" ht="15" customHeight="1" x14ac:dyDescent="0.15">
      <c r="B40" s="641"/>
      <c r="C40" s="30" t="s">
        <v>428</v>
      </c>
      <c r="D40" s="58">
        <v>0.6</v>
      </c>
      <c r="E40" s="360" t="s">
        <v>359</v>
      </c>
      <c r="F40" s="30">
        <v>3459</v>
      </c>
      <c r="G40" s="130">
        <f>D40*F40</f>
        <v>2075.4</v>
      </c>
      <c r="H40" s="142"/>
      <c r="I40" s="749"/>
      <c r="J40" s="139"/>
      <c r="K40" s="747"/>
      <c r="L40" s="747"/>
      <c r="M40" s="378"/>
      <c r="N40" s="213"/>
      <c r="O40" s="154"/>
      <c r="P40" s="726"/>
      <c r="Q40" s="209"/>
      <c r="R40" s="229"/>
      <c r="S40" s="210"/>
      <c r="T40" s="230"/>
      <c r="U40" s="210"/>
      <c r="V40" s="213"/>
    </row>
    <row r="41" spans="2:22" ht="15" customHeight="1" x14ac:dyDescent="0.15">
      <c r="B41" s="641"/>
      <c r="C41" s="30" t="s">
        <v>429</v>
      </c>
      <c r="D41" s="58">
        <v>0.6</v>
      </c>
      <c r="E41" s="360" t="s">
        <v>359</v>
      </c>
      <c r="F41" s="30">
        <v>4576</v>
      </c>
      <c r="G41" s="130">
        <f t="shared" ref="G41:G47" si="16">D41*F41</f>
        <v>2745.6</v>
      </c>
      <c r="H41" s="142"/>
      <c r="I41" s="749"/>
      <c r="J41" s="139"/>
      <c r="K41" s="747"/>
      <c r="L41" s="747"/>
      <c r="M41" s="378"/>
      <c r="N41" s="213"/>
      <c r="O41" s="154"/>
      <c r="P41" s="726"/>
      <c r="Q41" s="209"/>
      <c r="R41" s="229"/>
      <c r="S41" s="210"/>
      <c r="T41" s="230"/>
      <c r="U41" s="210"/>
      <c r="V41" s="213"/>
    </row>
    <row r="42" spans="2:22" ht="15" customHeight="1" thickBot="1" x14ac:dyDescent="0.2">
      <c r="B42" s="641"/>
      <c r="C42" s="293" t="s">
        <v>433</v>
      </c>
      <c r="D42" s="293">
        <v>0.6</v>
      </c>
      <c r="E42" s="360" t="s">
        <v>359</v>
      </c>
      <c r="F42" s="293">
        <v>5152</v>
      </c>
      <c r="G42" s="130">
        <f t="shared" si="16"/>
        <v>3091.2</v>
      </c>
      <c r="H42" s="142"/>
      <c r="I42" s="750"/>
      <c r="J42" s="206" t="s">
        <v>113</v>
      </c>
      <c r="K42" s="751"/>
      <c r="L42" s="752"/>
      <c r="M42" s="207"/>
      <c r="N42" s="211">
        <f>SUM(N35:N41)</f>
        <v>2514.4</v>
      </c>
      <c r="O42" s="154"/>
      <c r="P42" s="726"/>
      <c r="Q42" s="209"/>
      <c r="R42" s="229"/>
      <c r="S42" s="210"/>
      <c r="T42" s="230"/>
      <c r="U42" s="210"/>
      <c r="V42" s="213"/>
    </row>
    <row r="43" spans="2:22" ht="15" customHeight="1" thickTop="1" x14ac:dyDescent="0.15">
      <c r="B43" s="641"/>
      <c r="C43" s="293" t="s">
        <v>434</v>
      </c>
      <c r="D43" s="293">
        <v>0.6</v>
      </c>
      <c r="E43" s="360" t="s">
        <v>359</v>
      </c>
      <c r="F43" s="293">
        <v>5195</v>
      </c>
      <c r="G43" s="130">
        <f t="shared" si="16"/>
        <v>3117</v>
      </c>
      <c r="H43" s="142"/>
      <c r="I43" s="757" t="s">
        <v>169</v>
      </c>
      <c r="J43" s="375" t="s">
        <v>380</v>
      </c>
      <c r="K43" s="768">
        <v>4100</v>
      </c>
      <c r="L43" s="768"/>
      <c r="M43" s="382">
        <v>100</v>
      </c>
      <c r="N43" s="376">
        <f>+K43/M43*10</f>
        <v>410</v>
      </c>
      <c r="O43" s="154"/>
      <c r="P43" s="726"/>
      <c r="Q43" s="209"/>
      <c r="R43" s="229"/>
      <c r="S43" s="210"/>
      <c r="T43" s="230"/>
      <c r="U43" s="210"/>
      <c r="V43" s="213"/>
    </row>
    <row r="44" spans="2:22" ht="15" customHeight="1" thickBot="1" x14ac:dyDescent="0.2">
      <c r="B44" s="641"/>
      <c r="C44" s="30" t="s">
        <v>435</v>
      </c>
      <c r="D44" s="30">
        <v>1.2</v>
      </c>
      <c r="E44" s="360" t="s">
        <v>359</v>
      </c>
      <c r="F44" s="30">
        <v>2754</v>
      </c>
      <c r="G44" s="130">
        <f t="shared" si="16"/>
        <v>3304.7999999999997</v>
      </c>
      <c r="H44" s="142"/>
      <c r="I44" s="758"/>
      <c r="J44" s="209"/>
      <c r="K44" s="747"/>
      <c r="L44" s="747"/>
      <c r="M44" s="378"/>
      <c r="N44" s="213"/>
      <c r="O44" s="154"/>
      <c r="P44" s="729"/>
      <c r="Q44" s="214" t="s">
        <v>178</v>
      </c>
      <c r="R44" s="215"/>
      <c r="S44" s="215"/>
      <c r="T44" s="215"/>
      <c r="U44" s="215"/>
      <c r="V44" s="216">
        <f>SUM(V38:V43)</f>
        <v>26372</v>
      </c>
    </row>
    <row r="45" spans="2:22" ht="15" customHeight="1" thickTop="1" x14ac:dyDescent="0.15">
      <c r="B45" s="641"/>
      <c r="C45" s="30"/>
      <c r="D45" s="30"/>
      <c r="E45" s="37"/>
      <c r="F45" s="30"/>
      <c r="G45" s="130">
        <f t="shared" si="16"/>
        <v>0</v>
      </c>
      <c r="H45" s="142"/>
      <c r="I45" s="758"/>
      <c r="J45" s="139"/>
      <c r="K45" s="747"/>
      <c r="L45" s="747"/>
      <c r="M45" s="378"/>
      <c r="N45" s="213"/>
      <c r="O45" s="154"/>
      <c r="P45" s="725" t="s">
        <v>183</v>
      </c>
      <c r="Q45" s="722" t="s">
        <v>193</v>
      </c>
      <c r="R45" s="231" t="s">
        <v>182</v>
      </c>
      <c r="S45" s="209">
        <v>15600</v>
      </c>
      <c r="T45" s="230">
        <v>1</v>
      </c>
      <c r="U45" s="209">
        <v>100</v>
      </c>
      <c r="V45" s="213">
        <f>+S45*T45/U45*10</f>
        <v>1560</v>
      </c>
    </row>
    <row r="46" spans="2:22" ht="15" customHeight="1" thickBot="1" x14ac:dyDescent="0.2">
      <c r="B46" s="641"/>
      <c r="C46" s="30"/>
      <c r="D46" s="30"/>
      <c r="E46" s="30"/>
      <c r="F46" s="30"/>
      <c r="G46" s="130">
        <f t="shared" si="16"/>
        <v>0</v>
      </c>
      <c r="H46" s="142"/>
      <c r="I46" s="767"/>
      <c r="J46" s="206" t="s">
        <v>113</v>
      </c>
      <c r="K46" s="751"/>
      <c r="L46" s="752"/>
      <c r="M46" s="207"/>
      <c r="N46" s="211">
        <f>SUM(N43:N45)</f>
        <v>410</v>
      </c>
      <c r="O46" s="154"/>
      <c r="P46" s="726"/>
      <c r="Q46" s="723"/>
      <c r="R46" s="231"/>
      <c r="S46" s="209"/>
      <c r="T46" s="230"/>
      <c r="U46" s="209"/>
      <c r="V46" s="213"/>
    </row>
    <row r="47" spans="2:22" ht="15" customHeight="1" thickTop="1" x14ac:dyDescent="0.15">
      <c r="B47" s="641"/>
      <c r="C47" s="30"/>
      <c r="D47" s="30"/>
      <c r="E47" s="30"/>
      <c r="F47" s="30"/>
      <c r="G47" s="130">
        <f t="shared" si="16"/>
        <v>0</v>
      </c>
      <c r="H47" s="142"/>
      <c r="I47" s="757" t="s">
        <v>170</v>
      </c>
      <c r="J47" s="208"/>
      <c r="K47" s="766"/>
      <c r="L47" s="766"/>
      <c r="M47" s="381"/>
      <c r="N47" s="227"/>
      <c r="O47" s="154"/>
      <c r="P47" s="726"/>
      <c r="Q47" s="723"/>
      <c r="R47" s="231"/>
      <c r="S47" s="209"/>
      <c r="T47" s="209"/>
      <c r="U47" s="139"/>
      <c r="V47" s="232"/>
    </row>
    <row r="48" spans="2:22" ht="15" customHeight="1" x14ac:dyDescent="0.15">
      <c r="B48" s="641"/>
      <c r="C48" s="30"/>
      <c r="D48" s="30"/>
      <c r="E48" s="30"/>
      <c r="F48" s="30"/>
      <c r="G48" s="130">
        <f t="shared" ref="G48:G50" si="17">D48*F48</f>
        <v>0</v>
      </c>
      <c r="H48" s="142"/>
      <c r="I48" s="758"/>
      <c r="J48" s="209"/>
      <c r="K48" s="747"/>
      <c r="L48" s="747"/>
      <c r="M48" s="378"/>
      <c r="N48" s="213"/>
      <c r="O48" s="154"/>
      <c r="P48" s="726"/>
      <c r="Q48" s="723"/>
      <c r="R48" s="231"/>
      <c r="S48" s="209"/>
      <c r="T48" s="230"/>
      <c r="U48" s="209"/>
      <c r="V48" s="213"/>
    </row>
    <row r="49" spans="2:22" ht="15" customHeight="1" thickBot="1" x14ac:dyDescent="0.2">
      <c r="B49" s="740"/>
      <c r="C49" s="133" t="s">
        <v>113</v>
      </c>
      <c r="D49" s="134"/>
      <c r="E49" s="134"/>
      <c r="F49" s="134"/>
      <c r="G49" s="135">
        <f>SUM(G39:G48)</f>
        <v>16611</v>
      </c>
      <c r="H49" s="142"/>
      <c r="I49" s="758"/>
      <c r="J49" s="139"/>
      <c r="K49" s="747"/>
      <c r="L49" s="747"/>
      <c r="M49" s="378"/>
      <c r="N49" s="213"/>
      <c r="O49" s="154"/>
      <c r="P49" s="726"/>
      <c r="Q49" s="724"/>
      <c r="R49" s="231"/>
      <c r="S49" s="209"/>
      <c r="T49" s="209"/>
      <c r="U49" s="139"/>
      <c r="V49" s="232"/>
    </row>
    <row r="50" spans="2:22" ht="15" customHeight="1" thickTop="1" thickBot="1" x14ac:dyDescent="0.2">
      <c r="B50" s="741" t="s">
        <v>29</v>
      </c>
      <c r="C50" s="30" t="s">
        <v>432</v>
      </c>
      <c r="D50" s="319">
        <v>0.08</v>
      </c>
      <c r="E50" s="360" t="s">
        <v>359</v>
      </c>
      <c r="F50" s="30">
        <v>29604</v>
      </c>
      <c r="G50" s="130">
        <f t="shared" si="17"/>
        <v>2368.3200000000002</v>
      </c>
      <c r="H50" s="142"/>
      <c r="I50" s="767"/>
      <c r="J50" s="206" t="s">
        <v>113</v>
      </c>
      <c r="K50" s="751"/>
      <c r="L50" s="752"/>
      <c r="M50" s="207"/>
      <c r="N50" s="211">
        <f>SUM(N47:N49)</f>
        <v>0</v>
      </c>
      <c r="O50" s="154"/>
      <c r="P50" s="726"/>
      <c r="Q50" s="214" t="s">
        <v>178</v>
      </c>
      <c r="R50" s="215"/>
      <c r="S50" s="215"/>
      <c r="T50" s="215"/>
      <c r="U50" s="215"/>
      <c r="V50" s="216">
        <f>SUM(V45:V49)</f>
        <v>1560</v>
      </c>
    </row>
    <row r="51" spans="2:22" ht="15" customHeight="1" thickTop="1" x14ac:dyDescent="0.15">
      <c r="B51" s="641"/>
      <c r="C51" s="30"/>
      <c r="D51" s="58"/>
      <c r="E51" s="37"/>
      <c r="F51" s="30"/>
      <c r="G51" s="130"/>
      <c r="H51" s="142"/>
      <c r="I51" s="757" t="s">
        <v>171</v>
      </c>
      <c r="J51" s="378" t="s">
        <v>182</v>
      </c>
      <c r="K51" s="759">
        <v>5000</v>
      </c>
      <c r="L51" s="760"/>
      <c r="M51" s="217">
        <v>100</v>
      </c>
      <c r="N51" s="213">
        <f>+K51/M51*10</f>
        <v>500</v>
      </c>
      <c r="O51" s="154"/>
      <c r="P51" s="726"/>
      <c r="Q51" s="722" t="s">
        <v>194</v>
      </c>
      <c r="R51" s="231" t="s">
        <v>182</v>
      </c>
      <c r="S51" s="209">
        <v>25000</v>
      </c>
      <c r="T51" s="230">
        <v>1</v>
      </c>
      <c r="U51" s="209">
        <v>100</v>
      </c>
      <c r="V51" s="213">
        <f>+S51*T51/U51*10</f>
        <v>2500</v>
      </c>
    </row>
    <row r="52" spans="2:22" ht="15" customHeight="1" x14ac:dyDescent="0.15">
      <c r="B52" s="641"/>
      <c r="C52" s="30"/>
      <c r="D52" s="30"/>
      <c r="E52" s="37"/>
      <c r="F52" s="30"/>
      <c r="G52" s="130"/>
      <c r="H52" s="142"/>
      <c r="I52" s="758"/>
      <c r="J52" s="209"/>
      <c r="K52" s="755"/>
      <c r="L52" s="756"/>
      <c r="M52" s="217"/>
      <c r="N52" s="213"/>
      <c r="O52" s="154"/>
      <c r="P52" s="726"/>
      <c r="Q52" s="723"/>
      <c r="R52" s="231"/>
      <c r="S52" s="209"/>
      <c r="T52" s="230"/>
      <c r="U52" s="209"/>
      <c r="V52" s="213"/>
    </row>
    <row r="53" spans="2:22" ht="14.25" thickBot="1" x14ac:dyDescent="0.2">
      <c r="B53" s="740"/>
      <c r="C53" s="133" t="s">
        <v>113</v>
      </c>
      <c r="D53" s="134"/>
      <c r="E53" s="134"/>
      <c r="F53" s="134"/>
      <c r="G53" s="135">
        <f>SUM(G50:G52)</f>
        <v>2368.3200000000002</v>
      </c>
      <c r="I53" s="758"/>
      <c r="J53" s="209"/>
      <c r="K53" s="755"/>
      <c r="L53" s="756"/>
      <c r="M53" s="217"/>
      <c r="N53" s="213"/>
      <c r="O53" s="154"/>
      <c r="P53" s="726"/>
      <c r="Q53" s="723"/>
      <c r="R53" s="231"/>
      <c r="S53" s="209"/>
      <c r="T53" s="209"/>
      <c r="U53" s="139"/>
      <c r="V53" s="232"/>
    </row>
    <row r="54" spans="2:22" ht="14.25" thickTop="1" x14ac:dyDescent="0.15">
      <c r="B54" s="741" t="s">
        <v>135</v>
      </c>
      <c r="C54" s="30" t="s">
        <v>428</v>
      </c>
      <c r="D54" s="319">
        <v>0.45</v>
      </c>
      <c r="E54" s="37" t="s">
        <v>114</v>
      </c>
      <c r="F54" s="30">
        <v>11526</v>
      </c>
      <c r="G54" s="130">
        <f>D54*F54</f>
        <v>5186.7</v>
      </c>
      <c r="I54" s="758"/>
      <c r="J54" s="209"/>
      <c r="K54" s="755"/>
      <c r="L54" s="756"/>
      <c r="M54" s="217"/>
      <c r="N54" s="213"/>
      <c r="O54" s="154"/>
      <c r="P54" s="726"/>
      <c r="Q54" s="723"/>
      <c r="R54" s="231"/>
      <c r="S54" s="209"/>
      <c r="T54" s="230"/>
      <c r="U54" s="209"/>
      <c r="V54" s="213"/>
    </row>
    <row r="55" spans="2:22" x14ac:dyDescent="0.15">
      <c r="B55" s="641"/>
      <c r="C55" s="30"/>
      <c r="D55" s="30"/>
      <c r="E55" s="37"/>
      <c r="F55" s="30"/>
      <c r="G55" s="130">
        <f>D55*F55</f>
        <v>0</v>
      </c>
      <c r="I55" s="758"/>
      <c r="J55" s="209"/>
      <c r="K55" s="755"/>
      <c r="L55" s="756"/>
      <c r="M55" s="217"/>
      <c r="N55" s="228"/>
      <c r="O55" s="154"/>
      <c r="P55" s="726"/>
      <c r="Q55" s="724"/>
      <c r="R55" s="231"/>
      <c r="S55" s="209"/>
      <c r="T55" s="209"/>
      <c r="U55" s="139"/>
      <c r="V55" s="232"/>
    </row>
    <row r="56" spans="2:22" x14ac:dyDescent="0.15">
      <c r="B56" s="641"/>
      <c r="C56" s="30"/>
      <c r="D56" s="30"/>
      <c r="E56" s="37"/>
      <c r="F56" s="30"/>
      <c r="G56" s="130">
        <f>D56*F56</f>
        <v>0</v>
      </c>
      <c r="I56" s="748"/>
      <c r="J56" s="387" t="s">
        <v>113</v>
      </c>
      <c r="K56" s="761"/>
      <c r="L56" s="762"/>
      <c r="M56" s="388"/>
      <c r="N56" s="389">
        <f>SUM(N51:N55)</f>
        <v>500</v>
      </c>
      <c r="O56" s="154"/>
      <c r="P56" s="727"/>
      <c r="Q56" s="235" t="s">
        <v>178</v>
      </c>
      <c r="R56" s="236"/>
      <c r="S56" s="236"/>
      <c r="T56" s="236"/>
      <c r="U56" s="236"/>
      <c r="V56" s="237">
        <f>SUM(V51:V55)</f>
        <v>2500</v>
      </c>
    </row>
    <row r="57" spans="2:22" ht="14.25" thickBot="1" x14ac:dyDescent="0.2">
      <c r="B57" s="742"/>
      <c r="C57" s="136" t="s">
        <v>115</v>
      </c>
      <c r="D57" s="137"/>
      <c r="E57" s="137"/>
      <c r="F57" s="137"/>
      <c r="G57" s="138">
        <f>SUM(G54:G56)</f>
        <v>5186.7</v>
      </c>
      <c r="I57" s="745" t="s">
        <v>172</v>
      </c>
      <c r="J57" s="746"/>
      <c r="K57" s="753"/>
      <c r="L57" s="754"/>
      <c r="M57" s="390"/>
      <c r="N57" s="391">
        <f>SUM(N42,N46,N50,N56)</f>
        <v>3424.4</v>
      </c>
      <c r="O57" s="154"/>
      <c r="P57" s="720" t="s">
        <v>172</v>
      </c>
      <c r="Q57" s="721"/>
      <c r="R57" s="233"/>
      <c r="S57" s="233"/>
      <c r="T57" s="233"/>
      <c r="U57" s="233"/>
      <c r="V57" s="234">
        <f>SUM(V44,V50,V56)</f>
        <v>30432</v>
      </c>
    </row>
    <row r="58" spans="2:22" x14ac:dyDescent="0.15">
      <c r="O58" s="154"/>
      <c r="V58" s="31"/>
    </row>
    <row r="59" spans="2:22" x14ac:dyDescent="0.15">
      <c r="I59" s="154"/>
      <c r="J59" s="154"/>
      <c r="K59" s="154"/>
      <c r="L59" s="154"/>
      <c r="M59" s="154"/>
      <c r="N59" s="154"/>
      <c r="O59" s="154"/>
    </row>
    <row r="60" spans="2:22" x14ac:dyDescent="0.15">
      <c r="I60" s="154"/>
      <c r="J60" s="154"/>
      <c r="K60" s="154"/>
      <c r="L60" s="154"/>
      <c r="M60" s="154"/>
      <c r="N60" s="154"/>
      <c r="O60" s="154"/>
    </row>
    <row r="61" spans="2:22" x14ac:dyDescent="0.15">
      <c r="I61" s="154"/>
      <c r="J61" s="154"/>
      <c r="K61" s="154"/>
      <c r="L61" s="154"/>
      <c r="M61" s="154"/>
      <c r="N61" s="154"/>
      <c r="O61" s="154"/>
    </row>
    <row r="62" spans="2:22" x14ac:dyDescent="0.15">
      <c r="I62" s="154"/>
      <c r="J62" s="154"/>
      <c r="K62" s="154"/>
      <c r="L62" s="154"/>
      <c r="M62" s="154"/>
      <c r="N62" s="154"/>
      <c r="O62" s="154"/>
    </row>
    <row r="63" spans="2:22" x14ac:dyDescent="0.15">
      <c r="I63" s="154"/>
      <c r="J63" s="154"/>
      <c r="K63" s="154"/>
      <c r="L63" s="154"/>
      <c r="M63" s="154"/>
      <c r="N63" s="154"/>
      <c r="O63" s="154"/>
    </row>
    <row r="64" spans="2:22" x14ac:dyDescent="0.15">
      <c r="I64" s="154"/>
      <c r="J64" s="154"/>
      <c r="K64" s="154"/>
      <c r="L64" s="154"/>
      <c r="M64" s="154"/>
      <c r="N64" s="154"/>
      <c r="O64" s="154"/>
    </row>
    <row r="65" spans="9:15" s="31" customFormat="1" x14ac:dyDescent="0.15">
      <c r="I65" s="154"/>
      <c r="J65" s="154"/>
      <c r="K65" s="154"/>
      <c r="L65" s="154"/>
      <c r="M65" s="154"/>
      <c r="N65" s="154"/>
      <c r="O65" s="154"/>
    </row>
    <row r="66" spans="9:15" s="31" customFormat="1" x14ac:dyDescent="0.15">
      <c r="I66" s="154"/>
      <c r="J66" s="154"/>
      <c r="K66" s="154"/>
      <c r="L66" s="154"/>
      <c r="M66" s="154"/>
      <c r="N66" s="154"/>
      <c r="O66" s="154"/>
    </row>
    <row r="67" spans="9:15" s="31" customFormat="1" x14ac:dyDescent="0.15">
      <c r="I67" s="154"/>
      <c r="J67" s="154"/>
      <c r="K67" s="154"/>
      <c r="L67" s="154"/>
      <c r="M67" s="154"/>
      <c r="N67" s="154"/>
      <c r="O67" s="154"/>
    </row>
    <row r="68" spans="9:15" s="31" customFormat="1" x14ac:dyDescent="0.15">
      <c r="I68" s="154"/>
      <c r="J68" s="154"/>
      <c r="K68" s="154"/>
      <c r="L68" s="154"/>
      <c r="M68" s="154"/>
      <c r="N68" s="154"/>
      <c r="O68" s="154"/>
    </row>
    <row r="69" spans="9:15" s="31" customFormat="1" x14ac:dyDescent="0.15">
      <c r="I69" s="154"/>
      <c r="J69" s="154"/>
      <c r="K69" s="154"/>
      <c r="L69" s="154"/>
      <c r="M69" s="154"/>
      <c r="N69" s="154"/>
      <c r="O69" s="154"/>
    </row>
    <row r="70" spans="9:15" s="31" customFormat="1" x14ac:dyDescent="0.15">
      <c r="I70" s="154"/>
      <c r="J70" s="154"/>
      <c r="K70" s="154"/>
      <c r="L70" s="154"/>
      <c r="M70" s="154"/>
      <c r="N70" s="154"/>
      <c r="O70" s="154"/>
    </row>
    <row r="71" spans="9:15" s="31" customFormat="1" x14ac:dyDescent="0.15">
      <c r="I71" s="154"/>
      <c r="J71" s="154"/>
      <c r="K71" s="154"/>
      <c r="L71" s="154"/>
      <c r="M71" s="154"/>
      <c r="N71" s="154"/>
      <c r="O71" s="154"/>
    </row>
    <row r="72" spans="9:15" s="31" customFormat="1" x14ac:dyDescent="0.15">
      <c r="I72" s="154"/>
      <c r="J72" s="154"/>
      <c r="K72" s="154"/>
      <c r="L72" s="154"/>
      <c r="M72" s="154"/>
      <c r="N72" s="154"/>
      <c r="O72" s="154"/>
    </row>
    <row r="73" spans="9:15" s="31" customFormat="1" x14ac:dyDescent="0.15">
      <c r="I73" s="154"/>
      <c r="J73" s="154"/>
      <c r="K73" s="154"/>
      <c r="L73" s="154"/>
      <c r="M73" s="154"/>
      <c r="N73" s="154"/>
      <c r="O73" s="154"/>
    </row>
    <row r="74" spans="9:15" s="31" customFormat="1" x14ac:dyDescent="0.15">
      <c r="I74" s="154"/>
      <c r="J74" s="154"/>
      <c r="K74" s="154"/>
      <c r="L74" s="154"/>
      <c r="M74" s="154"/>
      <c r="N74" s="154"/>
      <c r="O74" s="154"/>
    </row>
    <row r="75" spans="9:15" s="31" customFormat="1" x14ac:dyDescent="0.15">
      <c r="I75" s="154"/>
      <c r="J75" s="154"/>
      <c r="K75" s="154"/>
      <c r="L75" s="154"/>
      <c r="M75" s="154"/>
      <c r="N75" s="154"/>
      <c r="O75" s="154"/>
    </row>
    <row r="76" spans="9:15" s="31" customFormat="1" x14ac:dyDescent="0.15">
      <c r="I76" s="154"/>
      <c r="J76" s="154"/>
      <c r="K76" s="154"/>
      <c r="L76" s="154"/>
      <c r="M76" s="154"/>
      <c r="N76" s="154"/>
      <c r="O76" s="154"/>
    </row>
    <row r="77" spans="9:15" s="31" customFormat="1" x14ac:dyDescent="0.15">
      <c r="I77" s="154"/>
      <c r="J77" s="154"/>
      <c r="K77" s="154"/>
      <c r="L77" s="154"/>
      <c r="M77" s="154"/>
      <c r="N77" s="154"/>
      <c r="O77" s="154"/>
    </row>
    <row r="78" spans="9:15" s="31" customFormat="1" x14ac:dyDescent="0.15">
      <c r="I78" s="154"/>
      <c r="J78" s="154"/>
      <c r="K78" s="154"/>
      <c r="L78" s="154"/>
      <c r="M78" s="154"/>
      <c r="N78" s="154"/>
      <c r="O78" s="154"/>
    </row>
    <row r="79" spans="9:15" s="31" customFormat="1" x14ac:dyDescent="0.15">
      <c r="I79" s="154"/>
      <c r="J79" s="154"/>
      <c r="K79" s="154"/>
      <c r="L79" s="154"/>
      <c r="M79" s="154"/>
      <c r="N79" s="154"/>
      <c r="O79" s="154"/>
    </row>
    <row r="80" spans="9:15" s="31" customFormat="1" x14ac:dyDescent="0.15">
      <c r="I80" s="154"/>
      <c r="J80" s="154"/>
      <c r="K80" s="154"/>
      <c r="L80" s="154"/>
      <c r="M80" s="154"/>
      <c r="N80" s="154"/>
      <c r="O80" s="154"/>
    </row>
    <row r="81" spans="2:15" s="31" customFormat="1" x14ac:dyDescent="0.15">
      <c r="H81" s="154"/>
      <c r="I81" s="154"/>
      <c r="J81" s="154"/>
      <c r="K81" s="154"/>
      <c r="L81" s="154"/>
      <c r="M81" s="154"/>
      <c r="N81" s="154"/>
      <c r="O81" s="154"/>
    </row>
    <row r="82" spans="2:15" s="31" customFormat="1" x14ac:dyDescent="0.15">
      <c r="H82" s="154"/>
      <c r="I82" s="154"/>
      <c r="J82" s="154"/>
      <c r="K82" s="154"/>
      <c r="L82" s="154"/>
      <c r="M82" s="154"/>
      <c r="N82" s="154"/>
      <c r="O82" s="154"/>
    </row>
    <row r="83" spans="2:15" s="31" customFormat="1" x14ac:dyDescent="0.15">
      <c r="B83" s="141"/>
      <c r="C83" s="142"/>
      <c r="D83" s="142"/>
      <c r="E83" s="142"/>
      <c r="F83" s="142"/>
      <c r="H83" s="154"/>
      <c r="I83" s="154"/>
      <c r="J83" s="154"/>
      <c r="K83" s="154"/>
      <c r="L83" s="154"/>
      <c r="M83" s="154"/>
      <c r="N83" s="154"/>
      <c r="O83" s="154"/>
    </row>
    <row r="84" spans="2:15" s="31" customFormat="1" x14ac:dyDescent="0.15">
      <c r="B84" s="141"/>
      <c r="C84" s="142"/>
      <c r="D84" s="142"/>
      <c r="E84" s="142"/>
      <c r="F84" s="142"/>
      <c r="H84" s="154"/>
      <c r="I84" s="154"/>
      <c r="J84" s="154"/>
      <c r="K84" s="154"/>
      <c r="L84" s="154"/>
      <c r="M84" s="154"/>
      <c r="N84" s="154"/>
      <c r="O84" s="154"/>
    </row>
    <row r="85" spans="2:15" s="31" customFormat="1" x14ac:dyDescent="0.15">
      <c r="H85" s="154"/>
      <c r="I85" s="154"/>
      <c r="J85" s="154"/>
      <c r="K85" s="154"/>
      <c r="L85" s="154"/>
      <c r="M85" s="154"/>
      <c r="N85" s="154"/>
      <c r="O85" s="154"/>
    </row>
    <row r="86" spans="2:15" s="31" customFormat="1" x14ac:dyDescent="0.15">
      <c r="H86" s="154"/>
      <c r="I86" s="154"/>
      <c r="J86" s="154"/>
      <c r="K86" s="154"/>
      <c r="L86" s="154"/>
      <c r="M86" s="154"/>
      <c r="N86" s="154"/>
      <c r="O86" s="154"/>
    </row>
    <row r="87" spans="2:15" s="31" customFormat="1" x14ac:dyDescent="0.15">
      <c r="H87" s="154"/>
      <c r="I87" s="154"/>
      <c r="J87" s="154"/>
      <c r="K87" s="154"/>
      <c r="L87" s="154"/>
      <c r="M87" s="154"/>
      <c r="N87" s="154"/>
      <c r="O87" s="154"/>
    </row>
    <row r="88" spans="2:15" s="31" customFormat="1" x14ac:dyDescent="0.15">
      <c r="H88" s="154"/>
      <c r="I88" s="154"/>
      <c r="J88" s="154"/>
      <c r="K88" s="154"/>
      <c r="L88" s="154"/>
      <c r="M88" s="154"/>
      <c r="N88" s="154"/>
      <c r="O88" s="154"/>
    </row>
    <row r="89" spans="2:15" s="31" customFormat="1" x14ac:dyDescent="0.15">
      <c r="H89" s="154"/>
      <c r="I89" s="154"/>
      <c r="J89" s="154"/>
      <c r="K89" s="154"/>
      <c r="L89" s="154"/>
      <c r="M89" s="154"/>
      <c r="N89" s="154"/>
      <c r="O89" s="154"/>
    </row>
    <row r="90" spans="2:15" s="31" customFormat="1" x14ac:dyDescent="0.15">
      <c r="H90" s="154"/>
      <c r="I90" s="154"/>
      <c r="J90" s="154"/>
      <c r="K90" s="154"/>
      <c r="L90" s="154"/>
      <c r="M90" s="154"/>
      <c r="N90" s="154"/>
      <c r="O90" s="154"/>
    </row>
    <row r="91" spans="2:15" s="31" customFormat="1" x14ac:dyDescent="0.15">
      <c r="H91" s="154"/>
      <c r="I91" s="154"/>
      <c r="J91" s="154"/>
      <c r="K91" s="154"/>
      <c r="L91" s="154"/>
      <c r="M91" s="154"/>
      <c r="N91" s="154"/>
      <c r="O91" s="154"/>
    </row>
    <row r="92" spans="2:15" s="31" customFormat="1" x14ac:dyDescent="0.15">
      <c r="H92" s="154"/>
      <c r="I92" s="154"/>
      <c r="J92" s="154"/>
      <c r="K92" s="154"/>
      <c r="L92" s="154"/>
      <c r="M92" s="154"/>
      <c r="N92" s="154"/>
      <c r="O92" s="154"/>
    </row>
    <row r="93" spans="2:15" s="31" customFormat="1" x14ac:dyDescent="0.15">
      <c r="H93" s="154"/>
      <c r="I93" s="154"/>
      <c r="J93" s="154"/>
      <c r="K93" s="154"/>
      <c r="L93" s="154"/>
      <c r="M93" s="154"/>
      <c r="N93" s="154"/>
      <c r="O93" s="154"/>
    </row>
    <row r="94" spans="2:15" s="31" customFormat="1" x14ac:dyDescent="0.15">
      <c r="H94" s="154"/>
      <c r="I94" s="154"/>
      <c r="J94" s="154"/>
      <c r="K94" s="154"/>
      <c r="L94" s="154"/>
      <c r="M94" s="154"/>
      <c r="N94" s="154"/>
      <c r="O94" s="154"/>
    </row>
    <row r="95" spans="2:15" s="31" customFormat="1" x14ac:dyDescent="0.15">
      <c r="H95" s="154"/>
      <c r="I95" s="154"/>
      <c r="J95" s="154"/>
      <c r="K95" s="154"/>
      <c r="L95" s="154"/>
      <c r="M95" s="154"/>
      <c r="N95" s="154"/>
      <c r="O95" s="154"/>
    </row>
    <row r="96" spans="2:15" s="31" customFormat="1" x14ac:dyDescent="0.15">
      <c r="H96" s="154"/>
      <c r="I96" s="154"/>
      <c r="J96" s="154"/>
      <c r="K96" s="154"/>
      <c r="L96" s="154"/>
      <c r="M96" s="154"/>
      <c r="N96" s="154"/>
      <c r="O96" s="154"/>
    </row>
    <row r="97" spans="9:15" s="31" customFormat="1" x14ac:dyDescent="0.15">
      <c r="I97" s="154"/>
      <c r="J97" s="154"/>
      <c r="K97" s="154"/>
      <c r="L97" s="154"/>
      <c r="M97" s="154"/>
      <c r="N97" s="154"/>
      <c r="O97" s="154"/>
    </row>
    <row r="98" spans="9:15" s="31" customFormat="1" x14ac:dyDescent="0.15">
      <c r="I98" s="154"/>
      <c r="J98" s="154"/>
      <c r="K98" s="154"/>
      <c r="L98" s="154"/>
      <c r="M98" s="154"/>
      <c r="N98" s="154"/>
      <c r="O98" s="154"/>
    </row>
    <row r="99" spans="9:15" s="31" customFormat="1" x14ac:dyDescent="0.15">
      <c r="I99" s="154"/>
      <c r="J99" s="154"/>
      <c r="K99" s="154"/>
      <c r="L99" s="154"/>
      <c r="M99" s="154"/>
      <c r="N99" s="154"/>
      <c r="O99" s="154"/>
    </row>
    <row r="100" spans="9:15" s="31" customFormat="1" x14ac:dyDescent="0.15">
      <c r="I100" s="154"/>
      <c r="J100" s="154"/>
      <c r="K100" s="154"/>
      <c r="L100" s="154"/>
      <c r="M100" s="154"/>
      <c r="N100" s="154"/>
      <c r="O100" s="154"/>
    </row>
    <row r="101" spans="9:15" s="31" customFormat="1" x14ac:dyDescent="0.15">
      <c r="I101" s="154"/>
      <c r="J101" s="154"/>
      <c r="K101" s="154"/>
      <c r="L101" s="154"/>
      <c r="M101" s="154"/>
      <c r="N101" s="154"/>
      <c r="O101" s="154"/>
    </row>
    <row r="102" spans="9:15" s="31" customFormat="1" x14ac:dyDescent="0.15">
      <c r="I102" s="154"/>
      <c r="J102" s="154"/>
      <c r="K102" s="154"/>
      <c r="L102" s="154"/>
      <c r="M102" s="154"/>
      <c r="N102" s="154"/>
      <c r="O102" s="154"/>
    </row>
    <row r="103" spans="9:15" s="31" customFormat="1" x14ac:dyDescent="0.15">
      <c r="I103" s="154"/>
      <c r="J103" s="154"/>
      <c r="K103" s="154"/>
      <c r="L103" s="154"/>
      <c r="M103" s="154"/>
      <c r="N103" s="154"/>
      <c r="O103" s="154"/>
    </row>
    <row r="104" spans="9:15" s="31" customFormat="1" x14ac:dyDescent="0.15">
      <c r="I104" s="154"/>
      <c r="J104" s="154"/>
      <c r="K104" s="154"/>
      <c r="L104" s="154"/>
      <c r="M104" s="154"/>
      <c r="N104" s="154"/>
      <c r="O104" s="154"/>
    </row>
    <row r="105" spans="9:15" s="31" customFormat="1" x14ac:dyDescent="0.15">
      <c r="I105" s="154"/>
      <c r="J105" s="154"/>
      <c r="K105" s="154"/>
      <c r="L105" s="154"/>
      <c r="M105" s="154"/>
      <c r="N105" s="154"/>
      <c r="O105" s="154"/>
    </row>
    <row r="106" spans="9:15" s="31" customFormat="1" x14ac:dyDescent="0.15">
      <c r="I106" s="154"/>
      <c r="J106" s="154"/>
      <c r="K106" s="154"/>
      <c r="L106" s="154"/>
      <c r="M106" s="154"/>
      <c r="N106" s="154"/>
      <c r="O106" s="154"/>
    </row>
    <row r="107" spans="9:15" s="31" customFormat="1" x14ac:dyDescent="0.15">
      <c r="I107" s="154"/>
      <c r="J107" s="154"/>
      <c r="K107" s="154"/>
      <c r="L107" s="154"/>
      <c r="M107" s="154"/>
      <c r="N107" s="154"/>
      <c r="O107" s="154"/>
    </row>
    <row r="108" spans="9:15" s="31" customFormat="1" x14ac:dyDescent="0.15">
      <c r="I108" s="154"/>
      <c r="J108" s="154"/>
      <c r="K108" s="154"/>
      <c r="L108" s="154"/>
      <c r="M108" s="154"/>
      <c r="N108" s="154"/>
      <c r="O108" s="154"/>
    </row>
    <row r="109" spans="9:15" s="31" customFormat="1" x14ac:dyDescent="0.15">
      <c r="I109" s="154"/>
      <c r="J109" s="154"/>
      <c r="K109" s="154"/>
      <c r="L109" s="154"/>
      <c r="M109" s="154"/>
      <c r="N109" s="154"/>
      <c r="O109" s="154"/>
    </row>
    <row r="110" spans="9:15" s="31" customFormat="1" x14ac:dyDescent="0.15">
      <c r="I110" s="154"/>
      <c r="J110" s="154"/>
      <c r="K110" s="154"/>
      <c r="L110" s="154"/>
      <c r="M110" s="154"/>
      <c r="N110" s="154"/>
      <c r="O110" s="154"/>
    </row>
    <row r="111" spans="9:15" s="31" customFormat="1" x14ac:dyDescent="0.15">
      <c r="I111" s="154"/>
      <c r="J111" s="154"/>
      <c r="K111" s="154"/>
      <c r="L111" s="154"/>
      <c r="M111" s="154"/>
      <c r="N111" s="154"/>
      <c r="O111" s="154"/>
    </row>
    <row r="112" spans="9:15" s="31" customFormat="1" x14ac:dyDescent="0.15">
      <c r="I112" s="154"/>
      <c r="J112" s="154"/>
      <c r="K112" s="154"/>
      <c r="L112" s="154"/>
      <c r="M112" s="154"/>
      <c r="N112" s="154"/>
      <c r="O112" s="154"/>
    </row>
    <row r="113" spans="9:15" s="31" customFormat="1" x14ac:dyDescent="0.15">
      <c r="I113" s="154"/>
      <c r="J113" s="154"/>
      <c r="K113" s="154"/>
      <c r="L113" s="154"/>
      <c r="M113" s="154"/>
      <c r="N113" s="154"/>
      <c r="O113" s="154"/>
    </row>
    <row r="114" spans="9:15" s="31" customFormat="1" x14ac:dyDescent="0.15">
      <c r="I114" s="154"/>
      <c r="J114" s="154"/>
      <c r="K114" s="154"/>
      <c r="L114" s="154"/>
      <c r="M114" s="154"/>
      <c r="N114" s="154"/>
      <c r="O114" s="154"/>
    </row>
    <row r="115" spans="9:15" s="31" customFormat="1" x14ac:dyDescent="0.15">
      <c r="I115" s="154"/>
      <c r="J115" s="154"/>
      <c r="K115" s="154"/>
      <c r="L115" s="154"/>
      <c r="M115" s="154"/>
      <c r="N115" s="154"/>
      <c r="O115" s="154"/>
    </row>
    <row r="116" spans="9:15" s="31" customFormat="1" x14ac:dyDescent="0.15">
      <c r="I116" s="154"/>
      <c r="J116" s="154"/>
      <c r="K116" s="154"/>
      <c r="L116" s="154"/>
      <c r="M116" s="154"/>
      <c r="N116" s="154"/>
      <c r="O116" s="154"/>
    </row>
    <row r="117" spans="9:15" s="31" customFormat="1" x14ac:dyDescent="0.15">
      <c r="I117" s="154"/>
      <c r="J117" s="154"/>
      <c r="K117" s="154"/>
      <c r="L117" s="154"/>
      <c r="M117" s="154"/>
      <c r="N117" s="154"/>
      <c r="O117" s="154"/>
    </row>
    <row r="118" spans="9:15" s="31" customFormat="1" x14ac:dyDescent="0.15">
      <c r="I118" s="154"/>
      <c r="J118" s="154"/>
      <c r="K118" s="154"/>
      <c r="L118" s="154"/>
      <c r="M118" s="154"/>
      <c r="N118" s="154"/>
      <c r="O118" s="154"/>
    </row>
    <row r="119" spans="9:15" s="31" customFormat="1" x14ac:dyDescent="0.15">
      <c r="I119" s="154"/>
      <c r="J119" s="154"/>
      <c r="K119" s="154"/>
      <c r="L119" s="154"/>
      <c r="M119" s="154"/>
      <c r="N119" s="154"/>
      <c r="O119" s="154"/>
    </row>
    <row r="120" spans="9:15" s="31" customFormat="1" x14ac:dyDescent="0.15">
      <c r="I120" s="154"/>
      <c r="J120" s="154"/>
      <c r="K120" s="154"/>
      <c r="L120" s="154"/>
      <c r="M120" s="154"/>
      <c r="N120" s="154"/>
      <c r="O120" s="154"/>
    </row>
    <row r="121" spans="9:15" s="31" customFormat="1" x14ac:dyDescent="0.15">
      <c r="I121" s="154"/>
      <c r="J121" s="154"/>
      <c r="K121" s="154"/>
      <c r="L121" s="154"/>
      <c r="M121" s="154"/>
      <c r="N121" s="154"/>
      <c r="O121" s="154"/>
    </row>
    <row r="122" spans="9:15" s="31" customFormat="1" x14ac:dyDescent="0.15">
      <c r="I122" s="154"/>
      <c r="J122" s="154"/>
      <c r="K122" s="154"/>
      <c r="L122" s="154"/>
      <c r="M122" s="154"/>
      <c r="N122" s="154"/>
      <c r="O122" s="154"/>
    </row>
    <row r="123" spans="9:15" s="31" customFormat="1" x14ac:dyDescent="0.15">
      <c r="I123" s="154"/>
      <c r="J123" s="154"/>
      <c r="K123" s="154"/>
      <c r="L123" s="154"/>
      <c r="M123" s="154"/>
      <c r="N123" s="154"/>
      <c r="O123" s="154"/>
    </row>
    <row r="124" spans="9:15" s="31" customFormat="1" x14ac:dyDescent="0.15">
      <c r="I124" s="154"/>
      <c r="J124" s="154"/>
      <c r="K124" s="154"/>
      <c r="L124" s="154"/>
      <c r="M124" s="154"/>
      <c r="N124" s="154"/>
      <c r="O124" s="154"/>
    </row>
    <row r="125" spans="9:15" s="31" customFormat="1" x14ac:dyDescent="0.15">
      <c r="I125" s="154"/>
      <c r="J125" s="154"/>
      <c r="K125" s="154"/>
      <c r="L125" s="154"/>
      <c r="M125" s="154"/>
      <c r="N125" s="154"/>
      <c r="O125" s="154"/>
    </row>
    <row r="126" spans="9:15" s="31" customFormat="1" x14ac:dyDescent="0.15">
      <c r="I126" s="154"/>
      <c r="J126" s="154"/>
      <c r="K126" s="154"/>
      <c r="L126" s="154"/>
      <c r="M126" s="154"/>
      <c r="N126" s="154"/>
      <c r="O126" s="154"/>
    </row>
    <row r="127" spans="9:15" s="31" customFormat="1" x14ac:dyDescent="0.15">
      <c r="I127" s="154"/>
      <c r="J127" s="154"/>
      <c r="K127" s="154"/>
      <c r="L127" s="154"/>
      <c r="M127" s="154"/>
      <c r="N127" s="154"/>
      <c r="O127" s="154"/>
    </row>
    <row r="128" spans="9:15" s="31" customFormat="1" x14ac:dyDescent="0.15">
      <c r="I128" s="154"/>
      <c r="J128" s="154"/>
      <c r="K128" s="154"/>
      <c r="L128" s="154"/>
      <c r="M128" s="154"/>
      <c r="N128" s="154"/>
      <c r="O128" s="154"/>
    </row>
    <row r="129" spans="9:15" s="31" customFormat="1" x14ac:dyDescent="0.15">
      <c r="I129" s="154"/>
      <c r="J129" s="154"/>
      <c r="K129" s="154"/>
      <c r="L129" s="154"/>
      <c r="M129" s="154"/>
      <c r="N129" s="154"/>
      <c r="O129" s="154"/>
    </row>
    <row r="130" spans="9:15" s="31" customFormat="1" x14ac:dyDescent="0.15">
      <c r="I130" s="154"/>
      <c r="J130" s="154"/>
      <c r="K130" s="154"/>
      <c r="L130" s="154"/>
      <c r="M130" s="154"/>
      <c r="N130" s="154"/>
      <c r="O130" s="154"/>
    </row>
    <row r="131" spans="9:15" s="31" customFormat="1" x14ac:dyDescent="0.15">
      <c r="I131" s="154"/>
      <c r="J131" s="154"/>
      <c r="K131" s="154"/>
      <c r="L131" s="154"/>
      <c r="M131" s="154"/>
      <c r="N131" s="154"/>
      <c r="O131" s="154"/>
    </row>
    <row r="132" spans="9:15" s="31" customFormat="1" x14ac:dyDescent="0.15">
      <c r="I132" s="154"/>
      <c r="J132" s="154"/>
      <c r="K132" s="154"/>
      <c r="L132" s="154"/>
      <c r="M132" s="154"/>
      <c r="N132" s="154"/>
      <c r="O132" s="154"/>
    </row>
    <row r="133" spans="9:15" s="31" customFormat="1" x14ac:dyDescent="0.15">
      <c r="I133" s="154"/>
      <c r="J133" s="154"/>
      <c r="K133" s="154"/>
      <c r="L133" s="154"/>
      <c r="M133" s="154"/>
      <c r="N133" s="154"/>
      <c r="O133" s="154"/>
    </row>
    <row r="134" spans="9:15" s="31" customFormat="1" x14ac:dyDescent="0.15">
      <c r="I134" s="154"/>
      <c r="J134" s="154"/>
      <c r="K134" s="154"/>
      <c r="L134" s="154"/>
      <c r="M134" s="154"/>
      <c r="N134" s="154"/>
      <c r="O134" s="154"/>
    </row>
    <row r="135" spans="9:15" s="31" customFormat="1" x14ac:dyDescent="0.15">
      <c r="I135" s="154"/>
      <c r="J135" s="154"/>
      <c r="K135" s="154"/>
      <c r="L135" s="154"/>
      <c r="M135" s="154"/>
      <c r="N135" s="154"/>
      <c r="O135" s="154"/>
    </row>
    <row r="136" spans="9:15" s="31" customFormat="1" x14ac:dyDescent="0.15">
      <c r="I136" s="154"/>
      <c r="J136" s="154"/>
      <c r="K136" s="154"/>
      <c r="L136" s="154"/>
      <c r="M136" s="154"/>
      <c r="N136" s="154"/>
      <c r="O136" s="154"/>
    </row>
    <row r="137" spans="9:15" s="31" customFormat="1" x14ac:dyDescent="0.15">
      <c r="I137" s="154"/>
      <c r="J137" s="154"/>
      <c r="K137" s="154"/>
      <c r="L137" s="154"/>
      <c r="M137" s="154"/>
      <c r="N137" s="154"/>
      <c r="O137" s="154"/>
    </row>
    <row r="138" spans="9:15" s="31" customFormat="1" x14ac:dyDescent="0.15">
      <c r="I138" s="154"/>
      <c r="J138" s="154"/>
      <c r="K138" s="154"/>
      <c r="L138" s="154"/>
      <c r="M138" s="154"/>
      <c r="N138" s="154"/>
      <c r="O138" s="154"/>
    </row>
    <row r="139" spans="9:15" s="31" customFormat="1" x14ac:dyDescent="0.15">
      <c r="I139" s="154"/>
      <c r="J139" s="154"/>
      <c r="K139" s="154"/>
      <c r="L139" s="154"/>
      <c r="M139" s="154"/>
      <c r="N139" s="154"/>
    </row>
    <row r="140" spans="9:15" s="31" customFormat="1" x14ac:dyDescent="0.15">
      <c r="I140" s="154"/>
      <c r="J140" s="154"/>
      <c r="K140" s="154"/>
      <c r="L140" s="154"/>
      <c r="M140" s="154"/>
      <c r="N140" s="154"/>
    </row>
    <row r="141" spans="9:15" s="31" customFormat="1" x14ac:dyDescent="0.15">
      <c r="I141" s="154"/>
      <c r="J141" s="154"/>
      <c r="K141" s="154"/>
      <c r="L141" s="154"/>
      <c r="M141" s="154"/>
      <c r="N141" s="154"/>
    </row>
    <row r="142" spans="9:15" s="31" customFormat="1" x14ac:dyDescent="0.15">
      <c r="I142" s="154"/>
      <c r="J142" s="154"/>
      <c r="K142" s="154"/>
      <c r="L142" s="154"/>
      <c r="M142" s="154"/>
      <c r="N142" s="154"/>
    </row>
    <row r="143" spans="9:15" s="31" customFormat="1" x14ac:dyDescent="0.15">
      <c r="I143" s="154"/>
      <c r="J143" s="154"/>
      <c r="K143" s="154"/>
      <c r="L143" s="154"/>
      <c r="M143" s="154"/>
      <c r="N143" s="154"/>
    </row>
    <row r="144" spans="9:15" s="31" customFormat="1" x14ac:dyDescent="0.15">
      <c r="I144" s="154"/>
      <c r="J144" s="154"/>
      <c r="K144" s="154"/>
      <c r="L144" s="154"/>
      <c r="M144" s="154"/>
      <c r="N144" s="154"/>
    </row>
    <row r="145" spans="9:14" s="31" customFormat="1" x14ac:dyDescent="0.15">
      <c r="I145" s="154"/>
      <c r="J145" s="154"/>
      <c r="K145" s="154"/>
      <c r="L145" s="154"/>
      <c r="M145" s="154"/>
      <c r="N145" s="154"/>
    </row>
    <row r="146" spans="9:14" s="31" customFormat="1" x14ac:dyDescent="0.15">
      <c r="I146" s="154"/>
      <c r="J146" s="154"/>
      <c r="K146" s="154"/>
      <c r="L146" s="154"/>
      <c r="M146" s="154"/>
      <c r="N146" s="154"/>
    </row>
    <row r="147" spans="9:14" s="31" customFormat="1" x14ac:dyDescent="0.15">
      <c r="I147" s="154"/>
      <c r="J147" s="154"/>
      <c r="K147" s="154"/>
      <c r="L147" s="154"/>
      <c r="M147" s="154"/>
      <c r="N147" s="154"/>
    </row>
    <row r="148" spans="9:14" s="31" customFormat="1" x14ac:dyDescent="0.15">
      <c r="I148" s="154"/>
      <c r="J148" s="154"/>
      <c r="K148" s="154"/>
      <c r="L148" s="154"/>
      <c r="M148" s="154"/>
      <c r="N148" s="154"/>
    </row>
    <row r="149" spans="9:14" s="31" customFormat="1" x14ac:dyDescent="0.15">
      <c r="I149" s="154"/>
      <c r="J149" s="154"/>
      <c r="K149" s="154"/>
      <c r="L149" s="154"/>
      <c r="M149" s="154"/>
      <c r="N149" s="154"/>
    </row>
    <row r="150" spans="9:14" s="31" customFormat="1" x14ac:dyDescent="0.15">
      <c r="I150" s="154"/>
      <c r="J150" s="154"/>
      <c r="K150" s="154"/>
      <c r="L150" s="154"/>
      <c r="M150" s="154"/>
      <c r="N150" s="154"/>
    </row>
    <row r="151" spans="9:14" s="31" customFormat="1" x14ac:dyDescent="0.15">
      <c r="I151" s="154"/>
      <c r="J151" s="154"/>
      <c r="K151" s="154"/>
      <c r="L151" s="154"/>
      <c r="M151" s="154"/>
      <c r="N151" s="154"/>
    </row>
    <row r="152" spans="9:14" s="31" customFormat="1" x14ac:dyDescent="0.15">
      <c r="I152" s="154"/>
      <c r="J152" s="154"/>
      <c r="K152" s="154"/>
      <c r="L152" s="154"/>
      <c r="M152" s="154"/>
      <c r="N152" s="154"/>
    </row>
    <row r="153" spans="9:14" s="31" customFormat="1" x14ac:dyDescent="0.15">
      <c r="I153" s="154"/>
      <c r="J153" s="154"/>
      <c r="K153" s="154"/>
      <c r="L153" s="154"/>
      <c r="M153" s="154"/>
      <c r="N153" s="154"/>
    </row>
    <row r="154" spans="9:14" s="31" customFormat="1" x14ac:dyDescent="0.15">
      <c r="I154" s="154"/>
      <c r="J154" s="154"/>
      <c r="K154" s="154"/>
      <c r="L154" s="154"/>
      <c r="M154" s="154"/>
      <c r="N154" s="154"/>
    </row>
    <row r="155" spans="9:14" s="31" customFormat="1" x14ac:dyDescent="0.15">
      <c r="J155" s="154"/>
      <c r="K155" s="154"/>
      <c r="L155" s="154"/>
      <c r="M155" s="154"/>
      <c r="N155" s="154"/>
    </row>
    <row r="156" spans="9:14" s="31" customFormat="1" x14ac:dyDescent="0.15">
      <c r="J156" s="154"/>
      <c r="K156" s="154"/>
      <c r="L156" s="154"/>
      <c r="M156" s="154"/>
      <c r="N156" s="154"/>
    </row>
    <row r="172" spans="15:15" s="31" customFormat="1" x14ac:dyDescent="0.15">
      <c r="O172" s="154"/>
    </row>
    <row r="173" spans="15:15" s="31" customFormat="1" x14ac:dyDescent="0.15">
      <c r="O173" s="154"/>
    </row>
    <row r="174" spans="15:15" s="31" customFormat="1" x14ac:dyDescent="0.15">
      <c r="O174" s="154"/>
    </row>
    <row r="175" spans="15:15" s="31" customFormat="1" x14ac:dyDescent="0.15">
      <c r="O175" s="154"/>
    </row>
    <row r="176" spans="15:15" s="31" customFormat="1" x14ac:dyDescent="0.15">
      <c r="O176" s="154"/>
    </row>
    <row r="177" spans="15:15" s="31" customFormat="1" x14ac:dyDescent="0.15">
      <c r="O177" s="154"/>
    </row>
    <row r="178" spans="15:15" s="31" customFormat="1" x14ac:dyDescent="0.15">
      <c r="O178" s="154"/>
    </row>
    <row r="179" spans="15:15" s="31" customFormat="1" x14ac:dyDescent="0.15">
      <c r="O179" s="154"/>
    </row>
    <row r="180" spans="15:15" s="31" customFormat="1" x14ac:dyDescent="0.15">
      <c r="O180" s="154"/>
    </row>
    <row r="181" spans="15:15" s="31" customFormat="1" x14ac:dyDescent="0.15">
      <c r="O181" s="154"/>
    </row>
    <row r="182" spans="15:15" s="31" customFormat="1" x14ac:dyDescent="0.15">
      <c r="O182" s="154"/>
    </row>
    <row r="183" spans="15:15" s="31" customFormat="1" x14ac:dyDescent="0.15">
      <c r="O183" s="154"/>
    </row>
    <row r="184" spans="15:15" s="31" customFormat="1" x14ac:dyDescent="0.15">
      <c r="O184" s="154"/>
    </row>
    <row r="185" spans="15:15" s="31" customFormat="1" x14ac:dyDescent="0.15">
      <c r="O185" s="154"/>
    </row>
    <row r="186" spans="15:15" s="31" customFormat="1" x14ac:dyDescent="0.15">
      <c r="O186" s="154"/>
    </row>
    <row r="187" spans="15:15" s="31" customFormat="1" x14ac:dyDescent="0.15">
      <c r="O187" s="154"/>
    </row>
    <row r="188" spans="15:15" s="31" customFormat="1" x14ac:dyDescent="0.15">
      <c r="O188" s="154"/>
    </row>
    <row r="189" spans="15:15" s="31" customFormat="1" x14ac:dyDescent="0.15">
      <c r="O189" s="154"/>
    </row>
    <row r="190" spans="15:15" s="31" customFormat="1" x14ac:dyDescent="0.15">
      <c r="O190" s="154"/>
    </row>
    <row r="191" spans="15:15" s="31" customFormat="1" x14ac:dyDescent="0.15">
      <c r="O191" s="154"/>
    </row>
  </sheetData>
  <mergeCells count="70">
    <mergeCell ref="K50:L50"/>
    <mergeCell ref="K47:L47"/>
    <mergeCell ref="K48:L48"/>
    <mergeCell ref="K49:L49"/>
    <mergeCell ref="I43:I46"/>
    <mergeCell ref="I47:I50"/>
    <mergeCell ref="K43:L43"/>
    <mergeCell ref="K44:L44"/>
    <mergeCell ref="K34:L34"/>
    <mergeCell ref="K35:L35"/>
    <mergeCell ref="K36:L36"/>
    <mergeCell ref="K39:L39"/>
    <mergeCell ref="Q37:R37"/>
    <mergeCell ref="I57:J57"/>
    <mergeCell ref="K41:L41"/>
    <mergeCell ref="K37:L37"/>
    <mergeCell ref="I35:I42"/>
    <mergeCell ref="K42:L42"/>
    <mergeCell ref="K45:L45"/>
    <mergeCell ref="K46:L46"/>
    <mergeCell ref="K57:L57"/>
    <mergeCell ref="K54:L54"/>
    <mergeCell ref="K40:L40"/>
    <mergeCell ref="I51:I56"/>
    <mergeCell ref="K52:L52"/>
    <mergeCell ref="K53:L53"/>
    <mergeCell ref="K51:L51"/>
    <mergeCell ref="K55:L55"/>
    <mergeCell ref="K56:L56"/>
    <mergeCell ref="B54:B57"/>
    <mergeCell ref="B50:B53"/>
    <mergeCell ref="B5:B7"/>
    <mergeCell ref="B8:B11"/>
    <mergeCell ref="B12:B16"/>
    <mergeCell ref="B21:B24"/>
    <mergeCell ref="B17:B20"/>
    <mergeCell ref="B28:B38"/>
    <mergeCell ref="B39:B49"/>
    <mergeCell ref="I16:I19"/>
    <mergeCell ref="I20:I23"/>
    <mergeCell ref="I28:I31"/>
    <mergeCell ref="T14:U14"/>
    <mergeCell ref="T15:U15"/>
    <mergeCell ref="T18:U18"/>
    <mergeCell ref="T19:U19"/>
    <mergeCell ref="T20:U20"/>
    <mergeCell ref="T16:U16"/>
    <mergeCell ref="T17:U17"/>
    <mergeCell ref="I24:I27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5"/>
    <mergeCell ref="P57:Q57"/>
    <mergeCell ref="Q45:Q49"/>
    <mergeCell ref="Q51:Q55"/>
    <mergeCell ref="P45:P56"/>
    <mergeCell ref="P38:P44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100" workbookViewId="0"/>
  </sheetViews>
  <sheetFormatPr defaultRowHeight="13.5" x14ac:dyDescent="0.15"/>
  <cols>
    <col min="1" max="1" width="1.625" style="31" customWidth="1"/>
    <col min="2" max="2" width="18" style="31" customWidth="1"/>
    <col min="3" max="15" width="6.125" style="31" customWidth="1"/>
    <col min="16" max="16384" width="9" style="31"/>
  </cols>
  <sheetData>
    <row r="1" spans="2:15" ht="9.9499999999999993" customHeight="1" x14ac:dyDescent="0.15"/>
    <row r="2" spans="2:15" ht="24.95" customHeight="1" x14ac:dyDescent="0.15">
      <c r="B2" s="31" t="s">
        <v>312</v>
      </c>
    </row>
    <row r="3" spans="2:15" ht="20.100000000000001" customHeight="1" x14ac:dyDescent="0.15">
      <c r="D3" s="94" t="s">
        <v>195</v>
      </c>
      <c r="E3" s="93" t="s">
        <v>259</v>
      </c>
      <c r="F3" s="93"/>
      <c r="G3" s="94" t="s">
        <v>196</v>
      </c>
      <c r="H3" s="3" t="s">
        <v>357</v>
      </c>
      <c r="I3" s="93"/>
    </row>
    <row r="4" spans="2:15" ht="20.100000000000001" customHeight="1" thickBot="1" x14ac:dyDescent="0.2">
      <c r="B4" s="5" t="s">
        <v>209</v>
      </c>
      <c r="C4" s="5" t="s">
        <v>210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07" t="s">
        <v>251</v>
      </c>
      <c r="C5" s="311">
        <v>1</v>
      </c>
      <c r="D5" s="311">
        <v>2</v>
      </c>
      <c r="E5" s="311">
        <v>3</v>
      </c>
      <c r="F5" s="311">
        <v>4</v>
      </c>
      <c r="G5" s="311">
        <v>5</v>
      </c>
      <c r="H5" s="311">
        <v>6</v>
      </c>
      <c r="I5" s="311">
        <v>7</v>
      </c>
      <c r="J5" s="311">
        <v>8</v>
      </c>
      <c r="K5" s="311">
        <v>9</v>
      </c>
      <c r="L5" s="311">
        <v>10</v>
      </c>
      <c r="M5" s="311">
        <v>11</v>
      </c>
      <c r="N5" s="311">
        <v>12</v>
      </c>
      <c r="O5" s="128" t="s">
        <v>211</v>
      </c>
    </row>
    <row r="6" spans="2:15" ht="20.100000000000001" customHeight="1" x14ac:dyDescent="0.15">
      <c r="B6" s="312" t="s">
        <v>264</v>
      </c>
      <c r="C6" s="268">
        <v>1214</v>
      </c>
      <c r="D6" s="268">
        <v>1010</v>
      </c>
      <c r="E6" s="268">
        <v>1033</v>
      </c>
      <c r="F6" s="268">
        <v>1216</v>
      </c>
      <c r="G6" s="268">
        <v>1164</v>
      </c>
      <c r="H6" s="268">
        <v>958</v>
      </c>
      <c r="I6" s="268">
        <v>725</v>
      </c>
      <c r="J6" s="268">
        <v>702</v>
      </c>
      <c r="K6" s="268">
        <v>877</v>
      </c>
      <c r="L6" s="268">
        <v>913</v>
      </c>
      <c r="M6" s="268">
        <v>842</v>
      </c>
      <c r="N6" s="268">
        <v>969</v>
      </c>
      <c r="O6" s="129">
        <v>947</v>
      </c>
    </row>
    <row r="7" spans="2:15" ht="20.100000000000001" customHeight="1" x14ac:dyDescent="0.15">
      <c r="B7" s="312" t="s">
        <v>263</v>
      </c>
      <c r="C7" s="268">
        <v>1000</v>
      </c>
      <c r="D7" s="268">
        <v>989</v>
      </c>
      <c r="E7" s="268">
        <v>1037</v>
      </c>
      <c r="F7" s="268">
        <v>1479</v>
      </c>
      <c r="G7" s="268">
        <v>1245</v>
      </c>
      <c r="H7" s="268">
        <v>927</v>
      </c>
      <c r="I7" s="268">
        <v>577</v>
      </c>
      <c r="J7" s="268">
        <v>662</v>
      </c>
      <c r="K7" s="268">
        <v>879</v>
      </c>
      <c r="L7" s="268">
        <v>972</v>
      </c>
      <c r="M7" s="268">
        <v>909</v>
      </c>
      <c r="N7" s="268">
        <v>926</v>
      </c>
      <c r="O7" s="129">
        <v>938</v>
      </c>
    </row>
    <row r="8" spans="2:15" ht="20.100000000000001" customHeight="1" x14ac:dyDescent="0.15">
      <c r="B8" s="312" t="s">
        <v>262</v>
      </c>
      <c r="C8" s="268">
        <v>988</v>
      </c>
      <c r="D8" s="268">
        <v>1010</v>
      </c>
      <c r="E8" s="268">
        <v>1030</v>
      </c>
      <c r="F8" s="268">
        <v>1428</v>
      </c>
      <c r="G8" s="268">
        <v>1212</v>
      </c>
      <c r="H8" s="268">
        <v>1196</v>
      </c>
      <c r="I8" s="268">
        <v>955</v>
      </c>
      <c r="J8" s="268">
        <v>715</v>
      </c>
      <c r="K8" s="268">
        <v>935</v>
      </c>
      <c r="L8" s="268">
        <v>1127</v>
      </c>
      <c r="M8" s="268">
        <v>986</v>
      </c>
      <c r="N8" s="268">
        <v>1075</v>
      </c>
      <c r="O8" s="129">
        <v>1096</v>
      </c>
    </row>
    <row r="9" spans="2:15" ht="20.100000000000001" customHeight="1" x14ac:dyDescent="0.15">
      <c r="B9" s="312" t="s">
        <v>261</v>
      </c>
      <c r="C9" s="268">
        <v>998</v>
      </c>
      <c r="D9" s="268">
        <v>932</v>
      </c>
      <c r="E9" s="268">
        <v>1061</v>
      </c>
      <c r="F9" s="268">
        <v>1371</v>
      </c>
      <c r="G9" s="268">
        <v>1470</v>
      </c>
      <c r="H9" s="268">
        <v>1166</v>
      </c>
      <c r="I9" s="268">
        <v>920</v>
      </c>
      <c r="J9" s="268">
        <v>684</v>
      </c>
      <c r="K9" s="268">
        <v>846</v>
      </c>
      <c r="L9" s="268">
        <v>1146</v>
      </c>
      <c r="M9" s="268">
        <v>1046</v>
      </c>
      <c r="N9" s="268">
        <v>1182</v>
      </c>
      <c r="O9" s="129">
        <v>1059</v>
      </c>
    </row>
    <row r="10" spans="2:15" ht="20.100000000000001" customHeight="1" x14ac:dyDescent="0.15">
      <c r="B10" s="312" t="s">
        <v>260</v>
      </c>
      <c r="C10" s="268">
        <v>1492</v>
      </c>
      <c r="D10" s="268">
        <v>1084</v>
      </c>
      <c r="E10" s="268">
        <v>1082</v>
      </c>
      <c r="F10" s="268">
        <v>1523</v>
      </c>
      <c r="G10" s="268">
        <v>1368</v>
      </c>
      <c r="H10" s="268">
        <v>1118</v>
      </c>
      <c r="I10" s="268">
        <v>955</v>
      </c>
      <c r="J10" s="268">
        <v>746</v>
      </c>
      <c r="K10" s="268">
        <v>978</v>
      </c>
      <c r="L10" s="268">
        <v>1038</v>
      </c>
      <c r="M10" s="268">
        <v>1093</v>
      </c>
      <c r="N10" s="268">
        <v>1163</v>
      </c>
      <c r="O10" s="129">
        <v>1093</v>
      </c>
    </row>
    <row r="11" spans="2:15" ht="20.100000000000001" customHeight="1" thickBot="1" x14ac:dyDescent="0.2">
      <c r="B11" s="310" t="s">
        <v>212</v>
      </c>
      <c r="C11" s="308">
        <f>AVERAGE(C6:C10)</f>
        <v>1138.4000000000001</v>
      </c>
      <c r="D11" s="308">
        <f t="shared" ref="D11:O11" si="0">AVERAGE(D6:D10)</f>
        <v>1005</v>
      </c>
      <c r="E11" s="308">
        <f t="shared" si="0"/>
        <v>1048.5999999999999</v>
      </c>
      <c r="F11" s="308">
        <f t="shared" si="0"/>
        <v>1403.4</v>
      </c>
      <c r="G11" s="308">
        <f t="shared" si="0"/>
        <v>1291.8</v>
      </c>
      <c r="H11" s="308">
        <f t="shared" si="0"/>
        <v>1073</v>
      </c>
      <c r="I11" s="308">
        <f t="shared" si="0"/>
        <v>826.4</v>
      </c>
      <c r="J11" s="308">
        <f t="shared" si="0"/>
        <v>701.8</v>
      </c>
      <c r="K11" s="308">
        <f t="shared" si="0"/>
        <v>903</v>
      </c>
      <c r="L11" s="308">
        <f t="shared" si="0"/>
        <v>1039.2</v>
      </c>
      <c r="M11" s="308">
        <f t="shared" si="0"/>
        <v>975.2</v>
      </c>
      <c r="N11" s="308">
        <f t="shared" si="0"/>
        <v>1063</v>
      </c>
      <c r="O11" s="309">
        <f t="shared" si="0"/>
        <v>1026.5999999999999</v>
      </c>
    </row>
    <row r="12" spans="2:15" ht="20.100000000000001" customHeight="1" x14ac:dyDescent="0.15"/>
    <row r="13" spans="2:15" ht="20.100000000000001" customHeight="1" thickBot="1" x14ac:dyDescent="0.2">
      <c r="B13" s="5" t="s">
        <v>209</v>
      </c>
      <c r="C13" s="5" t="s">
        <v>252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07" t="s">
        <v>251</v>
      </c>
      <c r="C14" s="311">
        <v>1</v>
      </c>
      <c r="D14" s="311">
        <v>2</v>
      </c>
      <c r="E14" s="311">
        <v>3</v>
      </c>
      <c r="F14" s="311">
        <v>4</v>
      </c>
      <c r="G14" s="311">
        <v>5</v>
      </c>
      <c r="H14" s="311">
        <v>6</v>
      </c>
      <c r="I14" s="311">
        <v>7</v>
      </c>
      <c r="J14" s="311">
        <v>8</v>
      </c>
      <c r="K14" s="311">
        <v>9</v>
      </c>
      <c r="L14" s="311">
        <v>10</v>
      </c>
      <c r="M14" s="311">
        <v>11</v>
      </c>
      <c r="N14" s="311">
        <v>12</v>
      </c>
      <c r="O14" s="128" t="s">
        <v>211</v>
      </c>
    </row>
    <row r="15" spans="2:15" ht="20.100000000000001" customHeight="1" x14ac:dyDescent="0.15">
      <c r="B15" s="312" t="s">
        <v>264</v>
      </c>
      <c r="C15" s="268">
        <v>0</v>
      </c>
      <c r="D15" s="268">
        <v>0</v>
      </c>
      <c r="E15" s="268">
        <v>1311</v>
      </c>
      <c r="F15" s="268">
        <v>1373</v>
      </c>
      <c r="G15" s="268">
        <v>1182</v>
      </c>
      <c r="H15" s="268">
        <v>1173</v>
      </c>
      <c r="I15" s="268">
        <v>736</v>
      </c>
      <c r="J15" s="268">
        <v>704</v>
      </c>
      <c r="K15" s="268">
        <v>941</v>
      </c>
      <c r="L15" s="268">
        <v>1010</v>
      </c>
      <c r="M15" s="268">
        <v>0</v>
      </c>
      <c r="N15" s="268">
        <v>0</v>
      </c>
      <c r="O15" s="129">
        <v>969</v>
      </c>
    </row>
    <row r="16" spans="2:15" ht="20.100000000000001" customHeight="1" x14ac:dyDescent="0.15">
      <c r="B16" s="312" t="s">
        <v>263</v>
      </c>
      <c r="C16" s="268">
        <v>0</v>
      </c>
      <c r="D16" s="268">
        <v>0</v>
      </c>
      <c r="E16" s="268">
        <v>1430</v>
      </c>
      <c r="F16" s="268">
        <v>1566</v>
      </c>
      <c r="G16" s="268">
        <v>1231</v>
      </c>
      <c r="H16" s="268">
        <v>1054</v>
      </c>
      <c r="I16" s="268">
        <v>431</v>
      </c>
      <c r="J16" s="268">
        <v>662</v>
      </c>
      <c r="K16" s="268">
        <v>940</v>
      </c>
      <c r="L16" s="268">
        <v>971</v>
      </c>
      <c r="M16" s="268">
        <v>0</v>
      </c>
      <c r="N16" s="268">
        <v>0</v>
      </c>
      <c r="O16" s="129">
        <v>869</v>
      </c>
    </row>
    <row r="17" spans="2:15" ht="20.100000000000001" customHeight="1" x14ac:dyDescent="0.15">
      <c r="B17" s="312" t="s">
        <v>262</v>
      </c>
      <c r="C17" s="268">
        <v>0</v>
      </c>
      <c r="D17" s="268">
        <v>0</v>
      </c>
      <c r="E17" s="268">
        <v>1327</v>
      </c>
      <c r="F17" s="268">
        <v>1700</v>
      </c>
      <c r="G17" s="268">
        <v>1205</v>
      </c>
      <c r="H17" s="268">
        <v>1428</v>
      </c>
      <c r="I17" s="268">
        <v>954</v>
      </c>
      <c r="J17" s="268">
        <v>732</v>
      </c>
      <c r="K17" s="268">
        <v>951</v>
      </c>
      <c r="L17" s="268">
        <v>1099</v>
      </c>
      <c r="M17" s="268">
        <v>0</v>
      </c>
      <c r="N17" s="268">
        <v>0</v>
      </c>
      <c r="O17" s="129">
        <v>1096</v>
      </c>
    </row>
    <row r="18" spans="2:15" ht="20.100000000000001" customHeight="1" x14ac:dyDescent="0.15">
      <c r="B18" s="312" t="s">
        <v>261</v>
      </c>
      <c r="C18" s="268">
        <v>0</v>
      </c>
      <c r="D18" s="268">
        <v>0</v>
      </c>
      <c r="E18" s="268">
        <v>1411</v>
      </c>
      <c r="F18" s="268">
        <v>1731</v>
      </c>
      <c r="G18" s="268">
        <v>1499</v>
      </c>
      <c r="H18" s="268">
        <v>1362</v>
      </c>
      <c r="I18" s="268">
        <v>950</v>
      </c>
      <c r="J18" s="268">
        <v>698</v>
      </c>
      <c r="K18" s="268">
        <v>913</v>
      </c>
      <c r="L18" s="268">
        <v>1126</v>
      </c>
      <c r="M18" s="268">
        <v>0</v>
      </c>
      <c r="N18" s="268">
        <v>0</v>
      </c>
      <c r="O18" s="129">
        <v>1130</v>
      </c>
    </row>
    <row r="19" spans="2:15" ht="20.100000000000001" customHeight="1" x14ac:dyDescent="0.15">
      <c r="B19" s="312" t="s">
        <v>260</v>
      </c>
      <c r="C19" s="268">
        <v>0</v>
      </c>
      <c r="D19" s="268">
        <v>0</v>
      </c>
      <c r="E19" s="268">
        <v>1216</v>
      </c>
      <c r="F19" s="268">
        <v>1658</v>
      </c>
      <c r="G19" s="268">
        <v>1403</v>
      </c>
      <c r="H19" s="268">
        <v>1271</v>
      </c>
      <c r="I19" s="268">
        <v>932</v>
      </c>
      <c r="J19" s="268">
        <v>731</v>
      </c>
      <c r="K19" s="268">
        <v>1055</v>
      </c>
      <c r="L19" s="268">
        <v>1041</v>
      </c>
      <c r="M19" s="268">
        <v>0</v>
      </c>
      <c r="N19" s="268">
        <v>0</v>
      </c>
      <c r="O19" s="129">
        <v>1149</v>
      </c>
    </row>
    <row r="20" spans="2:15" ht="20.100000000000001" customHeight="1" thickBot="1" x14ac:dyDescent="0.2">
      <c r="B20" s="310" t="s">
        <v>212</v>
      </c>
      <c r="C20" s="308">
        <f>AVERAGE(C15:C19)</f>
        <v>0</v>
      </c>
      <c r="D20" s="308">
        <f t="shared" ref="D20" si="1">AVERAGE(D15:D19)</f>
        <v>0</v>
      </c>
      <c r="E20" s="308">
        <f t="shared" ref="E20" si="2">AVERAGE(E15:E19)</f>
        <v>1339</v>
      </c>
      <c r="F20" s="308">
        <f t="shared" ref="F20" si="3">AVERAGE(F15:F19)</f>
        <v>1605.6</v>
      </c>
      <c r="G20" s="308">
        <f t="shared" ref="G20" si="4">AVERAGE(G15:G19)</f>
        <v>1304</v>
      </c>
      <c r="H20" s="308">
        <f t="shared" ref="H20" si="5">AVERAGE(H15:H19)</f>
        <v>1257.5999999999999</v>
      </c>
      <c r="I20" s="308">
        <f t="shared" ref="I20" si="6">AVERAGE(I15:I19)</f>
        <v>800.6</v>
      </c>
      <c r="J20" s="308">
        <f t="shared" ref="J20" si="7">AVERAGE(J15:J19)</f>
        <v>705.4</v>
      </c>
      <c r="K20" s="308">
        <f t="shared" ref="K20" si="8">AVERAGE(K15:K19)</f>
        <v>960</v>
      </c>
      <c r="L20" s="308">
        <f t="shared" ref="L20" si="9">AVERAGE(L15:L19)</f>
        <v>1049.4000000000001</v>
      </c>
      <c r="M20" s="308">
        <f t="shared" ref="M20" si="10">AVERAGE(M15:M19)</f>
        <v>0</v>
      </c>
      <c r="N20" s="308">
        <f t="shared" ref="N20" si="11">AVERAGE(N15:N19)</f>
        <v>0</v>
      </c>
      <c r="O20" s="309">
        <f t="shared" ref="O20" si="12">AVERAGE(O15:O19)</f>
        <v>1042.5999999999999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１　対象経営の概要，２　前提条件</vt:lpstr>
      <vt:lpstr>３　ハウスアスパラガス標準技術</vt:lpstr>
      <vt:lpstr>４　経営収支</vt:lpstr>
      <vt:lpstr>５　ハウスアスパラガス作業時間</vt:lpstr>
      <vt:lpstr>６　固定資本装備と減価償却費</vt:lpstr>
      <vt:lpstr>７　ハウスアスパラガス部門収支</vt:lpstr>
      <vt:lpstr>８　ハウスアスパラガス算出基礎</vt:lpstr>
      <vt:lpstr>９　ハウスアスパラガス単価算出基礎</vt:lpstr>
      <vt:lpstr>'３　ハウスアスパラガス標準技術'!Print_Area</vt:lpstr>
      <vt:lpstr>'４　経営収支'!Print_Area</vt:lpstr>
      <vt:lpstr>'５　ハウスアスパラガス作業時間'!Print_Area</vt:lpstr>
      <vt:lpstr>'６　固定資本装備と減価償却費'!Print_Area</vt:lpstr>
      <vt:lpstr>'７　ハウスアスパラガス部門収支'!Print_Area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2015-03-03T04:35:48Z</cp:lastPrinted>
  <dcterms:created xsi:type="dcterms:W3CDTF">2005-02-26T02:20:11Z</dcterms:created>
  <dcterms:modified xsi:type="dcterms:W3CDTF">2015-03-24T04:22:05Z</dcterms:modified>
</cp:coreProperties>
</file>