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-165" windowWidth="22995" windowHeight="7695" tabRatio="766"/>
  </bookViews>
  <sheets>
    <sheet name="１　対象経営の概要，２　前提条件" sheetId="19" r:id="rId1"/>
    <sheet name="３　葉ねぎ標準技術" sheetId="24" r:id="rId2"/>
    <sheet name="４　経営収支" sheetId="22" r:id="rId3"/>
    <sheet name="５　葉ねぎ作業時間" sheetId="27" r:id="rId4"/>
    <sheet name="６　固定資本装備と減価償却費" sheetId="30" r:id="rId5"/>
    <sheet name="７　葉ねぎ部門収支" sheetId="35" r:id="rId6"/>
    <sheet name="８　葉ねぎ水耕算出基礎" sheetId="36" r:id="rId7"/>
    <sheet name="９　葉ねぎ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葉ねぎ標準技術'!$A$1:$M$11</definedName>
    <definedName name="_xlnm.Print_Area" localSheetId="2">'４　経営収支'!$A$1:$N$38</definedName>
    <definedName name="_xlnm.Print_Area" localSheetId="3">'５　葉ねぎ作業時間'!$A$1:$AN$51</definedName>
    <definedName name="_xlnm.Print_Area" localSheetId="4">'６　固定資本装備と減価償却費'!$A$1:$P$36</definedName>
    <definedName name="_xlnm.Print_Area" localSheetId="5">'７　葉ねぎ部門収支'!$A$1:$S$45</definedName>
    <definedName name="_xlnm.Print_Area" localSheetId="6">'８　葉ねぎ水耕算出基礎'!$A$1:$W$57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AC6" i="36" l="1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J25" i="36"/>
  <c r="AD13" i="36" s="1"/>
  <c r="AJ26" i="36"/>
  <c r="AJ27" i="36"/>
  <c r="Y28" i="36"/>
  <c r="AG28" i="36"/>
  <c r="AJ28" i="36"/>
  <c r="AJ29" i="36"/>
  <c r="Y30" i="36"/>
  <c r="AJ30" i="36"/>
  <c r="AJ31" i="36"/>
  <c r="AJ32" i="36"/>
  <c r="AI33" i="36"/>
  <c r="AJ33" i="36" s="1"/>
  <c r="AI34" i="36"/>
  <c r="AJ34" i="36" s="1"/>
  <c r="AI35" i="36"/>
  <c r="AJ35" i="36" s="1"/>
  <c r="AI36" i="36"/>
  <c r="AJ36" i="36" s="1"/>
  <c r="AI37" i="36"/>
  <c r="AJ37" i="36" s="1"/>
  <c r="AJ38" i="36"/>
  <c r="AJ39" i="36"/>
  <c r="AA45" i="36"/>
  <c r="AA46" i="36"/>
  <c r="AA47" i="36"/>
  <c r="AA48" i="36"/>
  <c r="AA49" i="36" s="1"/>
  <c r="Z49" i="36"/>
  <c r="AJ40" i="36" l="1"/>
  <c r="AD18" i="36"/>
  <c r="O36" i="35"/>
  <c r="O34" i="35"/>
  <c r="O31" i="35"/>
  <c r="F18" i="35" l="1"/>
  <c r="J35" i="36"/>
  <c r="V51" i="36" l="1"/>
  <c r="S38" i="36"/>
  <c r="N47" i="36"/>
  <c r="F12" i="35" l="1"/>
  <c r="F23" i="35"/>
  <c r="AN51" i="27" l="1"/>
  <c r="S5" i="36" l="1"/>
  <c r="Q5" i="36" s="1"/>
  <c r="K16" i="30"/>
  <c r="V24" i="36"/>
  <c r="G13" i="30" l="1"/>
  <c r="G5" i="30"/>
  <c r="K35" i="36" s="1"/>
  <c r="N35" i="36" s="1"/>
  <c r="P6" i="30" l="1"/>
  <c r="P7" i="30"/>
  <c r="K15" i="30"/>
  <c r="K14" i="30"/>
  <c r="K13" i="30"/>
  <c r="K5" i="30"/>
  <c r="V45" i="36"/>
  <c r="N43" i="36"/>
  <c r="N28" i="36"/>
  <c r="K11" i="36"/>
  <c r="N11" i="36" l="1"/>
  <c r="N20" i="36"/>
  <c r="F43" i="27" l="1"/>
  <c r="AN12" i="27"/>
  <c r="AN11" i="27"/>
  <c r="AN10" i="27"/>
  <c r="AN9" i="27"/>
  <c r="V5" i="36" l="1"/>
  <c r="V6" i="36"/>
  <c r="V7" i="36"/>
  <c r="R10" i="35" l="1"/>
  <c r="R11" i="35" l="1"/>
  <c r="Q11" i="35" s="1"/>
  <c r="P11" i="35"/>
  <c r="F22" i="35" l="1"/>
  <c r="F21" i="35"/>
  <c r="G12" i="36"/>
  <c r="D6" i="36"/>
  <c r="G6" i="36" s="1"/>
  <c r="D7" i="36"/>
  <c r="G7" i="36" s="1"/>
  <c r="D8" i="36"/>
  <c r="G8" i="36" s="1"/>
  <c r="D9" i="36"/>
  <c r="G9" i="36" s="1"/>
  <c r="D10" i="36"/>
  <c r="G10" i="36" s="1"/>
  <c r="D11" i="36"/>
  <c r="G11" i="36" s="1"/>
  <c r="D5" i="36"/>
  <c r="G5" i="36" s="1"/>
  <c r="G13" i="36" l="1"/>
  <c r="G14" i="36"/>
  <c r="G15" i="36"/>
  <c r="G16" i="36"/>
  <c r="P10" i="35" l="1"/>
  <c r="P9" i="35"/>
  <c r="P8" i="35"/>
  <c r="P7" i="35"/>
  <c r="P6" i="35"/>
  <c r="P5" i="35"/>
  <c r="L10" i="35"/>
  <c r="L9" i="35"/>
  <c r="L8" i="35"/>
  <c r="L7" i="35"/>
  <c r="L6" i="35"/>
  <c r="L5" i="35"/>
  <c r="Q10" i="35"/>
  <c r="Q9" i="35"/>
  <c r="Q8" i="35"/>
  <c r="Q7" i="35"/>
  <c r="Q6" i="35"/>
  <c r="Q5" i="35"/>
  <c r="M10" i="35"/>
  <c r="M9" i="35"/>
  <c r="M8" i="35"/>
  <c r="M7" i="35"/>
  <c r="M6" i="35"/>
  <c r="M5" i="35"/>
  <c r="G24" i="22" l="1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23" i="22"/>
  <c r="F23" i="22" s="1"/>
  <c r="G6" i="22"/>
  <c r="F6" i="22" s="1"/>
  <c r="G41" i="36" l="1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7" i="36" l="1"/>
  <c r="P35" i="35" s="1"/>
  <c r="N50" i="36"/>
  <c r="N46" i="36"/>
  <c r="V56" i="36"/>
  <c r="V50" i="36"/>
  <c r="N56" i="36"/>
  <c r="V44" i="36"/>
  <c r="V26" i="36"/>
  <c r="V25" i="36"/>
  <c r="V57" i="36" l="1"/>
  <c r="F26" i="35" s="1"/>
  <c r="P9" i="30"/>
  <c r="P10" i="30"/>
  <c r="I5" i="30"/>
  <c r="N42" i="36" l="1"/>
  <c r="L5" i="30"/>
  <c r="N57" i="36" l="1"/>
  <c r="F28" i="35" s="1"/>
  <c r="F29" i="35" s="1"/>
  <c r="AM49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47" i="27"/>
  <c r="AN46" i="27"/>
  <c r="AN45" i="27"/>
  <c r="G19" i="36"/>
  <c r="G18" i="36"/>
  <c r="L31" i="36"/>
  <c r="K31" i="36"/>
  <c r="L23" i="36"/>
  <c r="K23" i="36"/>
  <c r="L19" i="36"/>
  <c r="K19" i="36"/>
  <c r="N30" i="36"/>
  <c r="N29" i="36"/>
  <c r="N22" i="36"/>
  <c r="N18" i="36"/>
  <c r="N17" i="36"/>
  <c r="N16" i="36"/>
  <c r="L15" i="36"/>
  <c r="K15" i="36"/>
  <c r="L10" i="36"/>
  <c r="K10" i="36"/>
  <c r="N14" i="36"/>
  <c r="N13" i="36"/>
  <c r="N12" i="36"/>
  <c r="N7" i="36"/>
  <c r="N8" i="36"/>
  <c r="N9" i="36"/>
  <c r="G23" i="36"/>
  <c r="G22" i="36"/>
  <c r="G21" i="36"/>
  <c r="G17" i="36"/>
  <c r="G20" i="36" s="1"/>
  <c r="P17" i="35" s="1"/>
  <c r="G56" i="36"/>
  <c r="G55" i="36"/>
  <c r="G54" i="36"/>
  <c r="G52" i="36"/>
  <c r="G51" i="36"/>
  <c r="G50" i="36"/>
  <c r="G48" i="36"/>
  <c r="G40" i="36"/>
  <c r="G39" i="36"/>
  <c r="G49" i="36" s="1"/>
  <c r="G37" i="36"/>
  <c r="G36" i="36"/>
  <c r="G30" i="36"/>
  <c r="G29" i="36"/>
  <c r="G28" i="36"/>
  <c r="N7" i="35"/>
  <c r="N8" i="35"/>
  <c r="N9" i="35"/>
  <c r="N10" i="35"/>
  <c r="R6" i="35"/>
  <c r="R7" i="35"/>
  <c r="R8" i="35"/>
  <c r="R9" i="35"/>
  <c r="N6" i="35"/>
  <c r="P13" i="35"/>
  <c r="R5" i="35"/>
  <c r="N5" i="35"/>
  <c r="I14" i="30"/>
  <c r="L14" i="30" s="1"/>
  <c r="P27" i="30"/>
  <c r="P26" i="30"/>
  <c r="P20" i="30"/>
  <c r="P19" i="30"/>
  <c r="I16" i="30"/>
  <c r="I15" i="30"/>
  <c r="L15" i="30" s="1"/>
  <c r="G35" i="30"/>
  <c r="P34" i="30"/>
  <c r="P33" i="30"/>
  <c r="P32" i="30"/>
  <c r="G30" i="30"/>
  <c r="P28" i="30"/>
  <c r="P25" i="30"/>
  <c r="P21" i="30"/>
  <c r="I13" i="30"/>
  <c r="G12" i="30"/>
  <c r="P11" i="30"/>
  <c r="P8" i="30"/>
  <c r="AN32" i="27"/>
  <c r="AN33" i="27"/>
  <c r="AN24" i="27"/>
  <c r="AN25" i="27"/>
  <c r="AN26" i="27"/>
  <c r="AN27" i="27"/>
  <c r="AN28" i="27"/>
  <c r="AN29" i="27"/>
  <c r="AN30" i="27"/>
  <c r="AN31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AN14" i="27"/>
  <c r="AN13" i="27"/>
  <c r="F6" i="35" l="1"/>
  <c r="G8" i="22" s="1"/>
  <c r="F8" i="22" s="1"/>
  <c r="I35" i="30"/>
  <c r="N5" i="30"/>
  <c r="P5" i="30" s="1"/>
  <c r="S50" i="27"/>
  <c r="G50" i="27"/>
  <c r="K50" i="27"/>
  <c r="O50" i="27"/>
  <c r="W50" i="27"/>
  <c r="AE50" i="27"/>
  <c r="AI50" i="27"/>
  <c r="AM50" i="27"/>
  <c r="N50" i="27"/>
  <c r="V50" i="27"/>
  <c r="AD50" i="27"/>
  <c r="AH50" i="27"/>
  <c r="E50" i="27"/>
  <c r="M50" i="27"/>
  <c r="U50" i="27"/>
  <c r="Y50" i="27"/>
  <c r="AG50" i="27"/>
  <c r="AK50" i="27"/>
  <c r="F50" i="27"/>
  <c r="J50" i="27"/>
  <c r="R50" i="27"/>
  <c r="Z50" i="27"/>
  <c r="AL50" i="27"/>
  <c r="I50" i="27"/>
  <c r="Q50" i="27"/>
  <c r="AC50" i="27"/>
  <c r="T50" i="27"/>
  <c r="AF50" i="27"/>
  <c r="AA50" i="27"/>
  <c r="X50" i="27"/>
  <c r="P50" i="27"/>
  <c r="H50" i="27"/>
  <c r="L50" i="27"/>
  <c r="AJ50" i="27"/>
  <c r="AB50" i="27"/>
  <c r="D50" i="27"/>
  <c r="AN49" i="27"/>
  <c r="I37" i="22" s="1"/>
  <c r="K35" i="27"/>
  <c r="H35" i="27"/>
  <c r="N15" i="36"/>
  <c r="P31" i="35" s="1"/>
  <c r="V34" i="36"/>
  <c r="N31" i="36"/>
  <c r="P36" i="35" s="1"/>
  <c r="N19" i="36"/>
  <c r="P33" i="35" s="1"/>
  <c r="N23" i="36"/>
  <c r="P34" i="35" s="1"/>
  <c r="N10" i="36"/>
  <c r="P30" i="35" s="1"/>
  <c r="G24" i="36"/>
  <c r="G53" i="36"/>
  <c r="V20" i="36"/>
  <c r="F10" i="35" s="1"/>
  <c r="G12" i="22" s="1"/>
  <c r="F12" i="22" s="1"/>
  <c r="G57" i="36"/>
  <c r="P15" i="35"/>
  <c r="P24" i="35"/>
  <c r="G38" i="36"/>
  <c r="L16" i="30"/>
  <c r="N15" i="30"/>
  <c r="P15" i="30" s="1"/>
  <c r="I30" i="30"/>
  <c r="G36" i="30"/>
  <c r="I12" i="30"/>
  <c r="P29" i="30"/>
  <c r="P23" i="30"/>
  <c r="P24" i="30"/>
  <c r="P18" i="30"/>
  <c r="L13" i="30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F11" i="35" l="1"/>
  <c r="G13" i="22" s="1"/>
  <c r="F13" i="22" s="1"/>
  <c r="AN50" i="27"/>
  <c r="F4" i="35"/>
  <c r="P12" i="30"/>
  <c r="F15" i="35" s="1"/>
  <c r="G17" i="22" s="1"/>
  <c r="F17" i="22" s="1"/>
  <c r="N16" i="30"/>
  <c r="P16" i="30" s="1"/>
  <c r="L12" i="30"/>
  <c r="F13" i="35" s="1"/>
  <c r="G15" i="22" s="1"/>
  <c r="F15" i="22" s="1"/>
  <c r="K44" i="27"/>
  <c r="H44" i="27"/>
  <c r="AN43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I36" i="30"/>
  <c r="P22" i="30"/>
  <c r="P17" i="30"/>
  <c r="L30" i="30"/>
  <c r="F14" i="35" s="1"/>
  <c r="G16" i="22" s="1"/>
  <c r="F16" i="22" s="1"/>
  <c r="N13" i="30"/>
  <c r="P13" i="30" s="1"/>
  <c r="L35" i="30"/>
  <c r="P31" i="30"/>
  <c r="P35" i="30" s="1"/>
  <c r="F17" i="35" s="1"/>
  <c r="G19" i="22" s="1"/>
  <c r="F19" i="22" s="1"/>
  <c r="N14" i="30"/>
  <c r="P14" i="30" s="1"/>
  <c r="G33" i="22" l="1"/>
  <c r="F33" i="22" s="1"/>
  <c r="L37" i="22"/>
  <c r="P30" i="30"/>
  <c r="F16" i="35" s="1"/>
  <c r="G18" i="22" s="1"/>
  <c r="F18" i="22" s="1"/>
  <c r="G5" i="22"/>
  <c r="F5" i="22" s="1"/>
  <c r="G25" i="22"/>
  <c r="F25" i="22" s="1"/>
  <c r="G28" i="22"/>
  <c r="F28" i="22" s="1"/>
  <c r="G30" i="22"/>
  <c r="F30" i="22" s="1"/>
  <c r="L36" i="30"/>
  <c r="AN44" i="27"/>
  <c r="G37" i="22" l="1"/>
  <c r="F37" i="22" s="1"/>
  <c r="G31" i="22"/>
  <c r="F31" i="22" s="1"/>
  <c r="F32" i="22" s="1"/>
  <c r="P36" i="30"/>
  <c r="G7" i="22"/>
  <c r="F30" i="35" l="1"/>
  <c r="F19" i="35"/>
  <c r="G21" i="22" s="1"/>
  <c r="F21" i="22" s="1"/>
  <c r="F22" i="22" s="1"/>
  <c r="F34" i="22" s="1"/>
  <c r="F7" i="22"/>
  <c r="F35" i="22" l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<sst xmlns="http://schemas.openxmlformats.org/spreadsheetml/2006/main" count="670" uniqueCount="426">
  <si>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</si>
  <si>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</si>
  <si>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</si>
  <si>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</si>
  <si>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</si>
  <si>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</si>
  <si>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</si>
  <si>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</si>
  <si>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</si>
  <si>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</si>
  <si>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</si>
  <si>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</si>
  <si>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</si>
  <si>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</si>
  <si>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</si>
  <si>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</si>
  <si>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</si>
  <si>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</si>
  <si>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</si>
  <si>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</si>
  <si>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</si>
  <si>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</si>
  <si>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</si>
  <si>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</si>
  <si>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</si>
  <si>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</si>
  <si>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</si>
  <si>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</si>
  <si>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</si>
  <si>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</si>
  <si>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</si>
  <si>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</si>
  <si>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</si>
  <si>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</si>
  <si>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</si>
  <si>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</si>
  <si>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</si>
  <si>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</si>
  <si>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</si>
  <si>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</si>
  <si>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</si>
  <si>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</si>
  <si>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</si>
  <si>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</si>
  <si>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</si>
  <si>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</si>
  <si>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</si>
  <si>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</si>
  <si>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</si>
  <si>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</si>
  <si>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</si>
  <si>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</si>
  <si>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</si>
  <si>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</si>
  <si>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</si>
  <si>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</si>
  <si>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</si>
  <si>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</si>
  <si>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</si>
  <si>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</si>
  <si>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</si>
  <si>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</si>
  <si>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</si>
  <si>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</si>
  <si>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</si>
  <si>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</si>
  <si>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</si>
  <si>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</si>
  <si>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</si>
  <si>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</si>
  <si>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</si>
  <si>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</si>
  <si>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</si>
  <si>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</si>
  <si>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</si>
  <si>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</si>
  <si>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</si>
  <si>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</si>
  <si>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</si>
  <si>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</si>
  <si>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</si>
  <si>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</si>
  <si>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</si>
  <si>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</si>
  <si>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</si>
  <si>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</si>
  <si>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</si>
  <si>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</si>
  <si>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</si>
  <si>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</si>
  <si>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</si>
  <si>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</si>
  <si>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</si>
  <si>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</si>
  <si>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</si>
  <si>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</si>
  <si>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</si>
  <si>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</si>
  <si>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</si>
  <si>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</si>
  <si>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</si>
  <si>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</si>
  <si>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</si>
  <si>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</si>
  <si>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</si>
  <si>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</si>
  <si>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</si>
  <si>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</si>
  <si>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</si>
  <si>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</si>
  <si>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</si>
  <si>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</si>
  <si>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</si>
  <si>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</si>
  <si>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</si>
  <si>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</si>
  <si>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</si>
  <si>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</si>
  <si>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</si>
  <si>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</si>
  <si>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</si>
  <si>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</si>
  <si>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</si>
  <si>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</si>
  <si>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</si>
  <si>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</si>
  <si>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</si>
  <si>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</si>
  <si>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化成肥料</t>
    <rPh sb="0" eb="2">
      <t>カセイ</t>
    </rPh>
    <rPh sb="2" eb="4">
      <t>ヒリョウ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</si>
  <si>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</si>
  <si>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</si>
  <si>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</si>
  <si>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</si>
  <si>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</si>
  <si>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</si>
  <si>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</si>
  <si>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</si>
  <si>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</si>
  <si>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</si>
  <si>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</si>
  <si>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</si>
  <si>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</si>
  <si>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</si>
  <si>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</si>
  <si>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</si>
  <si>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</si>
  <si>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</si>
  <si>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</si>
  <si>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</si>
  <si>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</si>
  <si>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</si>
  <si>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</si>
  <si>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</si>
  <si>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</si>
  <si>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</si>
  <si>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</si>
  <si>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</si>
  <si>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</si>
  <si>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</si>
  <si>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</si>
  <si>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</si>
  <si>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</si>
  <si>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</si>
  <si>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</si>
  <si>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</si>
  <si>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</si>
  <si>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</si>
  <si>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</si>
  <si>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</si>
  <si>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</si>
  <si>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</si>
  <si>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</si>
  <si>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</si>
  <si>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</si>
  <si>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</si>
  <si>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</si>
  <si>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</si>
  <si>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</si>
  <si>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</si>
  <si>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</si>
  <si>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</si>
  <si>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</si>
  <si>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</si>
  <si>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</si>
  <si>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</si>
  <si>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</si>
  <si>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</si>
  <si>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</si>
  <si>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</si>
  <si>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</si>
  <si>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</si>
  <si>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</si>
  <si>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</si>
  <si>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</si>
  <si>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</si>
  <si>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</si>
  <si>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</si>
  <si>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</si>
  <si>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</si>
  <si>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</si>
  <si>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</si>
  <si>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</si>
  <si>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</si>
  <si>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</si>
  <si>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</si>
  <si>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月別平均価格の推移</t>
  </si>
  <si>
    <t>（全産地）</t>
    <phoneticPr fontId="4"/>
  </si>
  <si>
    <t>平均</t>
  </si>
  <si>
    <t>平　　均</t>
  </si>
  <si>
    <t>㎡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</si>
  <si>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</si>
  <si>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</si>
  <si>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</si>
  <si>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</si>
  <si>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</si>
  <si>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</si>
  <si>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</si>
  <si>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</si>
  <si>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</si>
  <si>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</si>
  <si>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</si>
  <si>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</si>
  <si>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</si>
  <si>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数量</t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</si>
  <si>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</si>
  <si>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</si>
  <si>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</si>
  <si>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</si>
  <si>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</si>
  <si>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</si>
  <si>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</si>
  <si>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</si>
  <si>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</si>
  <si>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</si>
  <si>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</si>
  <si>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</si>
  <si>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</si>
  <si>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</si>
  <si>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</si>
  <si>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</si>
  <si>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</si>
  <si>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</si>
  <si>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</si>
  <si>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</si>
  <si>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</si>
  <si>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</si>
  <si>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葉ねぎ</t>
    <rPh sb="0" eb="1">
      <t>ハ</t>
    </rPh>
    <phoneticPr fontId="3"/>
  </si>
  <si>
    <t>博多黒ネギ</t>
    <phoneticPr fontId="4"/>
  </si>
  <si>
    <t>平成25年</t>
    <phoneticPr fontId="4"/>
  </si>
  <si>
    <t>平成21年</t>
  </si>
  <si>
    <t>平成22年</t>
  </si>
  <si>
    <t>平成23年</t>
  </si>
  <si>
    <t>平成24年</t>
  </si>
  <si>
    <t>（リットル）</t>
    <phoneticPr fontId="4"/>
  </si>
  <si>
    <t>種子</t>
    <rPh sb="0" eb="2">
      <t>シュシ</t>
    </rPh>
    <phoneticPr fontId="4"/>
  </si>
  <si>
    <t>ｋｇ</t>
    <phoneticPr fontId="4"/>
  </si>
  <si>
    <t>７　経営収支（10a当たり）</t>
    <rPh sb="10" eb="11">
      <t>ア</t>
    </rPh>
    <phoneticPr fontId="4"/>
  </si>
  <si>
    <t>化学肥料（単肥配合）</t>
    <rPh sb="0" eb="2">
      <t>カガク</t>
    </rPh>
    <rPh sb="2" eb="4">
      <t>ヒリョウ</t>
    </rPh>
    <rPh sb="5" eb="7">
      <t>タンピ</t>
    </rPh>
    <rPh sb="7" eb="9">
      <t>ハイゴウ</t>
    </rPh>
    <phoneticPr fontId="4"/>
  </si>
  <si>
    <t>10ａ機械</t>
    <phoneticPr fontId="4"/>
  </si>
  <si>
    <t>ハウス施設</t>
    <rPh sb="3" eb="5">
      <t>シセツ</t>
    </rPh>
    <phoneticPr fontId="4"/>
  </si>
  <si>
    <t>水耕プラント</t>
    <rPh sb="0" eb="2">
      <t>スイコウ</t>
    </rPh>
    <phoneticPr fontId="4"/>
  </si>
  <si>
    <t>第１リン酸アンモニウム</t>
    <rPh sb="0" eb="1">
      <t>ダイ</t>
    </rPh>
    <rPh sb="4" eb="5">
      <t>サン</t>
    </rPh>
    <phoneticPr fontId="4"/>
  </si>
  <si>
    <t>リン酸１カリ</t>
    <rPh sb="2" eb="3">
      <t>サン</t>
    </rPh>
    <phoneticPr fontId="4"/>
  </si>
  <si>
    <t>硫酸マグネシウム</t>
    <rPh sb="0" eb="2">
      <t>リュウサン</t>
    </rPh>
    <phoneticPr fontId="4"/>
  </si>
  <si>
    <t>硝酸カリ</t>
    <rPh sb="0" eb="2">
      <t>ショウサン</t>
    </rPh>
    <phoneticPr fontId="4"/>
  </si>
  <si>
    <t>リン酸</t>
    <rPh sb="2" eb="3">
      <t>サン</t>
    </rPh>
    <phoneticPr fontId="4"/>
  </si>
  <si>
    <t>硝酸石灰</t>
    <rPh sb="0" eb="2">
      <t>ショウサン</t>
    </rPh>
    <rPh sb="2" eb="4">
      <t>セッカイ</t>
    </rPh>
    <phoneticPr fontId="4"/>
  </si>
  <si>
    <t>ホウ酸</t>
    <rPh sb="2" eb="3">
      <t>サン</t>
    </rPh>
    <phoneticPr fontId="4"/>
  </si>
  <si>
    <t>硫酸亜鉛７水</t>
    <rPh sb="0" eb="2">
      <t>リュウサン</t>
    </rPh>
    <rPh sb="2" eb="4">
      <t>アエン</t>
    </rPh>
    <rPh sb="5" eb="6">
      <t>ミズ</t>
    </rPh>
    <phoneticPr fontId="4"/>
  </si>
  <si>
    <t>硫酸マンガン１水</t>
    <rPh sb="0" eb="2">
      <t>リュウサン</t>
    </rPh>
    <rPh sb="7" eb="8">
      <t>ミズ</t>
    </rPh>
    <phoneticPr fontId="4"/>
  </si>
  <si>
    <t>硫酸銅</t>
    <rPh sb="0" eb="2">
      <t>リュウサン</t>
    </rPh>
    <rPh sb="2" eb="3">
      <t>ドウ</t>
    </rPh>
    <phoneticPr fontId="4"/>
  </si>
  <si>
    <t>モリブデン酸アンモニウム</t>
    <rPh sb="5" eb="6">
      <t>サン</t>
    </rPh>
    <phoneticPr fontId="4"/>
  </si>
  <si>
    <t>リットル</t>
    <phoneticPr fontId="4"/>
  </si>
  <si>
    <t>硝酸</t>
    <rPh sb="0" eb="2">
      <t>ショウサン</t>
    </rPh>
    <phoneticPr fontId="4"/>
  </si>
  <si>
    <t>リットル</t>
    <phoneticPr fontId="4"/>
  </si>
  <si>
    <t>鉄資材</t>
    <rPh sb="0" eb="1">
      <t>テツ</t>
    </rPh>
    <rPh sb="1" eb="3">
      <t>シザイ</t>
    </rPh>
    <phoneticPr fontId="4"/>
  </si>
  <si>
    <t>アグロスリン乳剤：５００ｍｌ×２０瓶　２０００倍　１００～３００リットル／１０ａ</t>
    <rPh sb="6" eb="8">
      <t>ニュウザイ</t>
    </rPh>
    <rPh sb="17" eb="18">
      <t>ビン</t>
    </rPh>
    <rPh sb="23" eb="24">
      <t>バイ</t>
    </rPh>
    <phoneticPr fontId="4"/>
  </si>
  <si>
    <t>アミスター２０フロアブル：２５０ｍｌ×２０瓶　２０００倍　１００～３００リットル／１０ａ　</t>
    <rPh sb="21" eb="22">
      <t>ビン</t>
    </rPh>
    <rPh sb="27" eb="28">
      <t>バイ</t>
    </rPh>
    <phoneticPr fontId="4"/>
  </si>
  <si>
    <t>ダウン剤</t>
    <rPh sb="3" eb="4">
      <t>ザイ</t>
    </rPh>
    <phoneticPr fontId="4"/>
  </si>
  <si>
    <t>ミネラルパワー</t>
    <phoneticPr fontId="4"/>
  </si>
  <si>
    <t>（１）肥料費　※１００リットル調整する場合　使用時は１００倍で希釈する　青ネギＧ</t>
    <rPh sb="3" eb="5">
      <t>ヒリョウ</t>
    </rPh>
    <rPh sb="5" eb="6">
      <t>ヒ</t>
    </rPh>
    <rPh sb="15" eb="17">
      <t>チョウセイ</t>
    </rPh>
    <rPh sb="19" eb="21">
      <t>バアイ</t>
    </rPh>
    <rPh sb="22" eb="25">
      <t>シヨウジ</t>
    </rPh>
    <rPh sb="29" eb="30">
      <t>バイ</t>
    </rPh>
    <rPh sb="31" eb="33">
      <t>キシャク</t>
    </rPh>
    <rPh sb="36" eb="37">
      <t>アオ</t>
    </rPh>
    <phoneticPr fontId="4"/>
  </si>
  <si>
    <t>（１）肥料費　※１パネルあたりの使用量ｋｇ　カルチャー</t>
    <rPh sb="3" eb="5">
      <t>ヒリョウ</t>
    </rPh>
    <rPh sb="5" eb="6">
      <t>ヒ</t>
    </rPh>
    <rPh sb="16" eb="19">
      <t>シヨウリョウ</t>
    </rPh>
    <phoneticPr fontId="4"/>
  </si>
  <si>
    <t>単位（ｋｇ）</t>
    <phoneticPr fontId="4"/>
  </si>
  <si>
    <t>金額（円）</t>
    <rPh sb="3" eb="4">
      <t>エン</t>
    </rPh>
    <phoneticPr fontId="4"/>
  </si>
  <si>
    <t>その他</t>
    <rPh sb="2" eb="3">
      <t>タ</t>
    </rPh>
    <phoneticPr fontId="4"/>
  </si>
  <si>
    <t>殺虫剤</t>
    <rPh sb="0" eb="3">
      <t>サッチュウザイ</t>
    </rPh>
    <phoneticPr fontId="4"/>
  </si>
  <si>
    <t>ガス</t>
    <phoneticPr fontId="4"/>
  </si>
  <si>
    <t>軽量・鉄骨</t>
    <rPh sb="0" eb="2">
      <t>ケイリョウ</t>
    </rPh>
    <rPh sb="3" eb="5">
      <t>テッコツ</t>
    </rPh>
    <phoneticPr fontId="4"/>
  </si>
  <si>
    <t>防除機</t>
    <rPh sb="0" eb="2">
      <t>ボウジョ</t>
    </rPh>
    <rPh sb="2" eb="3">
      <t>キ</t>
    </rPh>
    <phoneticPr fontId="4"/>
  </si>
  <si>
    <t>トラック</t>
    <phoneticPr fontId="4"/>
  </si>
  <si>
    <t>1.5ｔ（中古）</t>
    <rPh sb="5" eb="7">
      <t>チュウコ</t>
    </rPh>
    <phoneticPr fontId="4"/>
  </si>
  <si>
    <t>　育　苗</t>
  </si>
  <si>
    <t>　定　植</t>
  </si>
  <si>
    <t>　収　穫</t>
  </si>
  <si>
    <t>　一般管理</t>
    <rPh sb="1" eb="3">
      <t>イッパン</t>
    </rPh>
    <phoneticPr fontId="4"/>
  </si>
  <si>
    <t>周</t>
    <rPh sb="0" eb="1">
      <t>シュウ</t>
    </rPh>
    <phoneticPr fontId="4"/>
  </si>
  <si>
    <t>年</t>
    <rPh sb="0" eb="1">
      <t>ネン</t>
    </rPh>
    <phoneticPr fontId="4"/>
  </si>
  <si>
    <t>周年</t>
    <rPh sb="0" eb="2">
      <t>シュウネン</t>
    </rPh>
    <phoneticPr fontId="4"/>
  </si>
  <si>
    <t>右表（粗収益の算出基礎）　広島中央卸売市場の平均単価を使用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3" eb="15">
      <t>ヒロシマ</t>
    </rPh>
    <rPh sb="15" eb="17">
      <t>チュウオウ</t>
    </rPh>
    <rPh sb="17" eb="19">
      <t>オロシウリ</t>
    </rPh>
    <rPh sb="19" eb="21">
      <t>シジョウ</t>
    </rPh>
    <rPh sb="22" eb="24">
      <t>ヘイキン</t>
    </rPh>
    <rPh sb="24" eb="26">
      <t>タンカ</t>
    </rPh>
    <rPh sb="27" eb="29">
      <t>シヨウ</t>
    </rPh>
    <phoneticPr fontId="4"/>
  </si>
  <si>
    <t>Ｃ</t>
    <phoneticPr fontId="4"/>
  </si>
  <si>
    <t>電気</t>
    <rPh sb="0" eb="2">
      <t>デンキ</t>
    </rPh>
    <phoneticPr fontId="4"/>
  </si>
  <si>
    <t>ガソリン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</si>
  <si>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</si>
  <si>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</si>
  <si>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パネルあたり</t>
    <phoneticPr fontId="4"/>
  </si>
  <si>
    <t>１０ａ</t>
    <phoneticPr fontId="4"/>
  </si>
  <si>
    <t>合計</t>
    <rPh sb="0" eb="2">
      <t>ゴウケイ</t>
    </rPh>
    <phoneticPr fontId="4"/>
  </si>
  <si>
    <t>養液加温機</t>
    <rPh sb="0" eb="2">
      <t>ヨウエキ</t>
    </rPh>
    <rPh sb="2" eb="4">
      <t>カオン</t>
    </rPh>
    <rPh sb="4" eb="5">
      <t>キ</t>
    </rPh>
    <phoneticPr fontId="4"/>
  </si>
  <si>
    <t>ℓ・kw／時間</t>
    <rPh sb="5" eb="7">
      <t>ジカン</t>
    </rPh>
    <phoneticPr fontId="4"/>
  </si>
  <si>
    <t>出荷（トラック）</t>
    <rPh sb="0" eb="2">
      <t>シュッカ</t>
    </rPh>
    <phoneticPr fontId="4"/>
  </si>
  <si>
    <t>栽培管理（水耕プラント）</t>
    <rPh sb="0" eb="2">
      <t>サイバイ</t>
    </rPh>
    <rPh sb="2" eb="4">
      <t>カンリ</t>
    </rPh>
    <rPh sb="5" eb="7">
      <t>スイコウ</t>
    </rPh>
    <phoneticPr fontId="4"/>
  </si>
  <si>
    <t>80a</t>
    <phoneticPr fontId="4"/>
  </si>
  <si>
    <t>10ａ／80a</t>
    <phoneticPr fontId="4"/>
  </si>
  <si>
    <t>80ａ</t>
    <phoneticPr fontId="4"/>
  </si>
  <si>
    <t>周年</t>
    <rPh sb="0" eb="2">
      <t>シュウネン</t>
    </rPh>
    <phoneticPr fontId="3"/>
  </si>
  <si>
    <t>ロックウール培地を利用した湛液型水耕栽培，年間の作付回数　６回</t>
    <rPh sb="6" eb="7">
      <t>バイ</t>
    </rPh>
    <rPh sb="7" eb="8">
      <t>チ</t>
    </rPh>
    <rPh sb="9" eb="11">
      <t>リヨウ</t>
    </rPh>
    <rPh sb="13" eb="14">
      <t>タタ</t>
    </rPh>
    <rPh sb="14" eb="15">
      <t>エキ</t>
    </rPh>
    <rPh sb="15" eb="16">
      <t>ガタ</t>
    </rPh>
    <rPh sb="16" eb="18">
      <t>スイコウ</t>
    </rPh>
    <rPh sb="21" eb="22">
      <t>ネン</t>
    </rPh>
    <rPh sb="22" eb="23">
      <t>カン</t>
    </rPh>
    <rPh sb="24" eb="26">
      <t>サクツケ</t>
    </rPh>
    <rPh sb="26" eb="28">
      <t>カイスウ</t>
    </rPh>
    <rPh sb="30" eb="31">
      <t>カイ</t>
    </rPh>
    <phoneticPr fontId="4"/>
  </si>
  <si>
    <t>80ａ</t>
    <phoneticPr fontId="3"/>
  </si>
  <si>
    <t>85a（借地85a）</t>
    <phoneticPr fontId="4"/>
  </si>
  <si>
    <t>軽量鉄骨ﾋﾞﾆｰﾙﾊｳｽ，水耕ﾌﾟﾗﾝﾄ（発芽室，養液管理機，養液循環ポンプ，水耕ベット，養液加温冷却設備など）</t>
    <rPh sb="21" eb="24">
      <t>ハツガシツ</t>
    </rPh>
    <rPh sb="25" eb="27">
      <t>ヨウエキ</t>
    </rPh>
    <rPh sb="27" eb="29">
      <t>カンリ</t>
    </rPh>
    <rPh sb="29" eb="30">
      <t>キ</t>
    </rPh>
    <rPh sb="31" eb="33">
      <t>ヨウエキ</t>
    </rPh>
    <rPh sb="33" eb="35">
      <t>ジュンカン</t>
    </rPh>
    <rPh sb="39" eb="41">
      <t>スイコウ</t>
    </rPh>
    <rPh sb="45" eb="47">
      <t>ヨウエキ</t>
    </rPh>
    <rPh sb="47" eb="49">
      <t>カオン</t>
    </rPh>
    <rPh sb="49" eb="51">
      <t>レイキャク</t>
    </rPh>
    <rPh sb="51" eb="53">
      <t>セツビ</t>
    </rPh>
    <phoneticPr fontId="4"/>
  </si>
  <si>
    <t>定植</t>
    <rPh sb="0" eb="2">
      <t>テイショク</t>
    </rPh>
    <phoneticPr fontId="4"/>
  </si>
  <si>
    <t>パネル洗浄機</t>
    <rPh sb="3" eb="5">
      <t>センジョウ</t>
    </rPh>
    <rPh sb="5" eb="6">
      <t>キ</t>
    </rPh>
    <phoneticPr fontId="4"/>
  </si>
  <si>
    <t>土地改良費・水利費</t>
    <rPh sb="0" eb="2">
      <t>トチ</t>
    </rPh>
    <rPh sb="2" eb="4">
      <t>カイリョウ</t>
    </rPh>
    <rPh sb="4" eb="5">
      <t>ヒ</t>
    </rPh>
    <rPh sb="6" eb="8">
      <t>スイリ</t>
    </rPh>
    <rPh sb="8" eb="9">
      <t>ヒ</t>
    </rPh>
    <phoneticPr fontId="4"/>
  </si>
  <si>
    <t>動力噴霧器</t>
    <rPh sb="0" eb="2">
      <t>ドウリョク</t>
    </rPh>
    <rPh sb="2" eb="5">
      <t>フンムキ</t>
    </rPh>
    <phoneticPr fontId="4"/>
  </si>
  <si>
    <t>９　単価の算出基礎（葉ねぎ，1kg当たり）</t>
    <rPh sb="2" eb="4">
      <t>タンカ</t>
    </rPh>
    <rPh sb="10" eb="11">
      <t>ハ</t>
    </rPh>
    <phoneticPr fontId="4"/>
  </si>
  <si>
    <t>中部</t>
    <rPh sb="0" eb="1">
      <t>チュウブ</t>
    </rPh>
    <phoneticPr fontId="3"/>
  </si>
  <si>
    <t>基盤整備田</t>
    <rPh sb="0" eb="2">
      <t>キバン</t>
    </rPh>
    <rPh sb="2" eb="4">
      <t>セイビ</t>
    </rPh>
    <rPh sb="4" eb="5">
      <t>デン</t>
    </rPh>
    <phoneticPr fontId="4"/>
  </si>
  <si>
    <t>共選共販</t>
    <rPh sb="3" eb="4">
      <t>ハン</t>
    </rPh>
    <phoneticPr fontId="4"/>
  </si>
  <si>
    <t>播種</t>
    <rPh sb="0" eb="2">
      <t>ハシュ</t>
    </rPh>
    <phoneticPr fontId="4"/>
  </si>
  <si>
    <t>播種器</t>
    <rPh sb="0" eb="2">
      <t>ハシュ</t>
    </rPh>
    <rPh sb="2" eb="3">
      <t>キ</t>
    </rPh>
    <phoneticPr fontId="4"/>
  </si>
  <si>
    <t>催芽</t>
    <rPh sb="0" eb="2">
      <t>サイガ</t>
    </rPh>
    <phoneticPr fontId="4"/>
  </si>
  <si>
    <t>発芽室</t>
    <rPh sb="0" eb="3">
      <t>ハツガシツ</t>
    </rPh>
    <phoneticPr fontId="4"/>
  </si>
  <si>
    <t>水耕施設</t>
    <rPh sb="0" eb="2">
      <t>スイコウ</t>
    </rPh>
    <rPh sb="2" eb="4">
      <t>シセツ</t>
    </rPh>
    <phoneticPr fontId="4"/>
  </si>
  <si>
    <t>周年</t>
    <phoneticPr fontId="4"/>
  </si>
  <si>
    <t>出荷コンテナ
トラック</t>
    <phoneticPr fontId="4"/>
  </si>
  <si>
    <t>養液管理機
養液加温冷却設備</t>
    <phoneticPr fontId="4"/>
  </si>
  <si>
    <t>化学肥料８種類</t>
    <phoneticPr fontId="4"/>
  </si>
  <si>
    <t>一般管理</t>
    <rPh sb="0" eb="2">
      <t>イッパン</t>
    </rPh>
    <rPh sb="2" eb="4">
      <t>カンリ</t>
    </rPh>
    <phoneticPr fontId="4"/>
  </si>
  <si>
    <t>フラワーネット</t>
    <phoneticPr fontId="4"/>
  </si>
  <si>
    <t xml:space="preserve">
防除機</t>
    <rPh sb="1" eb="3">
      <t>ボウジョ</t>
    </rPh>
    <rPh sb="3" eb="4">
      <t>キ</t>
    </rPh>
    <phoneticPr fontId="4"/>
  </si>
  <si>
    <t>パネル洗浄機</t>
    <phoneticPr fontId="4"/>
  </si>
  <si>
    <t>パネル乾燥台車
次亜塩素酸カルシウム</t>
    <phoneticPr fontId="4"/>
  </si>
  <si>
    <t>収穫・出荷</t>
    <rPh sb="3" eb="5">
      <t>シュッカ</t>
    </rPh>
    <phoneticPr fontId="4"/>
  </si>
  <si>
    <t>一般管理
（養液管理）</t>
    <rPh sb="0" eb="2">
      <t>イッパン</t>
    </rPh>
    <rPh sb="2" eb="4">
      <t>カンリ</t>
    </rPh>
    <rPh sb="6" eb="8">
      <t>ヨウエキ</t>
    </rPh>
    <rPh sb="8" eb="10">
      <t>カンリ</t>
    </rPh>
    <phoneticPr fontId="4"/>
  </si>
  <si>
    <t>一般管理
（ハウス管理）</t>
    <rPh sb="0" eb="2">
      <t>イッパン</t>
    </rPh>
    <rPh sb="2" eb="4">
      <t>カンリ</t>
    </rPh>
    <rPh sb="9" eb="11">
      <t>カンリ</t>
    </rPh>
    <phoneticPr fontId="4"/>
  </si>
  <si>
    <t>一般管理
（害虫防除）</t>
    <rPh sb="0" eb="2">
      <t>イッパン</t>
    </rPh>
    <rPh sb="2" eb="4">
      <t>カンリ</t>
    </rPh>
    <rPh sb="6" eb="8">
      <t>ガイチュウ</t>
    </rPh>
    <rPh sb="8" eb="10">
      <t>ボウジョ</t>
    </rPh>
    <phoneticPr fontId="4"/>
  </si>
  <si>
    <t>一般管理
（資材消毒）</t>
    <rPh sb="0" eb="2">
      <t>イッパン</t>
    </rPh>
    <rPh sb="2" eb="4">
      <t>カンリ</t>
    </rPh>
    <rPh sb="6" eb="8">
      <t>シザイ</t>
    </rPh>
    <rPh sb="8" eb="10">
      <t>ショウドク</t>
    </rPh>
    <phoneticPr fontId="4"/>
  </si>
  <si>
    <t>周年</t>
    <phoneticPr fontId="4"/>
  </si>
  <si>
    <t>周年</t>
    <rPh sb="0" eb="2">
      <t>シュウネン</t>
    </rPh>
    <phoneticPr fontId="4"/>
  </si>
  <si>
    <t>発生時</t>
    <rPh sb="0" eb="2">
      <t>ハッセイ</t>
    </rPh>
    <rPh sb="2" eb="3">
      <t>ジ</t>
    </rPh>
    <phoneticPr fontId="4"/>
  </si>
  <si>
    <t>常時</t>
    <rPh sb="0" eb="2">
      <t>ジョウジ</t>
    </rPh>
    <phoneticPr fontId="4"/>
  </si>
  <si>
    <t>（出荷調整作業は委託）</t>
    <rPh sb="1" eb="3">
      <t>シュッカ</t>
    </rPh>
    <rPh sb="3" eb="5">
      <t>チョウセイ</t>
    </rPh>
    <rPh sb="5" eb="7">
      <t>サギョウ</t>
    </rPh>
    <rPh sb="8" eb="10">
      <t>イタク</t>
    </rPh>
    <phoneticPr fontId="3"/>
  </si>
  <si>
    <t>㎏44円　10,560㎏×44円＝464,640円</t>
    <rPh sb="3" eb="4">
      <t>エン</t>
    </rPh>
    <rPh sb="15" eb="16">
      <t>エン</t>
    </rPh>
    <rPh sb="24" eb="25">
      <t>エン</t>
    </rPh>
    <phoneticPr fontId="4"/>
  </si>
  <si>
    <t>ｋｇ70円　10,560㎏×70円＝739,200円</t>
    <rPh sb="4" eb="5">
      <t>エン</t>
    </rPh>
    <rPh sb="16" eb="17">
      <t>エン</t>
    </rPh>
    <rPh sb="25" eb="26">
      <t>エン</t>
    </rPh>
    <phoneticPr fontId="4"/>
  </si>
  <si>
    <t>販売額×11.5％</t>
    <rPh sb="0" eb="2">
      <t>ハンバイ</t>
    </rPh>
    <rPh sb="2" eb="3">
      <t>ガク</t>
    </rPh>
    <phoneticPr fontId="4"/>
  </si>
  <si>
    <t>選果料　10円/束×10,560㎏×10束</t>
    <rPh sb="0" eb="1">
      <t>セン</t>
    </rPh>
    <rPh sb="1" eb="2">
      <t>カ</t>
    </rPh>
    <rPh sb="2" eb="3">
      <t>リョウ</t>
    </rPh>
    <rPh sb="6" eb="7">
      <t>エン</t>
    </rPh>
    <rPh sb="8" eb="9">
      <t>タバ</t>
    </rPh>
    <rPh sb="20" eb="21">
      <t>タバ</t>
    </rPh>
    <phoneticPr fontId="4"/>
  </si>
  <si>
    <t>８種類</t>
    <rPh sb="1" eb="3">
      <t>シュルイ</t>
    </rPh>
    <phoneticPr fontId="4"/>
  </si>
  <si>
    <t>１作業</t>
    <rPh sb="1" eb="3">
      <t>サギョウ</t>
    </rPh>
    <phoneticPr fontId="4"/>
  </si>
  <si>
    <t>個別経営体</t>
    <rPh sb="0" eb="2">
      <t>コベツ</t>
    </rPh>
    <rPh sb="2" eb="5">
      <t>ケイエイタイ</t>
    </rPh>
    <phoneticPr fontId="3"/>
  </si>
  <si>
    <t>2.5人</t>
    <rPh sb="3" eb="4">
      <t>ニン</t>
    </rPh>
    <phoneticPr fontId="3"/>
  </si>
  <si>
    <t>青ねぎ(水耕）専作　</t>
    <rPh sb="0" eb="1">
      <t>アオ</t>
    </rPh>
    <rPh sb="4" eb="5">
      <t>スイ</t>
    </rPh>
    <rPh sb="5" eb="6">
      <t>タガヤ</t>
    </rPh>
    <rPh sb="7" eb="8">
      <t>セン</t>
    </rPh>
    <rPh sb="8" eb="9">
      <t>サク</t>
    </rPh>
    <phoneticPr fontId="3"/>
  </si>
  <si>
    <t>ハウス</t>
    <phoneticPr fontId="4"/>
  </si>
  <si>
    <t>普通トラック</t>
    <rPh sb="0" eb="2">
      <t>フツウ</t>
    </rPh>
    <phoneticPr fontId="4"/>
  </si>
  <si>
    <t>博多黒ネギ</t>
    <rPh sb="0" eb="2">
      <t>ハカタ</t>
    </rPh>
    <rPh sb="2" eb="3">
      <t>クロ</t>
    </rPh>
    <phoneticPr fontId="4"/>
  </si>
  <si>
    <t>ロックウール</t>
    <phoneticPr fontId="4"/>
  </si>
  <si>
    <t>出荷コンテナ</t>
    <rPh sb="0" eb="2">
      <t>シュッカ</t>
    </rPh>
    <phoneticPr fontId="4"/>
  </si>
  <si>
    <t>フラワーネット</t>
    <phoneticPr fontId="4"/>
  </si>
  <si>
    <t>播種機</t>
    <rPh sb="0" eb="2">
      <t>ハシュ</t>
    </rPh>
    <rPh sb="2" eb="3">
      <t>キ</t>
    </rPh>
    <phoneticPr fontId="4"/>
  </si>
  <si>
    <t>パネル乾燥台車</t>
    <rPh sb="3" eb="5">
      <t>カンソウ</t>
    </rPh>
    <rPh sb="5" eb="7">
      <t>ダイシャ</t>
    </rPh>
    <phoneticPr fontId="4"/>
  </si>
  <si>
    <t>苗台車</t>
    <rPh sb="0" eb="1">
      <t>ナエ</t>
    </rPh>
    <rPh sb="1" eb="3">
      <t>ダイシャ</t>
    </rPh>
    <phoneticPr fontId="4"/>
  </si>
  <si>
    <t>－</t>
    <phoneticPr fontId="4"/>
  </si>
  <si>
    <t>青ねぎ（水耕）</t>
    <rPh sb="0" eb="1">
      <t>アオ</t>
    </rPh>
    <rPh sb="4" eb="5">
      <t>スイ</t>
    </rPh>
    <rPh sb="5" eb="6">
      <t>タガヤ</t>
    </rPh>
    <phoneticPr fontId="3"/>
  </si>
  <si>
    <t>青ねぎ（水耕）</t>
    <rPh sb="0" eb="1">
      <t>アオ</t>
    </rPh>
    <rPh sb="4" eb="5">
      <t>スイ</t>
    </rPh>
    <rPh sb="5" eb="6">
      <t>タガヤ</t>
    </rPh>
    <phoneticPr fontId="4"/>
  </si>
  <si>
    <t>青ねぎ（水耕）　周年</t>
    <rPh sb="0" eb="1">
      <t>アオ</t>
    </rPh>
    <rPh sb="4" eb="5">
      <t>スイ</t>
    </rPh>
    <rPh sb="5" eb="6">
      <t>タガヤ</t>
    </rPh>
    <rPh sb="8" eb="10">
      <t>シュウネン</t>
    </rPh>
    <phoneticPr fontId="4"/>
  </si>
  <si>
    <t>５　作業別・旬別作業時間（青ネギ（水耕））</t>
    <rPh sb="13" eb="14">
      <t>アオ</t>
    </rPh>
    <rPh sb="17" eb="18">
      <t>スイ</t>
    </rPh>
    <rPh sb="18" eb="19">
      <t>タガヤ</t>
    </rPh>
    <phoneticPr fontId="4"/>
  </si>
  <si>
    <t>青ねぎ（水耕）</t>
    <rPh sb="0" eb="1">
      <t>アオ</t>
    </rPh>
    <rPh sb="4" eb="6">
      <t>スイコウ</t>
    </rPh>
    <phoneticPr fontId="4"/>
  </si>
  <si>
    <t>８　経費の算出基礎（青ねぎ（水耕），10a当たり）</t>
    <rPh sb="2" eb="4">
      <t>ケイヒ</t>
    </rPh>
    <rPh sb="5" eb="7">
      <t>サンシュツ</t>
    </rPh>
    <rPh sb="7" eb="9">
      <t>キソ</t>
    </rPh>
    <rPh sb="10" eb="11">
      <t>アオ</t>
    </rPh>
    <rPh sb="14" eb="15">
      <t>スイ</t>
    </rPh>
    <rPh sb="15" eb="16">
      <t>コウ</t>
    </rPh>
    <rPh sb="21" eb="22">
      <t>ア</t>
    </rPh>
    <phoneticPr fontId="4"/>
  </si>
  <si>
    <r>
      <t>３　標準技術（青ねぎ（水耕）</t>
    </r>
    <r>
      <rPr>
        <sz val="11"/>
        <rFont val="ＭＳ Ｐゴシック"/>
        <family val="3"/>
        <charset val="128"/>
      </rPr>
      <t>）</t>
    </r>
    <rPh sb="2" eb="4">
      <t>ヒョウジュン</t>
    </rPh>
    <rPh sb="4" eb="6">
      <t>ギジュツ</t>
    </rPh>
    <rPh sb="7" eb="8">
      <t>アオ</t>
    </rPh>
    <rPh sb="11" eb="12">
      <t>スイ</t>
    </rPh>
    <rPh sb="12" eb="13">
      <t>タガヤ</t>
    </rPh>
    <phoneticPr fontId="4"/>
  </si>
  <si>
    <t>青ねぎ（水耕）</t>
    <rPh sb="0" eb="1">
      <t>アオ</t>
    </rPh>
    <rPh sb="4" eb="5">
      <t>スイ</t>
    </rPh>
    <rPh sb="5" eb="6">
      <t>タガヤ</t>
    </rPh>
    <phoneticPr fontId="4"/>
  </si>
  <si>
    <t>（85a×3,000円）/80a</t>
    <rPh sb="10" eb="11">
      <t>エン</t>
    </rPh>
    <phoneticPr fontId="4"/>
  </si>
  <si>
    <t>3,188円/10a</t>
    <rPh sb="5" eb="6">
      <t>エン</t>
    </rPh>
    <phoneticPr fontId="4"/>
  </si>
  <si>
    <t>○：播種　△：仮植　×：定植　■；収穫　　　　；天井ビニール被覆　　　；天井ビニール撤去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</si>
  <si>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r>
      <t>ＪＡ広島北部</t>
    </r>
    <r>
      <rPr>
        <sz val="11"/>
        <rFont val="ＭＳ Ｐゴシック"/>
        <family val="3"/>
        <charset val="128"/>
      </rPr>
      <t>方式　（関連機器設備含む）</t>
    </r>
    <rPh sb="2" eb="4">
      <t>ヒロシマ</t>
    </rPh>
    <rPh sb="4" eb="6">
      <t>ホクブ</t>
    </rPh>
    <rPh sb="6" eb="7">
      <t>ホウ</t>
    </rPh>
    <rPh sb="7" eb="8">
      <t>シキ</t>
    </rPh>
    <rPh sb="10" eb="12">
      <t>カンレン</t>
    </rPh>
    <rPh sb="12" eb="14">
      <t>キキ</t>
    </rPh>
    <rPh sb="14" eb="16">
      <t>セツビ</t>
    </rPh>
    <rPh sb="16" eb="17">
      <t>フク</t>
    </rPh>
    <phoneticPr fontId="4"/>
  </si>
  <si>
    <t>自家労力（2.5人），雇用労力</t>
    <rPh sb="8" eb="9">
      <t>ニン</t>
    </rPh>
    <rPh sb="13" eb="15">
      <t>ロウリョク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</si>
  <si>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</si>
  <si>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</si>
  <si>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</si>
  <si>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３種類</t>
    <rPh sb="1" eb="3">
      <t>シュルイ</t>
    </rPh>
    <phoneticPr fontId="4"/>
  </si>
  <si>
    <t xml:space="preserve">消毒済み種子（15リットル）
ロックウール培地
播種器
</t>
    <rPh sb="0" eb="2">
      <t>ショウドク</t>
    </rPh>
    <rPh sb="2" eb="3">
      <t>ズ</t>
    </rPh>
    <rPh sb="4" eb="6">
      <t>シュシ</t>
    </rPh>
    <rPh sb="21" eb="23">
      <t>バイチ</t>
    </rPh>
    <rPh sb="26" eb="27">
      <t>キ</t>
    </rPh>
    <phoneticPr fontId="4"/>
  </si>
  <si>
    <t>苗台車
パネル
フラワーネット</t>
    <phoneticPr fontId="4"/>
  </si>
  <si>
    <t>緑化・育苗</t>
    <rPh sb="0" eb="2">
      <t>リョクカ</t>
    </rPh>
    <rPh sb="3" eb="5">
      <t>イクビョウ</t>
    </rPh>
    <phoneticPr fontId="4"/>
  </si>
  <si>
    <t xml:space="preserve">
殺虫剤３種類
</t>
    <rPh sb="2" eb="5">
      <t>サッチュウザイ</t>
    </rPh>
    <rPh sb="6" eb="8">
      <t>シュルイ</t>
    </rPh>
    <phoneticPr fontId="4"/>
  </si>
  <si>
    <t>原水用地下水の水質を考慮した培養液管理
発芽室・育苗ベットでの育苗管理
養液管理
夏季ハウス内の高温対策</t>
    <rPh sb="0" eb="2">
      <t>ゲンスイ</t>
    </rPh>
    <rPh sb="2" eb="3">
      <t>ヨウ</t>
    </rPh>
    <rPh sb="3" eb="6">
      <t>チカスイ</t>
    </rPh>
    <rPh sb="7" eb="9">
      <t>スイシツ</t>
    </rPh>
    <rPh sb="10" eb="12">
      <t>コウリョ</t>
    </rPh>
    <rPh sb="14" eb="17">
      <t>バイヨウエキ</t>
    </rPh>
    <rPh sb="17" eb="19">
      <t>カンリ</t>
    </rPh>
    <rPh sb="20" eb="22">
      <t>ハツガ</t>
    </rPh>
    <rPh sb="22" eb="23">
      <t>シツ</t>
    </rPh>
    <rPh sb="24" eb="26">
      <t>イクビョウ</t>
    </rPh>
    <rPh sb="31" eb="33">
      <t>イクビョウ</t>
    </rPh>
    <rPh sb="33" eb="35">
      <t>カンリ</t>
    </rPh>
    <rPh sb="41" eb="43">
      <t>カキ</t>
    </rPh>
    <rPh sb="46" eb="47">
      <t>ナイ</t>
    </rPh>
    <rPh sb="48" eb="50">
      <t>コウオン</t>
    </rPh>
    <rPh sb="50" eb="52">
      <t>タイサク</t>
    </rPh>
    <phoneticPr fontId="4"/>
  </si>
  <si>
    <t xml:space="preserve">
吸水したロックウール培地に１ブロックあたり10粒程度播種する。</t>
    <rPh sb="1" eb="3">
      <t>キュウスイ</t>
    </rPh>
    <rPh sb="25" eb="27">
      <t>テイド</t>
    </rPh>
    <phoneticPr fontId="4"/>
  </si>
  <si>
    <t xml:space="preserve">
20℃前後の環境で発芽させる（播種後４～６日程度）。</t>
    <rPh sb="4" eb="6">
      <t>ゼンゴ</t>
    </rPh>
    <rPh sb="7" eb="9">
      <t>カンキョウ</t>
    </rPh>
    <rPh sb="16" eb="18">
      <t>ハシュ</t>
    </rPh>
    <rPh sb="18" eb="19">
      <t>ゴ</t>
    </rPh>
    <rPh sb="22" eb="23">
      <t>ニチ</t>
    </rPh>
    <rPh sb="23" eb="25">
      <t>テイド</t>
    </rPh>
    <phoneticPr fontId="4"/>
  </si>
  <si>
    <t xml:space="preserve">
培地の水分を適正に管理しながら，苗に光を当てる。</t>
    <rPh sb="1" eb="3">
      <t>バイチ</t>
    </rPh>
    <rPh sb="4" eb="6">
      <t>スイブン</t>
    </rPh>
    <rPh sb="7" eb="9">
      <t>テキセイ</t>
    </rPh>
    <rPh sb="10" eb="12">
      <t>カンリ</t>
    </rPh>
    <rPh sb="17" eb="18">
      <t>ナエ</t>
    </rPh>
    <phoneticPr fontId="4"/>
  </si>
  <si>
    <t xml:space="preserve">
培地を１ブロックずつ定植パネルに植える。
</t>
    <rPh sb="1" eb="3">
      <t>バイチ</t>
    </rPh>
    <rPh sb="11" eb="13">
      <t>テイショク</t>
    </rPh>
    <rPh sb="17" eb="18">
      <t>ウ</t>
    </rPh>
    <phoneticPr fontId="4"/>
  </si>
  <si>
    <t xml:space="preserve">
倒伏防止のためネットを張り，生育に応じて徐々に上げる。</t>
    <rPh sb="1" eb="3">
      <t>トウフク</t>
    </rPh>
    <rPh sb="3" eb="5">
      <t>ボウシ</t>
    </rPh>
    <rPh sb="12" eb="13">
      <t>ハ</t>
    </rPh>
    <rPh sb="15" eb="17">
      <t>セイイク</t>
    </rPh>
    <rPh sb="18" eb="19">
      <t>オウ</t>
    </rPh>
    <rPh sb="21" eb="23">
      <t>ジョジョ</t>
    </rPh>
    <rPh sb="24" eb="25">
      <t>ア</t>
    </rPh>
    <phoneticPr fontId="4"/>
  </si>
  <si>
    <t xml:space="preserve">
ＥＣ値は1.8～2.0mS/㎝，ｐＨは5.5～6.5の範囲で管理する。養液温度は，低温期は18℃前後，高温期は24℃以下で管理する。</t>
    <rPh sb="3" eb="4">
      <t>チ</t>
    </rPh>
    <rPh sb="36" eb="38">
      <t>ヨウエキ</t>
    </rPh>
    <rPh sb="38" eb="40">
      <t>オンド</t>
    </rPh>
    <rPh sb="42" eb="44">
      <t>テイオン</t>
    </rPh>
    <rPh sb="44" eb="45">
      <t>キ</t>
    </rPh>
    <rPh sb="49" eb="51">
      <t>ゼンゴ</t>
    </rPh>
    <rPh sb="52" eb="54">
      <t>コウオン</t>
    </rPh>
    <rPh sb="54" eb="55">
      <t>キ</t>
    </rPh>
    <rPh sb="59" eb="61">
      <t>イカ</t>
    </rPh>
    <rPh sb="62" eb="64">
      <t>カンリ</t>
    </rPh>
    <phoneticPr fontId="4"/>
  </si>
  <si>
    <t xml:space="preserve">
ハウス内の気温は15～25℃の範囲となるよう換気・保温を行う。</t>
    <rPh sb="4" eb="5">
      <t>ナイ</t>
    </rPh>
    <rPh sb="6" eb="8">
      <t>キオン</t>
    </rPh>
    <rPh sb="16" eb="18">
      <t>ハンイ</t>
    </rPh>
    <rPh sb="23" eb="25">
      <t>カンキ</t>
    </rPh>
    <rPh sb="26" eb="28">
      <t>ホオン</t>
    </rPh>
    <rPh sb="29" eb="30">
      <t>オコナ</t>
    </rPh>
    <phoneticPr fontId="4"/>
  </si>
  <si>
    <t xml:space="preserve">
アザミウマ・ハモグリバエなどの害虫が発生した場合，防除を行う。
</t>
    <rPh sb="19" eb="21">
      <t>ハッセイ</t>
    </rPh>
    <rPh sb="23" eb="25">
      <t>バアイ</t>
    </rPh>
    <rPh sb="26" eb="28">
      <t>ボウジョ</t>
    </rPh>
    <rPh sb="29" eb="30">
      <t>オコナ</t>
    </rPh>
    <phoneticPr fontId="4"/>
  </si>
  <si>
    <t xml:space="preserve">
育苗箱・パネル・タンク・栽培槽を殺菌する。</t>
    <phoneticPr fontId="4"/>
  </si>
  <si>
    <t xml:space="preserve">
収穫適期になったネギをパネルから抜き，コンテナに入れ，共同選果場へ運搬する。</t>
    <rPh sb="28" eb="30">
      <t>キョウドウ</t>
    </rPh>
    <rPh sb="30" eb="33">
      <t>センカジョウ</t>
    </rPh>
    <rPh sb="34" eb="36">
      <t>ウンパン</t>
    </rPh>
    <phoneticPr fontId="4"/>
  </si>
  <si>
    <t xml:space="preserve">
ネギは種子の寿命が短い。低温・乾燥条件下で種子を保管する。</t>
    <rPh sb="4" eb="6">
      <t>シュシ</t>
    </rPh>
    <rPh sb="7" eb="9">
      <t>ジュミョウ</t>
    </rPh>
    <rPh sb="10" eb="11">
      <t>ミジカ</t>
    </rPh>
    <rPh sb="13" eb="15">
      <t>テイオン</t>
    </rPh>
    <rPh sb="16" eb="18">
      <t>カンソウ</t>
    </rPh>
    <rPh sb="18" eb="21">
      <t>ジョウケンカ</t>
    </rPh>
    <rPh sb="22" eb="24">
      <t>シュシ</t>
    </rPh>
    <rPh sb="25" eb="27">
      <t>ホカン</t>
    </rPh>
    <phoneticPr fontId="4"/>
  </si>
  <si>
    <t xml:space="preserve">
発芽には光を必要としないため暗黒または弱光下で管理する。ポリシートなどで覆って保湿し発芽させる。</t>
    <rPh sb="1" eb="3">
      <t>ハツガ</t>
    </rPh>
    <rPh sb="5" eb="6">
      <t>ヒカリ</t>
    </rPh>
    <rPh sb="7" eb="9">
      <t>ヒツヨウ</t>
    </rPh>
    <rPh sb="15" eb="17">
      <t>アンコク</t>
    </rPh>
    <rPh sb="20" eb="21">
      <t>ジャク</t>
    </rPh>
    <rPh sb="21" eb="22">
      <t>ヒカリ</t>
    </rPh>
    <rPh sb="22" eb="23">
      <t>シタ</t>
    </rPh>
    <rPh sb="24" eb="26">
      <t>カンリ</t>
    </rPh>
    <rPh sb="37" eb="38">
      <t>オオ</t>
    </rPh>
    <rPh sb="40" eb="42">
      <t>ホシツ</t>
    </rPh>
    <rPh sb="43" eb="45">
      <t>ハツガ</t>
    </rPh>
    <phoneticPr fontId="4"/>
  </si>
  <si>
    <t xml:space="preserve">
緑化の際は，強光を避けた方が良い。培地の水分管理に注意しながら薄い培養液を与える。</t>
    <rPh sb="1" eb="3">
      <t>リョクカ</t>
    </rPh>
    <rPh sb="4" eb="5">
      <t>サイ</t>
    </rPh>
    <rPh sb="7" eb="9">
      <t>キョウコウ</t>
    </rPh>
    <rPh sb="10" eb="11">
      <t>サ</t>
    </rPh>
    <rPh sb="13" eb="14">
      <t>ホウ</t>
    </rPh>
    <rPh sb="15" eb="16">
      <t>ヨ</t>
    </rPh>
    <rPh sb="18" eb="20">
      <t>バイチ</t>
    </rPh>
    <rPh sb="21" eb="23">
      <t>スイブン</t>
    </rPh>
    <rPh sb="23" eb="25">
      <t>カンリ</t>
    </rPh>
    <rPh sb="26" eb="28">
      <t>チュウイ</t>
    </rPh>
    <rPh sb="32" eb="33">
      <t>ウス</t>
    </rPh>
    <rPh sb="34" eb="37">
      <t>バイヨウエキ</t>
    </rPh>
    <rPh sb="38" eb="39">
      <t>アタ</t>
    </rPh>
    <phoneticPr fontId="4"/>
  </si>
  <si>
    <t xml:space="preserve">
発芽後10～14日で，子葉がまっすぐに立つ時期が定植適期。老化苗は，定植後の生育が悪く，収穫までの日数が長くなる。</t>
    <rPh sb="1" eb="3">
      <t>ハツガ</t>
    </rPh>
    <rPh sb="3" eb="4">
      <t>ゴ</t>
    </rPh>
    <rPh sb="9" eb="10">
      <t>ニチ</t>
    </rPh>
    <rPh sb="12" eb="14">
      <t>シヨウ</t>
    </rPh>
    <rPh sb="20" eb="21">
      <t>タ</t>
    </rPh>
    <rPh sb="22" eb="24">
      <t>ジキ</t>
    </rPh>
    <rPh sb="25" eb="27">
      <t>テイショク</t>
    </rPh>
    <rPh sb="27" eb="29">
      <t>テッキ</t>
    </rPh>
    <rPh sb="30" eb="32">
      <t>ロウカ</t>
    </rPh>
    <rPh sb="32" eb="33">
      <t>ナエ</t>
    </rPh>
    <rPh sb="35" eb="37">
      <t>テイショク</t>
    </rPh>
    <rPh sb="37" eb="38">
      <t>ゴ</t>
    </rPh>
    <rPh sb="39" eb="41">
      <t>セイイク</t>
    </rPh>
    <rPh sb="42" eb="43">
      <t>ワル</t>
    </rPh>
    <rPh sb="45" eb="47">
      <t>シュウカク</t>
    </rPh>
    <rPh sb="50" eb="52">
      <t>ニッスウ</t>
    </rPh>
    <rPh sb="53" eb="54">
      <t>ナガ</t>
    </rPh>
    <phoneticPr fontId="4"/>
  </si>
  <si>
    <t xml:space="preserve">
草丈が20㎝以上になると風などで葉が折れやすくなる。</t>
    <rPh sb="1" eb="3">
      <t>クサタケ</t>
    </rPh>
    <rPh sb="7" eb="9">
      <t>イジョウ</t>
    </rPh>
    <rPh sb="13" eb="14">
      <t>カゼ</t>
    </rPh>
    <rPh sb="17" eb="18">
      <t>ハ</t>
    </rPh>
    <rPh sb="19" eb="20">
      <t>オ</t>
    </rPh>
    <phoneticPr fontId="4"/>
  </si>
  <si>
    <t xml:space="preserve">
根温の適温は22～24℃。</t>
    <rPh sb="1" eb="2">
      <t>ネ</t>
    </rPh>
    <rPh sb="2" eb="3">
      <t>オン</t>
    </rPh>
    <rPh sb="4" eb="6">
      <t>テキオン</t>
    </rPh>
    <phoneticPr fontId="4"/>
  </si>
  <si>
    <t xml:space="preserve">
カーテンの制御や換気方法など工夫してハウス内湿度を適正に保つ。</t>
    <rPh sb="6" eb="8">
      <t>セイギョ</t>
    </rPh>
    <rPh sb="9" eb="11">
      <t>カンキ</t>
    </rPh>
    <rPh sb="11" eb="13">
      <t>ホウホウ</t>
    </rPh>
    <rPh sb="15" eb="17">
      <t>クフウ</t>
    </rPh>
    <rPh sb="22" eb="23">
      <t>ナイ</t>
    </rPh>
    <rPh sb="23" eb="25">
      <t>シツド</t>
    </rPh>
    <rPh sb="26" eb="28">
      <t>テキセイ</t>
    </rPh>
    <rPh sb="29" eb="30">
      <t>タモ</t>
    </rPh>
    <phoneticPr fontId="4"/>
  </si>
  <si>
    <t xml:space="preserve">
定期的・予防的な薬剤散布ではなく，発生する時期などを考慮して薬剤散布を最小限にとどめる。施設内外の環境を清潔に保つ。</t>
    <rPh sb="1" eb="3">
      <t>テイキ</t>
    </rPh>
    <rPh sb="45" eb="47">
      <t>シセツ</t>
    </rPh>
    <rPh sb="47" eb="49">
      <t>ナイガイ</t>
    </rPh>
    <rPh sb="50" eb="52">
      <t>カンキョウ</t>
    </rPh>
    <rPh sb="53" eb="55">
      <t>セイケツ</t>
    </rPh>
    <rPh sb="56" eb="57">
      <t>タモ</t>
    </rPh>
    <phoneticPr fontId="4"/>
  </si>
  <si>
    <t xml:space="preserve">
栽培槽に付着した残根や残渣をブラシ等で洗浄・除去した後，塩素製剤を流し込む。</t>
    <phoneticPr fontId="4"/>
  </si>
  <si>
    <t xml:space="preserve">
ネギを傷つけないようにネットの下から抜く。</t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</si>
  <si>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</si>
  <si>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</si>
  <si>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</si>
  <si>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</si>
  <si>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</si>
  <si>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C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</si>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</sst>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_);[Red]\(#,##0.00\)"/>
    <numFmt numFmtId="187" formatCode="#,##0.0;[Red]#,##0.0"/>
    <numFmt numFmtId="188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3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7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7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3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0" xfId="0" applyNumberFormat="1" applyFont="1" applyFill="1" applyBorder="1" applyAlignment="1">
      <alignment vertical="center" shrinkToFit="1"/>
    </xf>
    <xf numFmtId="178" fontId="0" fillId="2" borderId="11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2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0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9" fontId="0" fillId="0" borderId="126" xfId="0" applyNumberFormat="1" applyFont="1" applyBorder="1" applyAlignment="1">
      <alignment horizontal="center" vertical="center" shrinkToFit="1"/>
    </xf>
    <xf numFmtId="176" fontId="0" fillId="6" borderId="114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0" xfId="0" applyNumberFormat="1" applyFont="1" applyFill="1" applyBorder="1" applyAlignment="1">
      <alignment vertical="center" shrinkToFit="1"/>
    </xf>
    <xf numFmtId="183" fontId="0" fillId="6" borderId="53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3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7" fontId="0" fillId="6" borderId="141" xfId="0" applyNumberFormat="1" applyFont="1" applyFill="1" applyBorder="1" applyAlignment="1">
      <alignment vertical="center" shrinkToFit="1"/>
    </xf>
    <xf numFmtId="177" fontId="0" fillId="0" borderId="141" xfId="3" applyNumberFormat="1" applyFont="1" applyBorder="1" applyAlignment="1">
      <alignment vertical="center"/>
    </xf>
    <xf numFmtId="177" fontId="0" fillId="0" borderId="107" xfId="3" applyNumberFormat="1" applyFont="1" applyBorder="1" applyAlignment="1">
      <alignment horizontal="right" vertical="center"/>
    </xf>
    <xf numFmtId="177" fontId="0" fillId="0" borderId="107" xfId="3" applyNumberFormat="1" applyFont="1" applyBorder="1" applyAlignment="1">
      <alignment horizontal="left" vertical="center" shrinkToFit="1"/>
    </xf>
    <xf numFmtId="177" fontId="0" fillId="0" borderId="142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3" xfId="3" applyNumberFormat="1" applyFont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8" fontId="0" fillId="0" borderId="14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3" xfId="0" applyNumberFormat="1" applyFont="1" applyFill="1" applyBorder="1" applyAlignment="1">
      <alignment horizontal="left" vertical="center"/>
    </xf>
    <xf numFmtId="177" fontId="0" fillId="0" borderId="143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6" xfId="3" applyNumberFormat="1" applyFont="1" applyBorder="1" applyAlignment="1">
      <alignment horizontal="center" vertical="center" shrinkToFit="1"/>
    </xf>
    <xf numFmtId="177" fontId="0" fillId="0" borderId="75" xfId="3" applyNumberFormat="1" applyFont="1" applyBorder="1" applyAlignment="1">
      <alignment horizontal="center" vertical="center" shrinkToFit="1"/>
    </xf>
    <xf numFmtId="176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51" xfId="3" applyNumberFormat="1" applyFont="1" applyBorder="1" applyAlignment="1">
      <alignment vertical="center" shrinkToFit="1"/>
    </xf>
    <xf numFmtId="176" fontId="0" fillId="0" borderId="15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176" fontId="0" fillId="2" borderId="149" xfId="0" applyNumberFormat="1" applyFont="1" applyFill="1" applyBorder="1" applyAlignment="1">
      <alignment vertical="center" shrinkToFit="1"/>
    </xf>
    <xf numFmtId="176" fontId="0" fillId="2" borderId="64" xfId="0" applyNumberFormat="1" applyFont="1" applyFill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1" xfId="3" applyNumberFormat="1" applyFont="1" applyFill="1" applyBorder="1" applyAlignment="1">
      <alignment horizontal="center" vertical="center" shrinkToFit="1"/>
    </xf>
    <xf numFmtId="177" fontId="0" fillId="2" borderId="51" xfId="3" applyNumberFormat="1" applyFont="1" applyFill="1" applyBorder="1" applyAlignment="1">
      <alignment vertical="center" shrinkToFit="1"/>
    </xf>
    <xf numFmtId="176" fontId="0" fillId="6" borderId="149" xfId="0" applyNumberFormat="1" applyFont="1" applyFill="1" applyBorder="1" applyAlignment="1">
      <alignment vertical="center"/>
    </xf>
    <xf numFmtId="176" fontId="0" fillId="0" borderId="151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1" xfId="0" applyNumberFormat="1" applyFont="1" applyBorder="1" applyAlignment="1">
      <alignment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10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7" fontId="0" fillId="0" borderId="108" xfId="0" applyNumberFormat="1" applyFont="1" applyBorder="1" applyAlignment="1">
      <alignment horizontal="center" vertical="center" shrinkToFit="1"/>
    </xf>
    <xf numFmtId="177" fontId="0" fillId="2" borderId="132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54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59" xfId="0" applyNumberFormat="1" applyFont="1" applyFill="1" applyBorder="1" applyAlignment="1">
      <alignment vertical="center" shrinkToFit="1"/>
    </xf>
    <xf numFmtId="176" fontId="0" fillId="2" borderId="160" xfId="0" applyNumberFormat="1" applyFont="1" applyFill="1" applyBorder="1" applyAlignment="1">
      <alignment vertical="center" shrinkToFit="1"/>
    </xf>
    <xf numFmtId="177" fontId="0" fillId="2" borderId="156" xfId="3" applyNumberFormat="1" applyFont="1" applyFill="1" applyBorder="1" applyAlignment="1">
      <alignment horizontal="center" vertical="center" shrinkToFit="1"/>
    </xf>
    <xf numFmtId="177" fontId="0" fillId="2" borderId="156" xfId="3" applyNumberFormat="1" applyFont="1" applyFill="1" applyBorder="1" applyAlignment="1">
      <alignment vertical="center" shrinkToFit="1"/>
    </xf>
    <xf numFmtId="176" fontId="0" fillId="6" borderId="161" xfId="0" applyNumberFormat="1" applyFon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6" xfId="0" applyFont="1" applyBorder="1" applyAlignment="1">
      <alignment horizontal="center" vertical="center" shrinkToFit="1"/>
    </xf>
    <xf numFmtId="0" fontId="8" fillId="0" borderId="169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3" xfId="0" applyNumberFormat="1" applyFont="1" applyBorder="1" applyAlignment="1">
      <alignment vertical="center"/>
    </xf>
    <xf numFmtId="176" fontId="0" fillId="0" borderId="87" xfId="0" applyNumberFormat="1" applyBorder="1" applyAlignment="1">
      <alignment vertical="center"/>
    </xf>
    <xf numFmtId="176" fontId="0" fillId="0" borderId="87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6" fontId="0" fillId="0" borderId="77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40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6" fontId="0" fillId="0" borderId="53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6" xfId="0" applyNumberFormat="1" applyFont="1" applyBorder="1" applyAlignment="1">
      <alignment vertical="center" shrinkToFit="1"/>
    </xf>
    <xf numFmtId="184" fontId="13" fillId="0" borderId="176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7" xfId="0" applyNumberFormat="1" applyFont="1" applyBorder="1" applyAlignment="1">
      <alignment vertical="center" shrinkToFit="1"/>
    </xf>
    <xf numFmtId="9" fontId="0" fillId="0" borderId="87" xfId="0" applyNumberFormat="1" applyFont="1" applyBorder="1" applyAlignment="1">
      <alignment vertical="center" shrinkToFit="1"/>
    </xf>
    <xf numFmtId="182" fontId="0" fillId="0" borderId="87" xfId="4" applyNumberFormat="1" applyFont="1" applyBorder="1" applyAlignment="1">
      <alignment vertical="center" shrinkToFit="1"/>
    </xf>
    <xf numFmtId="176" fontId="0" fillId="0" borderId="87" xfId="0" applyNumberFormat="1" applyFont="1" applyBorder="1" applyAlignment="1">
      <alignment horizontal="right" vertical="center" shrinkToFit="1"/>
    </xf>
    <xf numFmtId="176" fontId="0" fillId="2" borderId="87" xfId="0" applyNumberFormat="1" applyFont="1" applyFill="1" applyBorder="1" applyAlignment="1">
      <alignment vertical="center" shrinkToFit="1"/>
    </xf>
    <xf numFmtId="176" fontId="0" fillId="2" borderId="87" xfId="0" applyNumberFormat="1" applyFont="1" applyFill="1" applyBorder="1" applyAlignment="1">
      <alignment horizontal="left" vertical="center" shrinkToFit="1"/>
    </xf>
    <xf numFmtId="179" fontId="0" fillId="2" borderId="87" xfId="0" applyNumberFormat="1" applyFont="1" applyFill="1" applyBorder="1" applyAlignment="1">
      <alignment vertical="center" shrinkToFit="1"/>
    </xf>
    <xf numFmtId="9" fontId="0" fillId="0" borderId="87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7" xfId="0" applyNumberForma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177" fontId="0" fillId="0" borderId="75" xfId="0" applyNumberFormat="1" applyBorder="1" applyAlignment="1">
      <alignment horizontal="center" vertical="center" shrinkToFit="1"/>
    </xf>
    <xf numFmtId="177" fontId="0" fillId="0" borderId="50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57" xfId="0" applyNumberFormat="1" applyFont="1" applyFill="1" applyBorder="1" applyAlignment="1">
      <alignment vertical="center"/>
    </xf>
    <xf numFmtId="177" fontId="0" fillId="0" borderId="164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157" xfId="0" applyNumberFormat="1" applyFont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5" fontId="0" fillId="0" borderId="76" xfId="0" applyNumberFormat="1" applyFont="1" applyBorder="1" applyAlignment="1">
      <alignment horizontal="center" vertical="center"/>
    </xf>
    <xf numFmtId="181" fontId="0" fillId="4" borderId="41" xfId="0" applyNumberFormat="1" applyFont="1" applyFill="1" applyBorder="1" applyAlignment="1">
      <alignment horizontal="right" vertical="center"/>
    </xf>
    <xf numFmtId="181" fontId="0" fillId="0" borderId="39" xfId="0" applyNumberFormat="1" applyFont="1" applyFill="1" applyBorder="1" applyAlignment="1">
      <alignment horizontal="right" vertical="center"/>
    </xf>
    <xf numFmtId="181" fontId="0" fillId="7" borderId="39" xfId="0" applyNumberFormat="1" applyFont="1" applyFill="1" applyBorder="1" applyAlignment="1">
      <alignment horizontal="right" vertical="center"/>
    </xf>
    <xf numFmtId="181" fontId="0" fillId="7" borderId="42" xfId="1" applyNumberFormat="1" applyFont="1" applyFill="1" applyBorder="1" applyAlignment="1">
      <alignment horizontal="right" vertical="center"/>
    </xf>
    <xf numFmtId="181" fontId="0" fillId="0" borderId="38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1" fontId="0" fillId="5" borderId="38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8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77" fontId="0" fillId="0" borderId="140" xfId="3" applyNumberFormat="1" applyFont="1" applyFill="1" applyBorder="1" applyAlignment="1">
      <alignment vertical="center" shrinkToFit="1"/>
    </xf>
    <xf numFmtId="176" fontId="4" fillId="0" borderId="195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98" xfId="0" applyFont="1" applyBorder="1" applyAlignment="1">
      <alignment horizontal="center" vertical="center" wrapText="1"/>
    </xf>
    <xf numFmtId="0" fontId="16" fillId="0" borderId="199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 wrapText="1"/>
    </xf>
    <xf numFmtId="177" fontId="1" fillId="0" borderId="140" xfId="0" applyNumberFormat="1" applyFont="1" applyBorder="1">
      <alignment vertical="center"/>
    </xf>
    <xf numFmtId="177" fontId="1" fillId="0" borderId="140" xfId="0" applyNumberFormat="1" applyFont="1" applyBorder="1" applyAlignment="1">
      <alignment vertical="center"/>
    </xf>
    <xf numFmtId="176" fontId="0" fillId="8" borderId="157" xfId="0" applyNumberFormat="1" applyFont="1" applyFill="1" applyBorder="1" applyAlignment="1">
      <alignment vertical="center" shrinkToFit="1"/>
    </xf>
    <xf numFmtId="176" fontId="0" fillId="8" borderId="157" xfId="0" applyNumberFormat="1" applyFont="1" applyFill="1" applyBorder="1" applyAlignment="1">
      <alignment horizontal="center" vertical="center" shrinkToFit="1"/>
    </xf>
    <xf numFmtId="176" fontId="0" fillId="8" borderId="74" xfId="0" applyNumberFormat="1" applyFont="1" applyFill="1" applyBorder="1" applyAlignment="1">
      <alignment vertical="center" shrinkToFit="1"/>
    </xf>
    <xf numFmtId="176" fontId="0" fillId="0" borderId="140" xfId="0" applyNumberFormat="1" applyFont="1" applyBorder="1" applyAlignment="1">
      <alignment horizontal="center" vertical="center" shrinkToFit="1"/>
    </xf>
    <xf numFmtId="176" fontId="0" fillId="9" borderId="157" xfId="0" applyNumberFormat="1" applyFont="1" applyFill="1" applyBorder="1" applyAlignment="1">
      <alignment horizontal="center" vertical="center" shrinkToFit="1"/>
    </xf>
    <xf numFmtId="176" fontId="0" fillId="9" borderId="157" xfId="0" applyNumberFormat="1" applyFont="1" applyFill="1" applyBorder="1" applyAlignment="1">
      <alignment vertical="center" shrinkToFit="1"/>
    </xf>
    <xf numFmtId="176" fontId="0" fillId="9" borderId="74" xfId="0" applyNumberFormat="1" applyFont="1" applyFill="1" applyBorder="1" applyAlignment="1">
      <alignment vertical="center" shrinkToFit="1"/>
    </xf>
    <xf numFmtId="186" fontId="0" fillId="8" borderId="157" xfId="0" applyNumberFormat="1" applyFont="1" applyFill="1" applyBorder="1" applyAlignment="1">
      <alignment vertical="center" shrinkToFit="1"/>
    </xf>
    <xf numFmtId="186" fontId="9" fillId="8" borderId="157" xfId="0" applyNumberFormat="1" applyFont="1" applyFill="1" applyBorder="1" applyAlignment="1">
      <alignment vertical="center" shrinkToFit="1"/>
    </xf>
    <xf numFmtId="176" fontId="9" fillId="8" borderId="157" xfId="0" applyNumberFormat="1" applyFont="1" applyFill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9" fillId="0" borderId="74" xfId="0" applyNumberFormat="1" applyFont="1" applyBorder="1" applyAlignment="1">
      <alignment vertical="center" shrinkToFit="1"/>
    </xf>
    <xf numFmtId="176" fontId="18" fillId="8" borderId="157" xfId="0" applyNumberFormat="1" applyFont="1" applyFill="1" applyBorder="1" applyAlignment="1">
      <alignment vertical="center" shrinkToFit="1"/>
    </xf>
    <xf numFmtId="176" fontId="18" fillId="8" borderId="157" xfId="0" applyNumberFormat="1" applyFont="1" applyFill="1" applyBorder="1" applyAlignment="1">
      <alignment horizontal="center" vertical="center" shrinkToFit="1"/>
    </xf>
    <xf numFmtId="186" fontId="18" fillId="8" borderId="157" xfId="0" applyNumberFormat="1" applyFont="1" applyFill="1" applyBorder="1" applyAlignment="1">
      <alignment vertical="center" shrinkToFit="1"/>
    </xf>
    <xf numFmtId="176" fontId="18" fillId="8" borderId="74" xfId="0" applyNumberFormat="1" applyFont="1" applyFill="1" applyBorder="1" applyAlignment="1">
      <alignment vertical="center" shrinkToFit="1"/>
    </xf>
    <xf numFmtId="176" fontId="18" fillId="9" borderId="157" xfId="0" applyNumberFormat="1" applyFont="1" applyFill="1" applyBorder="1" applyAlignment="1">
      <alignment horizontal="center" vertical="center" shrinkToFit="1"/>
    </xf>
    <xf numFmtId="176" fontId="18" fillId="9" borderId="157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9" fontId="19" fillId="0" borderId="140" xfId="0" applyNumberFormat="1" applyFont="1" applyBorder="1">
      <alignment vertical="center"/>
    </xf>
    <xf numFmtId="179" fontId="19" fillId="0" borderId="67" xfId="0" applyNumberFormat="1" applyFont="1" applyBorder="1">
      <alignment vertical="center"/>
    </xf>
    <xf numFmtId="179" fontId="19" fillId="0" borderId="2" xfId="0" applyNumberFormat="1" applyFont="1" applyBorder="1" applyAlignment="1">
      <alignment vertical="center"/>
    </xf>
    <xf numFmtId="176" fontId="19" fillId="1" borderId="157" xfId="0" applyNumberFormat="1" applyFont="1" applyFill="1" applyBorder="1" applyAlignment="1">
      <alignment horizontal="center" vertical="center"/>
    </xf>
    <xf numFmtId="176" fontId="19" fillId="1" borderId="164" xfId="0" applyNumberFormat="1" applyFont="1" applyFill="1" applyBorder="1" applyAlignment="1">
      <alignment horizontal="center" vertical="center"/>
    </xf>
    <xf numFmtId="176" fontId="19" fillId="1" borderId="164" xfId="0" applyNumberFormat="1" applyFont="1" applyFill="1" applyBorder="1" applyAlignment="1">
      <alignment horizontal="center"/>
    </xf>
    <xf numFmtId="176" fontId="19" fillId="1" borderId="50" xfId="0" applyNumberFormat="1" applyFont="1" applyFill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 shrinkToFit="1"/>
    </xf>
    <xf numFmtId="187" fontId="0" fillId="0" borderId="160" xfId="0" applyNumberFormat="1" applyFont="1" applyBorder="1" applyAlignment="1">
      <alignment vertical="center" shrinkToFit="1"/>
    </xf>
    <xf numFmtId="188" fontId="0" fillId="0" borderId="0" xfId="0" applyNumberFormat="1" applyFont="1" applyAlignment="1">
      <alignment vertical="center"/>
    </xf>
    <xf numFmtId="1" fontId="0" fillId="0" borderId="0" xfId="0" applyNumberFormat="1" applyFont="1" applyAlignment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0" fontId="8" fillId="0" borderId="0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176" fontId="18" fillId="8" borderId="157" xfId="0" applyNumberFormat="1" applyFont="1" applyFill="1" applyBorder="1" applyAlignment="1">
      <alignment horizontal="right" vertical="center" shrinkToFit="1"/>
    </xf>
    <xf numFmtId="0" fontId="1" fillId="0" borderId="87" xfId="2" applyFont="1" applyBorder="1" applyAlignment="1">
      <alignment horizontal="center" vertical="center" wrapTex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0" fontId="1" fillId="0" borderId="202" xfId="2" applyFont="1" applyBorder="1" applyAlignment="1">
      <alignment horizontal="center" vertical="center" wrapText="1"/>
    </xf>
    <xf numFmtId="0" fontId="1" fillId="0" borderId="203" xfId="2" applyFont="1" applyBorder="1" applyAlignment="1">
      <alignment horizontal="center" vertical="center" wrapText="1"/>
    </xf>
    <xf numFmtId="0" fontId="1" fillId="0" borderId="87" xfId="2" applyFont="1" applyBorder="1" applyAlignment="1">
      <alignment vertical="center" wrapText="1"/>
    </xf>
    <xf numFmtId="0" fontId="1" fillId="0" borderId="205" xfId="2" applyFont="1" applyBorder="1" applyAlignment="1">
      <alignment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157" xfId="2" applyFont="1" applyBorder="1" applyAlignment="1">
      <alignment horizontal="center" vertical="center" wrapText="1"/>
    </xf>
    <xf numFmtId="0" fontId="1" fillId="0" borderId="200" xfId="2" applyFont="1" applyBorder="1" applyAlignment="1">
      <alignment horizontal="center" vertical="center" wrapText="1"/>
    </xf>
    <xf numFmtId="0" fontId="1" fillId="0" borderId="164" xfId="2" applyFont="1" applyBorder="1" applyAlignment="1">
      <alignment horizontal="center" vertical="center" wrapText="1"/>
    </xf>
    <xf numFmtId="0" fontId="1" fillId="0" borderId="205" xfId="2" applyFont="1" applyBorder="1" applyAlignment="1">
      <alignment horizontal="center" vertical="center" wrapText="1"/>
    </xf>
    <xf numFmtId="1" fontId="1" fillId="0" borderId="87" xfId="2" applyNumberFormat="1" applyFont="1" applyBorder="1" applyAlignment="1">
      <alignment horizontal="center" vertical="center" wrapText="1"/>
    </xf>
    <xf numFmtId="0" fontId="1" fillId="0" borderId="87" xfId="2" applyFont="1" applyBorder="1" applyAlignment="1">
      <alignment horizontal="left" vertical="center" wrapText="1"/>
    </xf>
    <xf numFmtId="0" fontId="1" fillId="0" borderId="23" xfId="2" applyFont="1" applyBorder="1" applyAlignment="1">
      <alignment vertical="center" wrapText="1"/>
    </xf>
    <xf numFmtId="3" fontId="1" fillId="0" borderId="24" xfId="5" applyNumberFormat="1" applyFont="1" applyFill="1" applyBorder="1" applyAlignment="1">
      <alignment vertical="center" shrinkToFit="1"/>
    </xf>
    <xf numFmtId="177" fontId="1" fillId="0" borderId="24" xfId="3" applyNumberFormat="1" applyFont="1" applyBorder="1" applyAlignment="1">
      <alignment vertical="center" shrinkToFit="1"/>
    </xf>
    <xf numFmtId="9" fontId="1" fillId="0" borderId="24" xfId="3" applyNumberFormat="1" applyFont="1" applyFill="1" applyBorder="1" applyAlignment="1">
      <alignment vertical="center" shrinkToFit="1"/>
    </xf>
    <xf numFmtId="176" fontId="1" fillId="0" borderId="60" xfId="0" applyNumberFormat="1" applyFont="1" applyBorder="1" applyAlignment="1">
      <alignment vertical="center"/>
    </xf>
    <xf numFmtId="179" fontId="0" fillId="0" borderId="123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0" fontId="0" fillId="0" borderId="87" xfId="2" applyFont="1" applyBorder="1" applyAlignment="1">
      <alignment vertical="center" wrapText="1"/>
    </xf>
    <xf numFmtId="0" fontId="0" fillId="0" borderId="202" xfId="2" applyFont="1" applyBorder="1" applyAlignment="1">
      <alignment horizontal="center" vertical="center" wrapText="1"/>
    </xf>
    <xf numFmtId="0" fontId="0" fillId="0" borderId="87" xfId="2" applyFont="1" applyBorder="1" applyAlignment="1">
      <alignment horizontal="left" vertical="center" wrapText="1"/>
    </xf>
    <xf numFmtId="177" fontId="0" fillId="0" borderId="14" xfId="0" applyNumberFormat="1" applyFill="1" applyBorder="1" applyAlignment="1">
      <alignment vertical="center"/>
    </xf>
    <xf numFmtId="0" fontId="0" fillId="0" borderId="87" xfId="2" applyFont="1" applyBorder="1" applyAlignment="1">
      <alignment vertical="top" wrapText="1"/>
    </xf>
    <xf numFmtId="0" fontId="0" fillId="0" borderId="205" xfId="2" applyFont="1" applyBorder="1" applyAlignment="1">
      <alignment vertical="top" wrapText="1"/>
    </xf>
    <xf numFmtId="0" fontId="0" fillId="0" borderId="107" xfId="2" applyFont="1" applyBorder="1" applyAlignment="1">
      <alignment vertical="top" wrapText="1"/>
    </xf>
    <xf numFmtId="0" fontId="0" fillId="0" borderId="209" xfId="2" applyFont="1" applyBorder="1" applyAlignment="1">
      <alignment horizontal="left" vertical="top" wrapText="1"/>
    </xf>
    <xf numFmtId="0" fontId="0" fillId="0" borderId="47" xfId="2" applyFont="1" applyBorder="1" applyAlignment="1">
      <alignment vertical="top" wrapText="1"/>
    </xf>
    <xf numFmtId="0" fontId="0" fillId="0" borderId="208" xfId="2" applyFont="1" applyBorder="1" applyAlignment="1">
      <alignment horizontal="left" vertical="top" wrapText="1"/>
    </xf>
    <xf numFmtId="0" fontId="0" fillId="0" borderId="210" xfId="2" applyFont="1" applyBorder="1" applyAlignment="1">
      <alignment horizontal="left" vertical="top" wrapText="1"/>
    </xf>
    <xf numFmtId="177" fontId="0" fillId="0" borderId="140" xfId="0" applyNumberFormat="1" applyFill="1" applyBorder="1" applyAlignment="1">
      <alignment horizontal="right" vertical="center"/>
    </xf>
    <xf numFmtId="182" fontId="0" fillId="0" borderId="143" xfId="0" applyNumberFormat="1" applyFont="1" applyFill="1" applyBorder="1" applyAlignment="1">
      <alignment horizontal="left" vertical="center"/>
    </xf>
    <xf numFmtId="0" fontId="1" fillId="0" borderId="205" xfId="2" applyFont="1" applyBorder="1" applyAlignment="1">
      <alignment horizontal="left" vertical="center" wrapText="1"/>
    </xf>
    <xf numFmtId="0" fontId="8" fillId="0" borderId="167" xfId="0" applyFont="1" applyBorder="1" applyAlignment="1">
      <alignment horizontal="center" vertical="center" shrinkToFit="1"/>
    </xf>
    <xf numFmtId="0" fontId="8" fillId="0" borderId="168" xfId="0" applyFont="1" applyBorder="1" applyAlignment="1">
      <alignment horizontal="center" vertical="center" shrinkToFit="1"/>
    </xf>
    <xf numFmtId="0" fontId="0" fillId="0" borderId="167" xfId="0" applyFont="1" applyBorder="1" applyAlignment="1">
      <alignment horizontal="center" vertical="center" shrinkToFit="1"/>
    </xf>
    <xf numFmtId="0" fontId="0" fillId="0" borderId="170" xfId="0" applyFont="1" applyBorder="1" applyAlignment="1">
      <alignment horizontal="center" vertical="center" shrinkToFit="1"/>
    </xf>
    <xf numFmtId="0" fontId="0" fillId="0" borderId="168" xfId="0" applyFont="1" applyBorder="1" applyAlignment="1">
      <alignment horizontal="center" vertical="center" shrinkToFit="1"/>
    </xf>
    <xf numFmtId="0" fontId="0" fillId="0" borderId="99" xfId="0" quotePrefix="1" applyFont="1" applyBorder="1" applyAlignment="1">
      <alignment horizontal="center" vertical="center" shrinkToFit="1"/>
    </xf>
    <xf numFmtId="0" fontId="0" fillId="0" borderId="99" xfId="0" applyFont="1" applyBorder="1" applyAlignment="1">
      <alignment horizontal="center" vertical="center" shrinkToFit="1"/>
    </xf>
    <xf numFmtId="0" fontId="0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6" fillId="0" borderId="47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1" fillId="0" borderId="97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0" fontId="1" fillId="0" borderId="39" xfId="2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188" xfId="0" applyFont="1" applyBorder="1" applyAlignment="1">
      <alignment vertical="center" wrapText="1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16" fillId="0" borderId="48" xfId="0" applyFont="1" applyBorder="1" applyAlignment="1">
      <alignment vertical="center"/>
    </xf>
    <xf numFmtId="0" fontId="16" fillId="0" borderId="65" xfId="0" applyFont="1" applyBorder="1" applyAlignment="1">
      <alignment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81" xfId="2" applyFont="1" applyBorder="1" applyAlignment="1">
      <alignment horizontal="center" vertical="center" wrapText="1"/>
    </xf>
    <xf numFmtId="0" fontId="8" fillId="0" borderId="140" xfId="2" applyFont="1" applyBorder="1" applyAlignment="1">
      <alignment horizontal="center" vertical="center" wrapText="1"/>
    </xf>
    <xf numFmtId="0" fontId="8" fillId="0" borderId="143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94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6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8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79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11" xfId="2" applyFont="1" applyBorder="1" applyAlignment="1">
      <alignment horizontal="center" vertical="center" wrapText="1"/>
    </xf>
    <xf numFmtId="0" fontId="8" fillId="0" borderId="212" xfId="2" applyFont="1" applyBorder="1" applyAlignment="1">
      <alignment horizontal="center" vertical="center" wrapText="1"/>
    </xf>
    <xf numFmtId="0" fontId="8" fillId="0" borderId="21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1" xfId="2" applyFont="1" applyBorder="1" applyAlignment="1">
      <alignment horizontal="left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8" fillId="0" borderId="204" xfId="2" applyFont="1" applyBorder="1" applyAlignment="1">
      <alignment horizontal="center" vertical="center" textRotation="255" wrapText="1"/>
    </xf>
    <xf numFmtId="0" fontId="8" fillId="0" borderId="201" xfId="2" applyFont="1" applyBorder="1" applyAlignment="1">
      <alignment horizontal="center" vertical="center" wrapText="1"/>
    </xf>
    <xf numFmtId="0" fontId="8" fillId="0" borderId="202" xfId="2" applyFont="1" applyBorder="1" applyAlignment="1">
      <alignment horizontal="center" vertical="center" wrapText="1"/>
    </xf>
    <xf numFmtId="0" fontId="1" fillId="0" borderId="207" xfId="2" applyFont="1" applyBorder="1" applyAlignment="1">
      <alignment horizontal="center" vertical="center"/>
    </xf>
    <xf numFmtId="0" fontId="1" fillId="0" borderId="208" xfId="2" applyFont="1" applyBorder="1" applyAlignment="1">
      <alignment horizontal="center" vertical="center"/>
    </xf>
    <xf numFmtId="0" fontId="1" fillId="0" borderId="206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0" borderId="156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56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0" fontId="0" fillId="3" borderId="118" xfId="0" applyFont="1" applyFill="1" applyBorder="1" applyAlignment="1">
      <alignment horizontal="center" vertical="center"/>
    </xf>
    <xf numFmtId="0" fontId="0" fillId="3" borderId="190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38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0" fontId="0" fillId="7" borderId="104" xfId="0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0" fillId="0" borderId="156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129" xfId="0" applyFont="1" applyFill="1" applyBorder="1" applyAlignment="1">
      <alignment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180" fontId="0" fillId="0" borderId="182" xfId="1" applyNumberFormat="1" applyFont="1" applyBorder="1" applyAlignment="1">
      <alignment horizontal="center" vertical="center"/>
    </xf>
    <xf numFmtId="180" fontId="0" fillId="0" borderId="106" xfId="1" applyNumberFormat="1" applyFont="1" applyBorder="1" applyAlignment="1">
      <alignment horizontal="center" vertical="center"/>
    </xf>
    <xf numFmtId="180" fontId="0" fillId="0" borderId="183" xfId="1" applyNumberFormat="1" applyFont="1" applyBorder="1" applyAlignment="1">
      <alignment horizontal="center" vertical="center"/>
    </xf>
    <xf numFmtId="180" fontId="0" fillId="0" borderId="136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4" xfId="1" applyNumberFormat="1" applyFont="1" applyBorder="1" applyAlignment="1">
      <alignment horizontal="center" vertical="center"/>
    </xf>
    <xf numFmtId="181" fontId="0" fillId="0" borderId="185" xfId="0" applyNumberFormat="1" applyFont="1" applyBorder="1" applyAlignment="1">
      <alignment vertical="center"/>
    </xf>
    <xf numFmtId="181" fontId="0" fillId="0" borderId="186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181" fontId="0" fillId="0" borderId="45" xfId="0" applyNumberFormat="1" applyFont="1" applyBorder="1" applyAlignment="1">
      <alignment vertical="center"/>
    </xf>
    <xf numFmtId="181" fontId="0" fillId="0" borderId="46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0" fontId="0" fillId="0" borderId="147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3" borderId="98" xfId="0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6" xfId="0" applyFont="1" applyFill="1" applyBorder="1" applyAlignment="1">
      <alignment horizontal="center" vertical="center" textRotation="255" wrapText="1"/>
    </xf>
    <xf numFmtId="0" fontId="0" fillId="4" borderId="42" xfId="0" applyFont="1" applyFill="1" applyBorder="1" applyAlignment="1">
      <alignment horizontal="center" vertical="center" textRotation="255" wrapText="1"/>
    </xf>
    <xf numFmtId="0" fontId="0" fillId="4" borderId="129" xfId="0" applyFont="1" applyFill="1" applyBorder="1" applyAlignment="1">
      <alignment horizontal="center" vertical="center" textRotation="255" wrapText="1"/>
    </xf>
    <xf numFmtId="0" fontId="0" fillId="4" borderId="156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176" fontId="0" fillId="0" borderId="180" xfId="0" applyNumberFormat="1" applyBorder="1" applyAlignment="1">
      <alignment horizontal="center" vertical="center"/>
    </xf>
    <xf numFmtId="176" fontId="0" fillId="0" borderId="124" xfId="0" applyNumberForma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17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8" xfId="0" applyNumberFormat="1" applyBorder="1" applyAlignment="1">
      <alignment horizontal="center" vertical="center"/>
    </xf>
    <xf numFmtId="176" fontId="0" fillId="0" borderId="171" xfId="0" applyNumberFormat="1" applyFont="1" applyBorder="1" applyAlignment="1">
      <alignment horizontal="center" vertical="center"/>
    </xf>
    <xf numFmtId="176" fontId="0" fillId="0" borderId="172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176" fontId="0" fillId="0" borderId="72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19" fillId="0" borderId="72" xfId="0" applyNumberFormat="1" applyFont="1" applyBorder="1" applyAlignment="1">
      <alignment horizontal="center" vertical="center"/>
    </xf>
    <xf numFmtId="176" fontId="19" fillId="0" borderId="50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7" fontId="0" fillId="0" borderId="157" xfId="0" applyNumberFormat="1" applyFill="1" applyBorder="1" applyAlignment="1">
      <alignment horizontal="left" vertical="center"/>
    </xf>
    <xf numFmtId="177" fontId="0" fillId="0" borderId="164" xfId="0" applyNumberFormat="1" applyFill="1" applyBorder="1" applyAlignment="1">
      <alignment horizontal="left" vertical="center"/>
    </xf>
    <xf numFmtId="177" fontId="0" fillId="0" borderId="165" xfId="0" applyNumberFormat="1" applyFill="1" applyBorder="1" applyAlignment="1">
      <alignment horizontal="left" vertical="center"/>
    </xf>
    <xf numFmtId="177" fontId="0" fillId="0" borderId="157" xfId="0" applyNumberFormat="1" applyFont="1" applyFill="1" applyBorder="1" applyAlignment="1">
      <alignment horizontal="left" vertical="center"/>
    </xf>
    <xf numFmtId="177" fontId="0" fillId="0" borderId="164" xfId="0" applyNumberFormat="1" applyFont="1" applyFill="1" applyBorder="1" applyAlignment="1">
      <alignment horizontal="left" vertical="center"/>
    </xf>
    <xf numFmtId="177" fontId="0" fillId="0" borderId="165" xfId="0" applyNumberFormat="1" applyFon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5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9" xfId="0" applyNumberFormat="1" applyFont="1" applyFill="1" applyBorder="1" applyAlignment="1">
      <alignment horizontal="center" vertical="center"/>
    </xf>
    <xf numFmtId="177" fontId="0" fillId="0" borderId="123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Fill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57" xfId="0" applyNumberFormat="1" applyFill="1" applyBorder="1" applyAlignment="1">
      <alignment horizontal="left" vertical="center" shrinkToFit="1"/>
    </xf>
    <xf numFmtId="177" fontId="0" fillId="0" borderId="164" xfId="0" applyNumberFormat="1" applyFill="1" applyBorder="1" applyAlignment="1">
      <alignment horizontal="left" vertical="center" shrinkToFit="1"/>
    </xf>
    <xf numFmtId="177" fontId="0" fillId="0" borderId="165" xfId="0" applyNumberFormat="1" applyFill="1" applyBorder="1" applyAlignment="1">
      <alignment horizontal="left" vertical="center" shrinkToFi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4" xfId="0" applyNumberFormat="1" applyFill="1" applyBorder="1" applyAlignment="1">
      <alignment horizontal="center" vertical="center" textRotation="255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6" fontId="0" fillId="8" borderId="58" xfId="0" applyNumberFormat="1" applyFont="1" applyFill="1" applyBorder="1" applyAlignment="1">
      <alignment horizontal="center" vertical="center" textRotation="255" shrinkToFit="1"/>
    </xf>
    <xf numFmtId="176" fontId="0" fillId="8" borderId="56" xfId="0" applyNumberFormat="1" applyFont="1" applyFill="1" applyBorder="1" applyAlignment="1">
      <alignment horizontal="center" vertical="center" textRotation="255" shrinkToFit="1"/>
    </xf>
    <xf numFmtId="176" fontId="0" fillId="8" borderId="79" xfId="0" applyNumberFormat="1" applyFont="1" applyFill="1" applyBorder="1" applyAlignment="1">
      <alignment horizontal="center" vertical="center" textRotation="255" shrinkToFit="1"/>
    </xf>
    <xf numFmtId="177" fontId="0" fillId="2" borderId="158" xfId="0" applyNumberFormat="1" applyFont="1" applyFill="1" applyBorder="1" applyAlignment="1">
      <alignment horizontal="center" vertical="center" shrinkToFit="1"/>
    </xf>
    <xf numFmtId="177" fontId="0" fillId="2" borderId="159" xfId="0" applyNumberFormat="1" applyFont="1" applyFill="1" applyBorder="1" applyAlignment="1">
      <alignment horizontal="center" vertical="center" shrinkToFit="1"/>
    </xf>
    <xf numFmtId="3" fontId="0" fillId="0" borderId="52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2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63" xfId="3" applyNumberFormat="1" applyFont="1" applyBorder="1" applyAlignment="1">
      <alignment horizontal="center" vertical="center" shrinkToFit="1"/>
    </xf>
    <xf numFmtId="177" fontId="0" fillId="0" borderId="147" xfId="3" applyNumberFormat="1" applyFont="1" applyBorder="1" applyAlignment="1">
      <alignment horizontal="center" vertical="center" shrinkToFit="1"/>
    </xf>
    <xf numFmtId="177" fontId="0" fillId="0" borderId="155" xfId="3" applyNumberFormat="1" applyFont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7" xfId="3" applyNumberFormat="1" applyFont="1" applyBorder="1" applyAlignment="1">
      <alignment horizontal="center" vertical="center" textRotation="255" shrinkToFit="1"/>
    </xf>
    <xf numFmtId="0" fontId="0" fillId="0" borderId="104" xfId="0" applyFont="1" applyBorder="1">
      <alignment vertical="center"/>
    </xf>
    <xf numFmtId="0" fontId="0" fillId="0" borderId="155" xfId="0" applyFont="1" applyBorder="1">
      <alignment vertical="center"/>
    </xf>
    <xf numFmtId="176" fontId="0" fillId="2" borderId="51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2" borderId="123" xfId="0" applyNumberFormat="1" applyFont="1" applyFill="1" applyBorder="1" applyAlignment="1">
      <alignment horizontal="center" vertical="center" shrinkToFit="1"/>
    </xf>
    <xf numFmtId="176" fontId="0" fillId="2" borderId="83" xfId="0" applyNumberFormat="1" applyFont="1" applyFill="1" applyBorder="1" applyAlignment="1">
      <alignment horizontal="center" vertical="center" shrinkToFit="1"/>
    </xf>
    <xf numFmtId="176" fontId="0" fillId="0" borderId="151" xfId="0" applyNumberFormat="1" applyFont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3" xfId="3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6" fontId="0" fillId="0" borderId="152" xfId="3" applyNumberFormat="1" applyFont="1" applyFill="1" applyBorder="1" applyAlignment="1">
      <alignment vertical="center" shrinkToFit="1"/>
    </xf>
    <xf numFmtId="176" fontId="0" fillId="0" borderId="153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22</xdr:row>
      <xdr:rowOff>2380</xdr:rowOff>
    </xdr:from>
    <xdr:to>
      <xdr:col>7</xdr:col>
      <xdr:colOff>119063</xdr:colOff>
      <xdr:row>23</xdr:row>
      <xdr:rowOff>69055</xdr:rowOff>
    </xdr:to>
    <xdr:grpSp>
      <xdr:nvGrpSpPr>
        <xdr:cNvPr id="28" name="グループ化 27"/>
        <xdr:cNvGrpSpPr/>
      </xdr:nvGrpSpPr>
      <xdr:grpSpPr>
        <a:xfrm>
          <a:off x="3524250" y="5653880"/>
          <a:ext cx="214313" cy="320675"/>
          <a:chOff x="13649325" y="3800475"/>
          <a:chExt cx="247651" cy="352425"/>
        </a:xfrm>
      </xdr:grpSpPr>
      <xdr:sp macro="" textlink="">
        <xdr:nvSpPr>
          <xdr:cNvPr id="29" name="フローチャート : 論理積ゲート 28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円弧 29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97632</xdr:colOff>
      <xdr:row>22</xdr:row>
      <xdr:rowOff>35718</xdr:rowOff>
    </xdr:from>
    <xdr:to>
      <xdr:col>13</xdr:col>
      <xdr:colOff>21431</xdr:colOff>
      <xdr:row>22</xdr:row>
      <xdr:rowOff>197800</xdr:rowOff>
    </xdr:to>
    <xdr:grpSp>
      <xdr:nvGrpSpPr>
        <xdr:cNvPr id="35" name="グループ化 34"/>
        <xdr:cNvGrpSpPr/>
      </xdr:nvGrpSpPr>
      <xdr:grpSpPr>
        <a:xfrm>
          <a:off x="5088732" y="5687218"/>
          <a:ext cx="190499" cy="162082"/>
          <a:chOff x="13677900" y="2676524"/>
          <a:chExt cx="190500" cy="162082"/>
        </a:xfrm>
      </xdr:grpSpPr>
      <xdr:sp macro="" textlink="">
        <xdr:nvSpPr>
          <xdr:cNvPr id="36" name="フローチャート : 論理積ゲート 35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フリーフォーム 39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35718</xdr:colOff>
      <xdr:row>14</xdr:row>
      <xdr:rowOff>59531</xdr:rowOff>
    </xdr:from>
    <xdr:to>
      <xdr:col>24</xdr:col>
      <xdr:colOff>166686</xdr:colOff>
      <xdr:row>14</xdr:row>
      <xdr:rowOff>195521</xdr:rowOff>
    </xdr:to>
    <xdr:sp macro="" textlink="">
      <xdr:nvSpPr>
        <xdr:cNvPr id="43" name="正方形/長方形 42"/>
        <xdr:cNvSpPr/>
      </xdr:nvSpPr>
      <xdr:spPr>
        <a:xfrm flipV="1">
          <a:off x="8143874" y="3607594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59531</xdr:colOff>
      <xdr:row>13</xdr:row>
      <xdr:rowOff>83343</xdr:rowOff>
    </xdr:from>
    <xdr:to>
      <xdr:col>19</xdr:col>
      <xdr:colOff>190499</xdr:colOff>
      <xdr:row>13</xdr:row>
      <xdr:rowOff>219333</xdr:rowOff>
    </xdr:to>
    <xdr:sp macro="" textlink="">
      <xdr:nvSpPr>
        <xdr:cNvPr id="45" name="正方形/長方形 44"/>
        <xdr:cNvSpPr/>
      </xdr:nvSpPr>
      <xdr:spPr>
        <a:xfrm flipV="1">
          <a:off x="6858000" y="3381374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47624</xdr:colOff>
      <xdr:row>15</xdr:row>
      <xdr:rowOff>83344</xdr:rowOff>
    </xdr:from>
    <xdr:to>
      <xdr:col>29</xdr:col>
      <xdr:colOff>178592</xdr:colOff>
      <xdr:row>15</xdr:row>
      <xdr:rowOff>219334</xdr:rowOff>
    </xdr:to>
    <xdr:sp macro="" textlink="">
      <xdr:nvSpPr>
        <xdr:cNvPr id="47" name="正方形/長方形 46"/>
        <xdr:cNvSpPr/>
      </xdr:nvSpPr>
      <xdr:spPr>
        <a:xfrm flipV="1">
          <a:off x="9465468" y="3881438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59532</xdr:colOff>
      <xdr:row>18</xdr:row>
      <xdr:rowOff>71437</xdr:rowOff>
    </xdr:from>
    <xdr:to>
      <xdr:col>13</xdr:col>
      <xdr:colOff>190500</xdr:colOff>
      <xdr:row>18</xdr:row>
      <xdr:rowOff>207427</xdr:rowOff>
    </xdr:to>
    <xdr:sp macro="" textlink="">
      <xdr:nvSpPr>
        <xdr:cNvPr id="48" name="正方形/長方形 47"/>
        <xdr:cNvSpPr/>
      </xdr:nvSpPr>
      <xdr:spPr>
        <a:xfrm flipV="1">
          <a:off x="5286376" y="4619625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83344</xdr:colOff>
      <xdr:row>16</xdr:row>
      <xdr:rowOff>71438</xdr:rowOff>
    </xdr:from>
    <xdr:to>
      <xdr:col>34</xdr:col>
      <xdr:colOff>214312</xdr:colOff>
      <xdr:row>16</xdr:row>
      <xdr:rowOff>207428</xdr:rowOff>
    </xdr:to>
    <xdr:sp macro="" textlink="">
      <xdr:nvSpPr>
        <xdr:cNvPr id="75" name="正方形/長方形 74"/>
        <xdr:cNvSpPr/>
      </xdr:nvSpPr>
      <xdr:spPr>
        <a:xfrm flipV="1">
          <a:off x="10810875" y="4119563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23813</xdr:colOff>
      <xdr:row>17</xdr:row>
      <xdr:rowOff>47626</xdr:rowOff>
    </xdr:from>
    <xdr:to>
      <xdr:col>40</xdr:col>
      <xdr:colOff>154781</xdr:colOff>
      <xdr:row>17</xdr:row>
      <xdr:rowOff>183616</xdr:rowOff>
    </xdr:to>
    <xdr:sp macro="" textlink="">
      <xdr:nvSpPr>
        <xdr:cNvPr id="76" name="正方形/長方形 75"/>
        <xdr:cNvSpPr/>
      </xdr:nvSpPr>
      <xdr:spPr>
        <a:xfrm flipV="1">
          <a:off x="12322969" y="4345782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166687</xdr:colOff>
      <xdr:row>13</xdr:row>
      <xdr:rowOff>151338</xdr:rowOff>
    </xdr:from>
    <xdr:to>
      <xdr:col>19</xdr:col>
      <xdr:colOff>59531</xdr:colOff>
      <xdr:row>13</xdr:row>
      <xdr:rowOff>154782</xdr:rowOff>
    </xdr:to>
    <xdr:cxnSp macro="">
      <xdr:nvCxnSpPr>
        <xdr:cNvPr id="20" name="直線コネクタ 19"/>
        <xdr:cNvCxnSpPr>
          <a:endCxn id="45" idx="1"/>
        </xdr:cNvCxnSpPr>
      </xdr:nvCxnSpPr>
      <xdr:spPr>
        <a:xfrm flipV="1">
          <a:off x="5917406" y="3449369"/>
          <a:ext cx="940594" cy="34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71436</xdr:colOff>
      <xdr:row>15</xdr:row>
      <xdr:rowOff>47625</xdr:rowOff>
    </xdr:from>
    <xdr:to>
      <xdr:col>25</xdr:col>
      <xdr:colOff>190499</xdr:colOff>
      <xdr:row>15</xdr:row>
      <xdr:rowOff>202405</xdr:rowOff>
    </xdr:to>
    <xdr:grpSp>
      <xdr:nvGrpSpPr>
        <xdr:cNvPr id="79" name="グループ化 78"/>
        <xdr:cNvGrpSpPr/>
      </xdr:nvGrpSpPr>
      <xdr:grpSpPr>
        <a:xfrm>
          <a:off x="8529636" y="3921125"/>
          <a:ext cx="119063" cy="154780"/>
          <a:chOff x="11227592" y="1273969"/>
          <a:chExt cx="1071564" cy="976311"/>
        </a:xfrm>
      </xdr:grpSpPr>
      <xdr:grpSp>
        <xdr:nvGrpSpPr>
          <xdr:cNvPr id="60" name="グループ化 59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61" name="直線コネクタ 60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" name="直線コネクタ 61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7" name="直線コネクタ 76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0</xdr:colOff>
      <xdr:row>13</xdr:row>
      <xdr:rowOff>71438</xdr:rowOff>
    </xdr:from>
    <xdr:to>
      <xdr:col>15</xdr:col>
      <xdr:colOff>119063</xdr:colOff>
      <xdr:row>13</xdr:row>
      <xdr:rowOff>226218</xdr:rowOff>
    </xdr:to>
    <xdr:grpSp>
      <xdr:nvGrpSpPr>
        <xdr:cNvPr id="90" name="グループ化 89"/>
        <xdr:cNvGrpSpPr/>
      </xdr:nvGrpSpPr>
      <xdr:grpSpPr>
        <a:xfrm>
          <a:off x="5791200" y="3436938"/>
          <a:ext cx="119063" cy="154780"/>
          <a:chOff x="11227592" y="1273969"/>
          <a:chExt cx="1071564" cy="976311"/>
        </a:xfrm>
      </xdr:grpSpPr>
      <xdr:grpSp>
        <xdr:nvGrpSpPr>
          <xdr:cNvPr id="91" name="グループ化 90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93" name="直線コネクタ 92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94" name="直線コネクタ 93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92" name="直線コネクタ 91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20</xdr:col>
      <xdr:colOff>47625</xdr:colOff>
      <xdr:row>14</xdr:row>
      <xdr:rowOff>23812</xdr:rowOff>
    </xdr:from>
    <xdr:to>
      <xdr:col>20</xdr:col>
      <xdr:colOff>166688</xdr:colOff>
      <xdr:row>14</xdr:row>
      <xdr:rowOff>178592</xdr:rowOff>
    </xdr:to>
    <xdr:grpSp>
      <xdr:nvGrpSpPr>
        <xdr:cNvPr id="101" name="グループ化 100"/>
        <xdr:cNvGrpSpPr/>
      </xdr:nvGrpSpPr>
      <xdr:grpSpPr>
        <a:xfrm>
          <a:off x="7172325" y="3643312"/>
          <a:ext cx="119063" cy="154780"/>
          <a:chOff x="11227592" y="1273969"/>
          <a:chExt cx="1071564" cy="976311"/>
        </a:xfrm>
      </xdr:grpSpPr>
      <xdr:grpSp>
        <xdr:nvGrpSpPr>
          <xdr:cNvPr id="102" name="グループ化 101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04" name="直線コネクタ 103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直線コネクタ 104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3" name="直線コネクタ 102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0</xdr:colOff>
      <xdr:row>18</xdr:row>
      <xdr:rowOff>35718</xdr:rowOff>
    </xdr:from>
    <xdr:to>
      <xdr:col>41</xdr:col>
      <xdr:colOff>119063</xdr:colOff>
      <xdr:row>18</xdr:row>
      <xdr:rowOff>190498</xdr:rowOff>
    </xdr:to>
    <xdr:grpSp>
      <xdr:nvGrpSpPr>
        <xdr:cNvPr id="116" name="グループ化 115"/>
        <xdr:cNvGrpSpPr/>
      </xdr:nvGrpSpPr>
      <xdr:grpSpPr>
        <a:xfrm>
          <a:off x="12725400" y="4671218"/>
          <a:ext cx="119063" cy="154780"/>
          <a:chOff x="11227592" y="1273969"/>
          <a:chExt cx="1071564" cy="976311"/>
        </a:xfrm>
      </xdr:grpSpPr>
      <xdr:grpSp>
        <xdr:nvGrpSpPr>
          <xdr:cNvPr id="117" name="グループ化 116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19" name="直線コネクタ 118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直線コネクタ 119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8" name="直線コネクタ 117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71438</xdr:colOff>
      <xdr:row>17</xdr:row>
      <xdr:rowOff>35719</xdr:rowOff>
    </xdr:from>
    <xdr:to>
      <xdr:col>35</xdr:col>
      <xdr:colOff>190501</xdr:colOff>
      <xdr:row>17</xdr:row>
      <xdr:rowOff>190499</xdr:rowOff>
    </xdr:to>
    <xdr:grpSp>
      <xdr:nvGrpSpPr>
        <xdr:cNvPr id="121" name="グループ化 120"/>
        <xdr:cNvGrpSpPr/>
      </xdr:nvGrpSpPr>
      <xdr:grpSpPr>
        <a:xfrm>
          <a:off x="11196638" y="4417219"/>
          <a:ext cx="119063" cy="154780"/>
          <a:chOff x="11227592" y="1273969"/>
          <a:chExt cx="1071564" cy="976311"/>
        </a:xfrm>
      </xdr:grpSpPr>
      <xdr:grpSp>
        <xdr:nvGrpSpPr>
          <xdr:cNvPr id="122" name="グループ化 121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24" name="直線コネクタ 123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3" name="直線コネクタ 122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35719</xdr:colOff>
      <xdr:row>16</xdr:row>
      <xdr:rowOff>47625</xdr:rowOff>
    </xdr:from>
    <xdr:to>
      <xdr:col>30</xdr:col>
      <xdr:colOff>154782</xdr:colOff>
      <xdr:row>16</xdr:row>
      <xdr:rowOff>202405</xdr:rowOff>
    </xdr:to>
    <xdr:grpSp>
      <xdr:nvGrpSpPr>
        <xdr:cNvPr id="131" name="グループ化 130"/>
        <xdr:cNvGrpSpPr/>
      </xdr:nvGrpSpPr>
      <xdr:grpSpPr>
        <a:xfrm>
          <a:off x="9827419" y="4175125"/>
          <a:ext cx="119063" cy="154780"/>
          <a:chOff x="11227592" y="1273969"/>
          <a:chExt cx="1071564" cy="976311"/>
        </a:xfrm>
      </xdr:grpSpPr>
      <xdr:grpSp>
        <xdr:nvGrpSpPr>
          <xdr:cNvPr id="132" name="グループ化 131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34" name="直線コネクタ 133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3" name="直線コネクタ 132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154782</xdr:colOff>
      <xdr:row>14</xdr:row>
      <xdr:rowOff>127526</xdr:rowOff>
    </xdr:from>
    <xdr:to>
      <xdr:col>24</xdr:col>
      <xdr:colOff>35718</xdr:colOff>
      <xdr:row>14</xdr:row>
      <xdr:rowOff>130968</xdr:rowOff>
    </xdr:to>
    <xdr:cxnSp macro="">
      <xdr:nvCxnSpPr>
        <xdr:cNvPr id="139" name="直線コネクタ 138"/>
        <xdr:cNvCxnSpPr>
          <a:endCxn id="43" idx="1"/>
        </xdr:cNvCxnSpPr>
      </xdr:nvCxnSpPr>
      <xdr:spPr>
        <a:xfrm flipV="1">
          <a:off x="7215188" y="3675589"/>
          <a:ext cx="928686" cy="34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178594</xdr:colOff>
      <xdr:row>15</xdr:row>
      <xdr:rowOff>142875</xdr:rowOff>
    </xdr:from>
    <xdr:to>
      <xdr:col>29</xdr:col>
      <xdr:colOff>47624</xdr:colOff>
      <xdr:row>15</xdr:row>
      <xdr:rowOff>151339</xdr:rowOff>
    </xdr:to>
    <xdr:cxnSp macro="">
      <xdr:nvCxnSpPr>
        <xdr:cNvPr id="141" name="直線コネクタ 140"/>
        <xdr:cNvCxnSpPr>
          <a:endCxn id="47" idx="1"/>
        </xdr:cNvCxnSpPr>
      </xdr:nvCxnSpPr>
      <xdr:spPr>
        <a:xfrm>
          <a:off x="8548688" y="3940969"/>
          <a:ext cx="916780" cy="8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142875</xdr:colOff>
      <xdr:row>16</xdr:row>
      <xdr:rowOff>139433</xdr:rowOff>
    </xdr:from>
    <xdr:to>
      <xdr:col>34</xdr:col>
      <xdr:colOff>83344</xdr:colOff>
      <xdr:row>16</xdr:row>
      <xdr:rowOff>142875</xdr:rowOff>
    </xdr:to>
    <xdr:cxnSp macro="">
      <xdr:nvCxnSpPr>
        <xdr:cNvPr id="143" name="直線コネクタ 142"/>
        <xdr:cNvCxnSpPr>
          <a:endCxn id="75" idx="1"/>
        </xdr:cNvCxnSpPr>
      </xdr:nvCxnSpPr>
      <xdr:spPr>
        <a:xfrm flipV="1">
          <a:off x="9822656" y="4187558"/>
          <a:ext cx="988219" cy="34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190500</xdr:colOff>
      <xdr:row>17</xdr:row>
      <xdr:rowOff>115621</xdr:rowOff>
    </xdr:from>
    <xdr:to>
      <xdr:col>40</xdr:col>
      <xdr:colOff>23813</xdr:colOff>
      <xdr:row>17</xdr:row>
      <xdr:rowOff>119063</xdr:rowOff>
    </xdr:to>
    <xdr:cxnSp macro="">
      <xdr:nvCxnSpPr>
        <xdr:cNvPr id="145" name="直線コネクタ 144"/>
        <xdr:cNvCxnSpPr>
          <a:endCxn id="76" idx="1"/>
        </xdr:cNvCxnSpPr>
      </xdr:nvCxnSpPr>
      <xdr:spPr>
        <a:xfrm flipV="1">
          <a:off x="11179969" y="4413777"/>
          <a:ext cx="1143000" cy="34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83344</xdr:colOff>
      <xdr:row>18</xdr:row>
      <xdr:rowOff>119062</xdr:rowOff>
    </xdr:from>
    <xdr:to>
      <xdr:col>41</xdr:col>
      <xdr:colOff>226219</xdr:colOff>
      <xdr:row>18</xdr:row>
      <xdr:rowOff>119062</xdr:rowOff>
    </xdr:to>
    <xdr:cxnSp macro="">
      <xdr:nvCxnSpPr>
        <xdr:cNvPr id="147" name="直線コネクタ 146"/>
        <xdr:cNvCxnSpPr/>
      </xdr:nvCxnSpPr>
      <xdr:spPr>
        <a:xfrm>
          <a:off x="12644438" y="4667250"/>
          <a:ext cx="142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130968</xdr:rowOff>
    </xdr:from>
    <xdr:to>
      <xdr:col>13</xdr:col>
      <xdr:colOff>59532</xdr:colOff>
      <xdr:row>18</xdr:row>
      <xdr:rowOff>139432</xdr:rowOff>
    </xdr:to>
    <xdr:cxnSp macro="">
      <xdr:nvCxnSpPr>
        <xdr:cNvPr id="149" name="直線コネクタ 148"/>
        <xdr:cNvCxnSpPr>
          <a:endCxn id="48" idx="1"/>
        </xdr:cNvCxnSpPr>
      </xdr:nvCxnSpPr>
      <xdr:spPr>
        <a:xfrm>
          <a:off x="3357563" y="4679156"/>
          <a:ext cx="1928813" cy="8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119063</xdr:colOff>
      <xdr:row>13</xdr:row>
      <xdr:rowOff>83344</xdr:rowOff>
    </xdr:from>
    <xdr:to>
      <xdr:col>12</xdr:col>
      <xdr:colOff>253858</xdr:colOff>
      <xdr:row>13</xdr:row>
      <xdr:rowOff>223621</xdr:rowOff>
    </xdr:to>
    <xdr:sp macro="" textlink="">
      <xdr:nvSpPr>
        <xdr:cNvPr id="151" name="円/楕円 150"/>
        <xdr:cNvSpPr/>
      </xdr:nvSpPr>
      <xdr:spPr>
        <a:xfrm>
          <a:off x="5083969" y="33813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71438</xdr:colOff>
      <xdr:row>18</xdr:row>
      <xdr:rowOff>59531</xdr:rowOff>
    </xdr:from>
    <xdr:to>
      <xdr:col>38</xdr:col>
      <xdr:colOff>206233</xdr:colOff>
      <xdr:row>18</xdr:row>
      <xdr:rowOff>199808</xdr:rowOff>
    </xdr:to>
    <xdr:sp macro="" textlink="">
      <xdr:nvSpPr>
        <xdr:cNvPr id="152" name="円/楕円 151"/>
        <xdr:cNvSpPr/>
      </xdr:nvSpPr>
      <xdr:spPr>
        <a:xfrm>
          <a:off x="11846719" y="4607719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14</xdr:row>
      <xdr:rowOff>59532</xdr:rowOff>
    </xdr:from>
    <xdr:to>
      <xdr:col>18</xdr:col>
      <xdr:colOff>182420</xdr:colOff>
      <xdr:row>14</xdr:row>
      <xdr:rowOff>199809</xdr:rowOff>
    </xdr:to>
    <xdr:sp macro="" textlink="">
      <xdr:nvSpPr>
        <xdr:cNvPr id="153" name="円/楕円 152"/>
        <xdr:cNvSpPr/>
      </xdr:nvSpPr>
      <xdr:spPr>
        <a:xfrm>
          <a:off x="6584156" y="360759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17</xdr:row>
      <xdr:rowOff>59531</xdr:rowOff>
    </xdr:from>
    <xdr:to>
      <xdr:col>32</xdr:col>
      <xdr:colOff>230045</xdr:colOff>
      <xdr:row>17</xdr:row>
      <xdr:rowOff>199808</xdr:rowOff>
    </xdr:to>
    <xdr:sp macro="" textlink="">
      <xdr:nvSpPr>
        <xdr:cNvPr id="154" name="円/楕円 153"/>
        <xdr:cNvSpPr/>
      </xdr:nvSpPr>
      <xdr:spPr>
        <a:xfrm>
          <a:off x="10298906" y="4357687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15</xdr:row>
      <xdr:rowOff>59532</xdr:rowOff>
    </xdr:from>
    <xdr:to>
      <xdr:col>23</xdr:col>
      <xdr:colOff>230045</xdr:colOff>
      <xdr:row>15</xdr:row>
      <xdr:rowOff>199809</xdr:rowOff>
    </xdr:to>
    <xdr:sp macro="" textlink="">
      <xdr:nvSpPr>
        <xdr:cNvPr id="156" name="円/楕円 155"/>
        <xdr:cNvSpPr/>
      </xdr:nvSpPr>
      <xdr:spPr>
        <a:xfrm>
          <a:off x="7941469" y="3857626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119062</xdr:colOff>
      <xdr:row>16</xdr:row>
      <xdr:rowOff>71438</xdr:rowOff>
    </xdr:from>
    <xdr:to>
      <xdr:col>28</xdr:col>
      <xdr:colOff>253857</xdr:colOff>
      <xdr:row>16</xdr:row>
      <xdr:rowOff>211715</xdr:rowOff>
    </xdr:to>
    <xdr:sp macro="" textlink="">
      <xdr:nvSpPr>
        <xdr:cNvPr id="157" name="円/楕円 156"/>
        <xdr:cNvSpPr/>
      </xdr:nvSpPr>
      <xdr:spPr>
        <a:xfrm>
          <a:off x="9274968" y="4119563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253858</xdr:colOff>
      <xdr:row>13</xdr:row>
      <xdr:rowOff>153483</xdr:rowOff>
    </xdr:from>
    <xdr:to>
      <xdr:col>14</xdr:col>
      <xdr:colOff>226219</xdr:colOff>
      <xdr:row>13</xdr:row>
      <xdr:rowOff>154782</xdr:rowOff>
    </xdr:to>
    <xdr:cxnSp macro="">
      <xdr:nvCxnSpPr>
        <xdr:cNvPr id="159" name="直線コネクタ 158"/>
        <xdr:cNvCxnSpPr>
          <a:stCxn id="151" idx="6"/>
        </xdr:cNvCxnSpPr>
      </xdr:nvCxnSpPr>
      <xdr:spPr>
        <a:xfrm>
          <a:off x="5218764" y="3451514"/>
          <a:ext cx="496236" cy="129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182420</xdr:colOff>
      <xdr:row>14</xdr:row>
      <xdr:rowOff>129671</xdr:rowOff>
    </xdr:from>
    <xdr:to>
      <xdr:col>20</xdr:col>
      <xdr:colOff>35719</xdr:colOff>
      <xdr:row>14</xdr:row>
      <xdr:rowOff>130968</xdr:rowOff>
    </xdr:to>
    <xdr:cxnSp macro="">
      <xdr:nvCxnSpPr>
        <xdr:cNvPr id="163" name="直線コネクタ 162"/>
        <xdr:cNvCxnSpPr>
          <a:stCxn id="153" idx="6"/>
        </xdr:cNvCxnSpPr>
      </xdr:nvCxnSpPr>
      <xdr:spPr>
        <a:xfrm>
          <a:off x="6718951" y="3677734"/>
          <a:ext cx="377174" cy="12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253857</xdr:colOff>
      <xdr:row>16</xdr:row>
      <xdr:rowOff>141577</xdr:rowOff>
    </xdr:from>
    <xdr:to>
      <xdr:col>30</xdr:col>
      <xdr:colOff>59532</xdr:colOff>
      <xdr:row>16</xdr:row>
      <xdr:rowOff>142875</xdr:rowOff>
    </xdr:to>
    <xdr:cxnSp macro="">
      <xdr:nvCxnSpPr>
        <xdr:cNvPr id="167" name="直線コネクタ 166"/>
        <xdr:cNvCxnSpPr>
          <a:stCxn id="157" idx="6"/>
        </xdr:cNvCxnSpPr>
      </xdr:nvCxnSpPr>
      <xdr:spPr>
        <a:xfrm>
          <a:off x="9409763" y="4189702"/>
          <a:ext cx="329550" cy="129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230045</xdr:colOff>
      <xdr:row>17</xdr:row>
      <xdr:rowOff>129670</xdr:rowOff>
    </xdr:from>
    <xdr:to>
      <xdr:col>35</xdr:col>
      <xdr:colOff>83344</xdr:colOff>
      <xdr:row>17</xdr:row>
      <xdr:rowOff>130969</xdr:rowOff>
    </xdr:to>
    <xdr:cxnSp macro="">
      <xdr:nvCxnSpPr>
        <xdr:cNvPr id="169" name="直線コネクタ 168"/>
        <xdr:cNvCxnSpPr>
          <a:stCxn id="154" idx="6"/>
        </xdr:cNvCxnSpPr>
      </xdr:nvCxnSpPr>
      <xdr:spPr>
        <a:xfrm>
          <a:off x="10433701" y="4427826"/>
          <a:ext cx="639112" cy="129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206233</xdr:colOff>
      <xdr:row>18</xdr:row>
      <xdr:rowOff>129670</xdr:rowOff>
    </xdr:from>
    <xdr:to>
      <xdr:col>41</xdr:col>
      <xdr:colOff>23812</xdr:colOff>
      <xdr:row>18</xdr:row>
      <xdr:rowOff>130968</xdr:rowOff>
    </xdr:to>
    <xdr:cxnSp macro="">
      <xdr:nvCxnSpPr>
        <xdr:cNvPr id="172" name="直線コネクタ 171"/>
        <xdr:cNvCxnSpPr>
          <a:stCxn id="152" idx="6"/>
        </xdr:cNvCxnSpPr>
      </xdr:nvCxnSpPr>
      <xdr:spPr>
        <a:xfrm>
          <a:off x="11981514" y="4677858"/>
          <a:ext cx="603392" cy="129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230045</xdr:colOff>
      <xdr:row>15</xdr:row>
      <xdr:rowOff>129671</xdr:rowOff>
    </xdr:from>
    <xdr:to>
      <xdr:col>25</xdr:col>
      <xdr:colOff>59531</xdr:colOff>
      <xdr:row>15</xdr:row>
      <xdr:rowOff>142875</xdr:rowOff>
    </xdr:to>
    <xdr:cxnSp macro="">
      <xdr:nvCxnSpPr>
        <xdr:cNvPr id="176" name="直線コネクタ 175"/>
        <xdr:cNvCxnSpPr>
          <a:stCxn id="156" idx="6"/>
        </xdr:cNvCxnSpPr>
      </xdr:nvCxnSpPr>
      <xdr:spPr>
        <a:xfrm>
          <a:off x="8076264" y="3927765"/>
          <a:ext cx="353361" cy="1320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"/>
  <sheetViews>
    <sheetView tabSelected="1" zoomScale="75" zoomScaleNormal="75" zoomScaleSheetLayoutView="100" workbookViewId="0">
      <selection activeCell="AU22" sqref="AU22"/>
    </sheetView>
  </sheetViews>
  <sheetFormatPr defaultRowHeight="13.5" x14ac:dyDescent="0.15"/>
  <cols>
    <col min="1" max="1" width="1.625" style="71" customWidth="1"/>
    <col min="2" max="3" width="7.625" style="71" customWidth="1"/>
    <col min="4" max="6" width="9" style="71"/>
    <col min="7" max="7" width="3.5" style="71" customWidth="1"/>
    <col min="8" max="8" width="3.625" style="71" customWidth="1"/>
    <col min="9" max="9" width="3.75" style="71" customWidth="1"/>
    <col min="10" max="42" width="3.5" style="71" customWidth="1"/>
    <col min="43" max="43" width="1.375" style="71" customWidth="1"/>
    <col min="44" max="16384" width="9" style="71"/>
  </cols>
  <sheetData>
    <row r="1" spans="1:42" ht="9.9499999999999993" customHeight="1" thickBot="1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42" ht="39.950000000000003" customHeight="1" thickBot="1" x14ac:dyDescent="0.2">
      <c r="A2" s="75"/>
      <c r="B2" s="246" t="s">
        <v>68</v>
      </c>
      <c r="C2" s="412" t="s">
        <v>357</v>
      </c>
      <c r="D2" s="413"/>
      <c r="E2" s="247" t="s">
        <v>53</v>
      </c>
      <c r="F2" s="414" t="s">
        <v>359</v>
      </c>
      <c r="G2" s="415"/>
      <c r="H2" s="415"/>
      <c r="I2" s="415"/>
      <c r="J2" s="415"/>
      <c r="K2" s="415"/>
      <c r="L2" s="415"/>
      <c r="M2" s="415"/>
      <c r="N2" s="416"/>
      <c r="O2" s="420" t="s">
        <v>54</v>
      </c>
      <c r="P2" s="421"/>
      <c r="Q2" s="422"/>
      <c r="R2" s="423" t="s">
        <v>314</v>
      </c>
      <c r="S2" s="424"/>
      <c r="T2" s="424"/>
      <c r="U2" s="424"/>
      <c r="V2" s="423" t="s">
        <v>55</v>
      </c>
      <c r="W2" s="424"/>
      <c r="X2" s="424"/>
      <c r="Y2" s="417" t="s">
        <v>324</v>
      </c>
      <c r="Z2" s="418"/>
      <c r="AA2" s="419"/>
      <c r="AB2" s="76"/>
      <c r="AC2" s="76"/>
      <c r="AD2" s="76"/>
    </row>
    <row r="3" spans="1:42" ht="9.9499999999999993" customHeight="1" x14ac:dyDescent="0.15">
      <c r="B3" s="77"/>
    </row>
    <row r="4" spans="1:42" ht="24.95" customHeight="1" thickBot="1" x14ac:dyDescent="0.2">
      <c r="B4" s="71" t="s">
        <v>90</v>
      </c>
    </row>
    <row r="5" spans="1:42" ht="20.100000000000001" customHeight="1" x14ac:dyDescent="0.15">
      <c r="B5" s="507" t="s">
        <v>91</v>
      </c>
      <c r="C5" s="462"/>
      <c r="D5" s="508" t="s">
        <v>358</v>
      </c>
      <c r="E5" s="509"/>
      <c r="F5" s="509"/>
      <c r="G5" s="510"/>
      <c r="H5" s="464" t="s">
        <v>56</v>
      </c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  <c r="AD5" s="76"/>
      <c r="AE5" s="76"/>
      <c r="AF5" s="76"/>
      <c r="AG5" s="76"/>
      <c r="AH5" s="76"/>
      <c r="AI5" s="76"/>
      <c r="AJ5" s="76"/>
      <c r="AK5" s="76"/>
      <c r="AL5" s="76"/>
    </row>
    <row r="6" spans="1:42" ht="20.100000000000001" customHeight="1" x14ac:dyDescent="0.15">
      <c r="B6" s="491" t="s">
        <v>57</v>
      </c>
      <c r="C6" s="492"/>
      <c r="D6" s="492"/>
      <c r="E6" s="492"/>
      <c r="F6" s="492"/>
      <c r="G6" s="488"/>
      <c r="H6" s="488" t="s">
        <v>58</v>
      </c>
      <c r="I6" s="489"/>
      <c r="J6" s="489"/>
      <c r="K6" s="489"/>
      <c r="L6" s="489"/>
      <c r="M6" s="489"/>
      <c r="N6" s="488" t="s">
        <v>59</v>
      </c>
      <c r="O6" s="489"/>
      <c r="P6" s="489"/>
      <c r="Q6" s="488" t="s">
        <v>60</v>
      </c>
      <c r="R6" s="489"/>
      <c r="S6" s="489"/>
      <c r="T6" s="489"/>
      <c r="U6" s="489"/>
      <c r="V6" s="489"/>
      <c r="W6" s="489"/>
      <c r="X6" s="490"/>
      <c r="Y6" s="489" t="s">
        <v>61</v>
      </c>
      <c r="Z6" s="489"/>
      <c r="AA6" s="506"/>
    </row>
    <row r="7" spans="1:42" ht="20.100000000000001" customHeight="1" x14ac:dyDescent="0.15">
      <c r="B7" s="458" t="s">
        <v>62</v>
      </c>
      <c r="C7" s="478"/>
      <c r="D7" s="515" t="s">
        <v>317</v>
      </c>
      <c r="E7" s="446"/>
      <c r="F7" s="446"/>
      <c r="G7" s="446"/>
      <c r="H7" s="494" t="s">
        <v>370</v>
      </c>
      <c r="I7" s="516"/>
      <c r="J7" s="516"/>
      <c r="K7" s="516"/>
      <c r="L7" s="516"/>
      <c r="M7" s="517"/>
      <c r="N7" s="468" t="s">
        <v>311</v>
      </c>
      <c r="O7" s="469"/>
      <c r="P7" s="470"/>
      <c r="Q7" s="511"/>
      <c r="R7" s="512"/>
      <c r="S7" s="512"/>
      <c r="T7" s="512"/>
      <c r="U7" s="512"/>
      <c r="V7" s="512"/>
      <c r="W7" s="512"/>
      <c r="X7" s="513"/>
      <c r="Y7" s="472"/>
      <c r="Z7" s="472"/>
      <c r="AA7" s="514"/>
    </row>
    <row r="8" spans="1:42" ht="20.100000000000001" customHeight="1" x14ac:dyDescent="0.15">
      <c r="B8" s="491" t="s">
        <v>63</v>
      </c>
      <c r="C8" s="492"/>
      <c r="D8" s="493"/>
      <c r="E8" s="493"/>
      <c r="F8" s="493"/>
      <c r="G8" s="494"/>
      <c r="H8" s="488"/>
      <c r="I8" s="489"/>
      <c r="J8" s="489"/>
      <c r="K8" s="489"/>
      <c r="L8" s="489"/>
      <c r="M8" s="490"/>
      <c r="N8" s="488"/>
      <c r="O8" s="489"/>
      <c r="P8" s="490"/>
      <c r="Q8" s="503"/>
      <c r="R8" s="504"/>
      <c r="S8" s="504"/>
      <c r="T8" s="504"/>
      <c r="U8" s="504"/>
      <c r="V8" s="504"/>
      <c r="W8" s="504"/>
      <c r="X8" s="505"/>
      <c r="Y8" s="488"/>
      <c r="Z8" s="489"/>
      <c r="AA8" s="506"/>
    </row>
    <row r="9" spans="1:42" ht="20.100000000000001" customHeight="1" x14ac:dyDescent="0.15">
      <c r="B9" s="491" t="s">
        <v>64</v>
      </c>
      <c r="C9" s="492"/>
      <c r="D9" s="493"/>
      <c r="E9" s="493"/>
      <c r="F9" s="493"/>
      <c r="G9" s="494"/>
      <c r="H9" s="488"/>
      <c r="I9" s="489"/>
      <c r="J9" s="489"/>
      <c r="K9" s="489"/>
      <c r="L9" s="489"/>
      <c r="M9" s="490"/>
      <c r="N9" s="488"/>
      <c r="O9" s="489"/>
      <c r="P9" s="490"/>
      <c r="Q9" s="503"/>
      <c r="R9" s="504"/>
      <c r="S9" s="504"/>
      <c r="T9" s="504"/>
      <c r="U9" s="504"/>
      <c r="V9" s="504"/>
      <c r="W9" s="504"/>
      <c r="X9" s="505"/>
      <c r="Y9" s="488"/>
      <c r="Z9" s="489"/>
      <c r="AA9" s="506"/>
    </row>
    <row r="10" spans="1:42" ht="20.100000000000001" customHeight="1" x14ac:dyDescent="0.15">
      <c r="B10" s="491" t="s">
        <v>65</v>
      </c>
      <c r="C10" s="492"/>
      <c r="D10" s="493"/>
      <c r="E10" s="493"/>
      <c r="F10" s="493"/>
      <c r="G10" s="494"/>
      <c r="H10" s="486"/>
      <c r="I10" s="487"/>
      <c r="J10" s="487"/>
      <c r="K10" s="487"/>
      <c r="L10" s="487"/>
      <c r="M10" s="487"/>
      <c r="N10" s="488"/>
      <c r="O10" s="489"/>
      <c r="P10" s="490"/>
      <c r="Q10" s="503"/>
      <c r="R10" s="504"/>
      <c r="S10" s="504"/>
      <c r="T10" s="504"/>
      <c r="U10" s="504"/>
      <c r="V10" s="504"/>
      <c r="W10" s="504"/>
      <c r="X10" s="505"/>
      <c r="Y10" s="489"/>
      <c r="Z10" s="489"/>
      <c r="AA10" s="506"/>
    </row>
    <row r="11" spans="1:42" ht="20.100000000000001" customHeight="1" thickBot="1" x14ac:dyDescent="0.2">
      <c r="B11" s="459" t="s">
        <v>66</v>
      </c>
      <c r="C11" s="478"/>
      <c r="D11" s="495" t="s">
        <v>316</v>
      </c>
      <c r="E11" s="496"/>
      <c r="F11" s="496"/>
      <c r="G11" s="497"/>
      <c r="H11" s="498"/>
      <c r="I11" s="499"/>
      <c r="J11" s="499"/>
      <c r="K11" s="499"/>
      <c r="L11" s="499"/>
      <c r="M11" s="499"/>
      <c r="N11" s="485"/>
      <c r="O11" s="483"/>
      <c r="P11" s="483"/>
      <c r="Q11" s="480"/>
      <c r="R11" s="481"/>
      <c r="S11" s="481"/>
      <c r="T11" s="481"/>
      <c r="U11" s="481"/>
      <c r="V11" s="481"/>
      <c r="W11" s="481"/>
      <c r="X11" s="482"/>
      <c r="Y11" s="483"/>
      <c r="Z11" s="483"/>
      <c r="AA11" s="484"/>
    </row>
    <row r="12" spans="1:42" ht="20.100000000000001" customHeight="1" x14ac:dyDescent="0.15">
      <c r="B12" s="500" t="s">
        <v>88</v>
      </c>
      <c r="C12" s="464" t="s">
        <v>92</v>
      </c>
      <c r="D12" s="462"/>
      <c r="E12" s="465"/>
      <c r="F12" s="72" t="s">
        <v>89</v>
      </c>
      <c r="G12" s="464">
        <v>1</v>
      </c>
      <c r="H12" s="462"/>
      <c r="I12" s="462"/>
      <c r="J12" s="464">
        <v>2</v>
      </c>
      <c r="K12" s="462"/>
      <c r="L12" s="465"/>
      <c r="M12" s="462">
        <v>3</v>
      </c>
      <c r="N12" s="462"/>
      <c r="O12" s="467"/>
      <c r="P12" s="464">
        <v>4</v>
      </c>
      <c r="Q12" s="462"/>
      <c r="R12" s="465"/>
      <c r="S12" s="466">
        <v>5</v>
      </c>
      <c r="T12" s="462"/>
      <c r="U12" s="467"/>
      <c r="V12" s="464">
        <v>6</v>
      </c>
      <c r="W12" s="462"/>
      <c r="X12" s="465"/>
      <c r="Y12" s="466">
        <v>7</v>
      </c>
      <c r="Z12" s="462"/>
      <c r="AA12" s="467"/>
      <c r="AB12" s="464">
        <v>8</v>
      </c>
      <c r="AC12" s="462"/>
      <c r="AD12" s="465"/>
      <c r="AE12" s="466">
        <v>9</v>
      </c>
      <c r="AF12" s="462"/>
      <c r="AG12" s="467"/>
      <c r="AH12" s="464">
        <v>10</v>
      </c>
      <c r="AI12" s="462"/>
      <c r="AJ12" s="465"/>
      <c r="AK12" s="464">
        <v>11</v>
      </c>
      <c r="AL12" s="462"/>
      <c r="AM12" s="465"/>
      <c r="AN12" s="462">
        <v>12</v>
      </c>
      <c r="AO12" s="462"/>
      <c r="AP12" s="463"/>
    </row>
    <row r="13" spans="1:42" ht="20.100000000000001" customHeight="1" x14ac:dyDescent="0.15">
      <c r="B13" s="501"/>
      <c r="C13" s="468" t="s">
        <v>246</v>
      </c>
      <c r="D13" s="469"/>
      <c r="E13" s="470"/>
      <c r="F13" s="477" t="s">
        <v>313</v>
      </c>
      <c r="G13" s="320"/>
      <c r="H13" s="321"/>
      <c r="I13" s="322"/>
      <c r="J13" s="323"/>
      <c r="K13" s="321"/>
      <c r="L13" s="322"/>
      <c r="M13" s="323"/>
      <c r="N13" s="321"/>
      <c r="O13" s="322"/>
      <c r="P13" s="323"/>
      <c r="Q13" s="372"/>
      <c r="R13" s="322"/>
      <c r="S13" s="321"/>
      <c r="T13" s="321"/>
      <c r="U13" s="322"/>
      <c r="V13" s="323"/>
      <c r="W13" s="321"/>
      <c r="X13" s="322"/>
      <c r="Y13" s="323"/>
      <c r="Z13" s="321"/>
      <c r="AA13" s="322"/>
      <c r="AB13" s="323"/>
      <c r="AC13" s="321"/>
      <c r="AD13" s="324"/>
      <c r="AE13" s="323"/>
      <c r="AF13" s="321"/>
      <c r="AG13" s="322"/>
      <c r="AH13" s="323"/>
      <c r="AI13" s="321"/>
      <c r="AJ13" s="322"/>
      <c r="AK13" s="323"/>
      <c r="AL13" s="321"/>
      <c r="AM13" s="322"/>
      <c r="AN13" s="323"/>
      <c r="AO13" s="321"/>
      <c r="AP13" s="325"/>
    </row>
    <row r="14" spans="1:42" ht="20.100000000000001" customHeight="1" x14ac:dyDescent="0.15">
      <c r="B14" s="501"/>
      <c r="C14" s="471"/>
      <c r="D14" s="472"/>
      <c r="E14" s="473"/>
      <c r="F14" s="478"/>
      <c r="G14" s="326"/>
      <c r="H14" s="327"/>
      <c r="I14" s="328"/>
      <c r="J14" s="329"/>
      <c r="K14" s="327"/>
      <c r="L14" s="328"/>
      <c r="M14" s="329"/>
      <c r="N14" s="327"/>
      <c r="O14" s="328"/>
      <c r="P14" s="329"/>
      <c r="Q14" s="327"/>
      <c r="R14" s="328"/>
      <c r="S14" s="329"/>
      <c r="T14" s="327"/>
      <c r="U14" s="328"/>
      <c r="V14" s="329"/>
      <c r="W14" s="373"/>
      <c r="X14" s="328"/>
      <c r="Y14" s="327"/>
      <c r="Z14" s="327"/>
      <c r="AA14" s="328"/>
      <c r="AB14" s="329"/>
      <c r="AC14" s="327"/>
      <c r="AD14" s="330"/>
      <c r="AE14" s="329"/>
      <c r="AF14" s="327"/>
      <c r="AG14" s="328"/>
      <c r="AH14" s="329"/>
      <c r="AI14" s="327"/>
      <c r="AJ14" s="328"/>
      <c r="AK14" s="329"/>
      <c r="AL14" s="327"/>
      <c r="AM14" s="328"/>
      <c r="AN14" s="329"/>
      <c r="AO14" s="327"/>
      <c r="AP14" s="331"/>
    </row>
    <row r="15" spans="1:42" ht="20.100000000000001" customHeight="1" x14ac:dyDescent="0.15">
      <c r="B15" s="501"/>
      <c r="C15" s="471"/>
      <c r="D15" s="472"/>
      <c r="E15" s="473"/>
      <c r="F15" s="478"/>
      <c r="G15" s="326"/>
      <c r="H15" s="327"/>
      <c r="I15" s="328"/>
      <c r="J15" s="329"/>
      <c r="K15" s="327"/>
      <c r="L15" s="328"/>
      <c r="M15" s="329"/>
      <c r="N15" s="327"/>
      <c r="O15" s="328"/>
      <c r="P15" s="329"/>
      <c r="Q15" s="327"/>
      <c r="R15" s="328"/>
      <c r="S15" s="327"/>
      <c r="T15" s="327"/>
      <c r="U15" s="328"/>
      <c r="V15" s="329"/>
      <c r="W15" s="327"/>
      <c r="X15" s="328"/>
      <c r="Y15" s="329"/>
      <c r="Z15" s="327"/>
      <c r="AA15" s="328"/>
      <c r="AB15" s="329"/>
      <c r="AC15" s="373"/>
      <c r="AD15" s="328"/>
      <c r="AE15" s="329"/>
      <c r="AF15" s="327"/>
      <c r="AG15" s="328"/>
      <c r="AH15" s="329"/>
      <c r="AI15" s="327"/>
      <c r="AJ15" s="328"/>
      <c r="AK15" s="329"/>
      <c r="AL15" s="327"/>
      <c r="AM15" s="328"/>
      <c r="AN15" s="329"/>
      <c r="AO15" s="327"/>
      <c r="AP15" s="331"/>
    </row>
    <row r="16" spans="1:42" ht="20.100000000000001" customHeight="1" x14ac:dyDescent="0.15">
      <c r="B16" s="501"/>
      <c r="C16" s="471"/>
      <c r="D16" s="472"/>
      <c r="E16" s="473"/>
      <c r="F16" s="478"/>
      <c r="G16" s="326"/>
      <c r="H16" s="327"/>
      <c r="I16" s="328"/>
      <c r="J16" s="329"/>
      <c r="K16" s="327"/>
      <c r="L16" s="328"/>
      <c r="M16" s="329"/>
      <c r="N16" s="327"/>
      <c r="O16" s="328"/>
      <c r="P16" s="329"/>
      <c r="Q16" s="327"/>
      <c r="R16" s="328"/>
      <c r="S16" s="329"/>
      <c r="T16" s="327"/>
      <c r="U16" s="328"/>
      <c r="V16" s="329"/>
      <c r="W16" s="327"/>
      <c r="X16" s="328"/>
      <c r="Y16" s="329"/>
      <c r="Z16" s="327"/>
      <c r="AA16" s="328"/>
      <c r="AB16" s="329"/>
      <c r="AC16" s="327"/>
      <c r="AD16" s="328"/>
      <c r="AE16" s="329"/>
      <c r="AF16" s="327"/>
      <c r="AG16" s="328"/>
      <c r="AH16" s="329"/>
      <c r="AI16" s="327"/>
      <c r="AJ16" s="328"/>
      <c r="AK16" s="329"/>
      <c r="AL16" s="327"/>
      <c r="AM16" s="328"/>
      <c r="AN16" s="329"/>
      <c r="AO16" s="327"/>
      <c r="AP16" s="331"/>
    </row>
    <row r="17" spans="2:42" ht="20.100000000000001" customHeight="1" x14ac:dyDescent="0.15">
      <c r="B17" s="501"/>
      <c r="C17" s="471"/>
      <c r="D17" s="472"/>
      <c r="E17" s="473"/>
      <c r="F17" s="478"/>
      <c r="G17" s="326"/>
      <c r="H17" s="327"/>
      <c r="I17" s="328"/>
      <c r="J17" s="329"/>
      <c r="K17" s="327"/>
      <c r="L17" s="328"/>
      <c r="M17" s="329"/>
      <c r="N17" s="327"/>
      <c r="O17" s="328"/>
      <c r="P17" s="329"/>
      <c r="Q17" s="327"/>
      <c r="R17" s="328"/>
      <c r="S17" s="329"/>
      <c r="T17" s="327"/>
      <c r="U17" s="328"/>
      <c r="V17" s="329"/>
      <c r="W17" s="327"/>
      <c r="X17" s="328"/>
      <c r="Y17" s="329"/>
      <c r="Z17" s="327"/>
      <c r="AA17" s="328"/>
      <c r="AB17" s="329"/>
      <c r="AC17" s="327"/>
      <c r="AD17" s="328"/>
      <c r="AE17" s="329"/>
      <c r="AF17" s="327"/>
      <c r="AG17" s="328"/>
      <c r="AH17" s="329"/>
      <c r="AI17" s="327"/>
      <c r="AJ17" s="328"/>
      <c r="AK17" s="329"/>
      <c r="AL17" s="327"/>
      <c r="AM17" s="328"/>
      <c r="AN17" s="329"/>
      <c r="AO17" s="327"/>
      <c r="AP17" s="331"/>
    </row>
    <row r="18" spans="2:42" ht="20.100000000000001" customHeight="1" x14ac:dyDescent="0.15">
      <c r="B18" s="501"/>
      <c r="C18" s="471"/>
      <c r="D18" s="472"/>
      <c r="E18" s="473"/>
      <c r="F18" s="478"/>
      <c r="G18" s="326"/>
      <c r="H18" s="327"/>
      <c r="I18" s="328"/>
      <c r="J18" s="329"/>
      <c r="K18" s="327"/>
      <c r="L18" s="328"/>
      <c r="M18" s="329"/>
      <c r="N18" s="327"/>
      <c r="O18" s="328"/>
      <c r="P18" s="329"/>
      <c r="Q18" s="327"/>
      <c r="R18" s="328"/>
      <c r="S18" s="329"/>
      <c r="T18" s="327"/>
      <c r="U18" s="328"/>
      <c r="V18" s="329"/>
      <c r="W18" s="327"/>
      <c r="X18" s="328"/>
      <c r="Y18" s="329"/>
      <c r="Z18" s="327"/>
      <c r="AA18" s="328"/>
      <c r="AB18" s="329"/>
      <c r="AC18" s="327"/>
      <c r="AD18" s="328"/>
      <c r="AE18" s="329"/>
      <c r="AF18" s="327"/>
      <c r="AG18" s="328"/>
      <c r="AH18" s="329"/>
      <c r="AI18" s="327"/>
      <c r="AJ18" s="328"/>
      <c r="AK18" s="329"/>
      <c r="AL18" s="327"/>
      <c r="AM18" s="328"/>
      <c r="AN18" s="329"/>
      <c r="AO18" s="327"/>
      <c r="AP18" s="331"/>
    </row>
    <row r="19" spans="2:42" ht="20.100000000000001" customHeight="1" x14ac:dyDescent="0.15">
      <c r="B19" s="501"/>
      <c r="C19" s="471"/>
      <c r="D19" s="472"/>
      <c r="E19" s="473"/>
      <c r="F19" s="478"/>
      <c r="G19" s="326"/>
      <c r="H19" s="327"/>
      <c r="I19" s="328"/>
      <c r="J19" s="329"/>
      <c r="K19" s="327"/>
      <c r="L19" s="328"/>
      <c r="M19" s="329"/>
      <c r="N19" s="327"/>
      <c r="O19" s="328"/>
      <c r="P19" s="329"/>
      <c r="Q19" s="327"/>
      <c r="R19" s="328"/>
      <c r="S19" s="329"/>
      <c r="T19" s="327"/>
      <c r="U19" s="328"/>
      <c r="V19" s="329"/>
      <c r="W19" s="327"/>
      <c r="X19" s="328"/>
      <c r="Y19" s="329"/>
      <c r="Z19" s="327"/>
      <c r="AA19" s="328"/>
      <c r="AB19" s="329"/>
      <c r="AC19" s="327"/>
      <c r="AD19" s="328"/>
      <c r="AE19" s="329"/>
      <c r="AF19" s="327"/>
      <c r="AG19" s="328"/>
      <c r="AH19" s="329"/>
      <c r="AI19" s="327"/>
      <c r="AJ19" s="328"/>
      <c r="AK19" s="329"/>
      <c r="AL19" s="327"/>
      <c r="AM19" s="328"/>
      <c r="AN19" s="329"/>
      <c r="AO19" s="327"/>
      <c r="AP19" s="331"/>
    </row>
    <row r="20" spans="2:42" ht="20.100000000000001" customHeight="1" x14ac:dyDescent="0.15">
      <c r="B20" s="501"/>
      <c r="C20" s="471"/>
      <c r="D20" s="472"/>
      <c r="E20" s="473"/>
      <c r="F20" s="478"/>
      <c r="G20" s="326"/>
      <c r="H20" s="327"/>
      <c r="I20" s="328"/>
      <c r="J20" s="329"/>
      <c r="K20" s="327"/>
      <c r="L20" s="328"/>
      <c r="M20" s="329"/>
      <c r="N20" s="327"/>
      <c r="O20" s="328"/>
      <c r="P20" s="329"/>
      <c r="Q20" s="327"/>
      <c r="R20" s="328"/>
      <c r="S20" s="329"/>
      <c r="T20" s="327"/>
      <c r="U20" s="328"/>
      <c r="V20" s="329"/>
      <c r="W20" s="327"/>
      <c r="X20" s="328"/>
      <c r="Y20" s="329"/>
      <c r="Z20" s="327"/>
      <c r="AA20" s="328"/>
      <c r="AB20" s="329"/>
      <c r="AC20" s="327"/>
      <c r="AD20" s="328"/>
      <c r="AE20" s="329"/>
      <c r="AF20" s="327"/>
      <c r="AG20" s="328"/>
      <c r="AH20" s="329"/>
      <c r="AI20" s="327"/>
      <c r="AJ20" s="328"/>
      <c r="AK20" s="329"/>
      <c r="AL20" s="327"/>
      <c r="AM20" s="328"/>
      <c r="AN20" s="329"/>
      <c r="AO20" s="327"/>
      <c r="AP20" s="331"/>
    </row>
    <row r="21" spans="2:42" ht="20.100000000000001" customHeight="1" x14ac:dyDescent="0.15">
      <c r="B21" s="502"/>
      <c r="C21" s="474"/>
      <c r="D21" s="475"/>
      <c r="E21" s="476"/>
      <c r="F21" s="479"/>
      <c r="G21" s="326"/>
      <c r="H21" s="327"/>
      <c r="I21" s="328"/>
      <c r="J21" s="329"/>
      <c r="K21" s="327"/>
      <c r="L21" s="328"/>
      <c r="M21" s="329"/>
      <c r="N21" s="327"/>
      <c r="O21" s="328"/>
      <c r="P21" s="329"/>
      <c r="Q21" s="327"/>
      <c r="R21" s="328"/>
      <c r="S21" s="329"/>
      <c r="T21" s="327"/>
      <c r="U21" s="328"/>
      <c r="V21" s="329"/>
      <c r="W21" s="327"/>
      <c r="X21" s="328"/>
      <c r="Y21" s="329"/>
      <c r="Z21" s="327"/>
      <c r="AA21" s="328"/>
      <c r="AB21" s="329"/>
      <c r="AC21" s="327"/>
      <c r="AD21" s="328"/>
      <c r="AE21" s="329"/>
      <c r="AF21" s="327"/>
      <c r="AG21" s="332"/>
      <c r="AH21" s="333"/>
      <c r="AI21" s="334"/>
      <c r="AJ21" s="332"/>
      <c r="AK21" s="333"/>
      <c r="AL21" s="334"/>
      <c r="AM21" s="332"/>
      <c r="AN21" s="333"/>
      <c r="AO21" s="334"/>
      <c r="AP21" s="335"/>
    </row>
    <row r="22" spans="2:42" ht="20.100000000000001" customHeight="1" x14ac:dyDescent="0.15">
      <c r="B22" s="457" t="s">
        <v>67</v>
      </c>
      <c r="C22" s="443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  <c r="AL22" s="444"/>
      <c r="AM22" s="444"/>
      <c r="AN22" s="444"/>
      <c r="AO22" s="444"/>
      <c r="AP22" s="445"/>
    </row>
    <row r="23" spans="2:42" ht="20.100000000000001" customHeight="1" x14ac:dyDescent="0.15">
      <c r="B23" s="458"/>
      <c r="C23" s="460" t="s">
        <v>380</v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78"/>
      <c r="W23" s="78"/>
      <c r="Y23" s="446"/>
      <c r="Z23" s="446"/>
      <c r="AA23" s="446"/>
      <c r="AB23" s="446"/>
      <c r="AC23" s="78"/>
      <c r="AD23" s="78"/>
      <c r="AI23" s="78"/>
      <c r="AJ23" s="78"/>
      <c r="AK23" s="78"/>
      <c r="AL23" s="78"/>
      <c r="AM23" s="78"/>
      <c r="AN23" s="78"/>
      <c r="AO23" s="78"/>
      <c r="AP23" s="79"/>
    </row>
    <row r="24" spans="2:42" ht="20.100000000000001" customHeight="1" thickBot="1" x14ac:dyDescent="0.2">
      <c r="B24" s="459"/>
      <c r="C24" s="447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9"/>
    </row>
    <row r="25" spans="2:42" ht="9.9499999999999993" customHeight="1" x14ac:dyDescent="0.15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</row>
    <row r="26" spans="2:42" ht="24.95" customHeight="1" thickBot="1" x14ac:dyDescent="0.2">
      <c r="B26" s="71" t="s">
        <v>93</v>
      </c>
    </row>
    <row r="27" spans="2:42" ht="20.100000000000001" customHeight="1" thickBot="1" x14ac:dyDescent="0.2">
      <c r="B27" s="450" t="s">
        <v>16</v>
      </c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2"/>
      <c r="O27" s="453" t="s">
        <v>15</v>
      </c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454"/>
      <c r="AN27" s="454"/>
      <c r="AO27" s="454"/>
      <c r="AP27" s="455"/>
    </row>
    <row r="28" spans="2:42" ht="39.950000000000003" customHeight="1" x14ac:dyDescent="0.15">
      <c r="B28" s="456" t="s">
        <v>11</v>
      </c>
      <c r="C28" s="440"/>
      <c r="D28" s="440"/>
      <c r="E28" s="441" t="s">
        <v>325</v>
      </c>
      <c r="F28" s="441"/>
      <c r="G28" s="441"/>
      <c r="H28" s="441"/>
      <c r="I28" s="441"/>
      <c r="J28" s="441"/>
      <c r="K28" s="441"/>
      <c r="L28" s="441"/>
      <c r="M28" s="441"/>
      <c r="N28" s="442"/>
      <c r="O28" s="439" t="s">
        <v>8</v>
      </c>
      <c r="P28" s="440"/>
      <c r="Q28" s="440"/>
      <c r="R28" s="440"/>
      <c r="S28" s="440"/>
      <c r="T28" s="441" t="s">
        <v>247</v>
      </c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2"/>
    </row>
    <row r="29" spans="2:42" ht="39.950000000000003" customHeight="1" x14ac:dyDescent="0.15">
      <c r="B29" s="427" t="s">
        <v>12</v>
      </c>
      <c r="C29" s="428"/>
      <c r="D29" s="428"/>
      <c r="E29" s="429" t="s">
        <v>382</v>
      </c>
      <c r="F29" s="429"/>
      <c r="G29" s="429"/>
      <c r="H29" s="429"/>
      <c r="I29" s="429"/>
      <c r="J29" s="429"/>
      <c r="K29" s="429"/>
      <c r="L29" s="429"/>
      <c r="M29" s="429"/>
      <c r="N29" s="430"/>
      <c r="O29" s="431" t="s">
        <v>9</v>
      </c>
      <c r="P29" s="428"/>
      <c r="Q29" s="428"/>
      <c r="R29" s="428"/>
      <c r="S29" s="428"/>
      <c r="T29" s="432" t="s">
        <v>315</v>
      </c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30"/>
    </row>
    <row r="30" spans="2:42" ht="46.5" customHeight="1" x14ac:dyDescent="0.15">
      <c r="B30" s="427" t="s">
        <v>13</v>
      </c>
      <c r="C30" s="428"/>
      <c r="D30" s="428"/>
      <c r="E30" s="433" t="s">
        <v>318</v>
      </c>
      <c r="F30" s="434"/>
      <c r="G30" s="434"/>
      <c r="H30" s="434"/>
      <c r="I30" s="434"/>
      <c r="J30" s="434"/>
      <c r="K30" s="434"/>
      <c r="L30" s="434"/>
      <c r="M30" s="434"/>
      <c r="N30" s="435"/>
      <c r="O30" s="431" t="s">
        <v>10</v>
      </c>
      <c r="P30" s="428"/>
      <c r="Q30" s="428"/>
      <c r="R30" s="428"/>
      <c r="S30" s="428"/>
      <c r="T30" s="432" t="s">
        <v>391</v>
      </c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29"/>
      <c r="AN30" s="429"/>
      <c r="AO30" s="429"/>
      <c r="AP30" s="430"/>
    </row>
    <row r="31" spans="2:42" ht="39.950000000000003" customHeight="1" thickBot="1" x14ac:dyDescent="0.2">
      <c r="B31" s="438" t="s">
        <v>14</v>
      </c>
      <c r="C31" s="437"/>
      <c r="D31" s="437"/>
      <c r="E31" s="425" t="s">
        <v>326</v>
      </c>
      <c r="F31" s="425"/>
      <c r="G31" s="425"/>
      <c r="H31" s="425"/>
      <c r="I31" s="425"/>
      <c r="J31" s="425"/>
      <c r="K31" s="425"/>
      <c r="L31" s="425"/>
      <c r="M31" s="425"/>
      <c r="N31" s="426"/>
      <c r="O31" s="436"/>
      <c r="P31" s="437"/>
      <c r="Q31" s="437"/>
      <c r="R31" s="437"/>
      <c r="S31" s="437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6"/>
    </row>
    <row r="32" spans="2:42" ht="9.75" customHeight="1" x14ac:dyDescent="0.15">
      <c r="B32" s="74"/>
    </row>
  </sheetData>
  <mergeCells count="81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21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AB12:AD12"/>
    <mergeCell ref="AE12:AG12"/>
    <mergeCell ref="C13:E21"/>
    <mergeCell ref="F13:F21"/>
    <mergeCell ref="O28:S28"/>
    <mergeCell ref="T28:AP28"/>
    <mergeCell ref="C22:AP22"/>
    <mergeCell ref="Y23:AB23"/>
    <mergeCell ref="C24:AP24"/>
    <mergeCell ref="B27:N27"/>
    <mergeCell ref="O27:AP27"/>
    <mergeCell ref="B28:D28"/>
    <mergeCell ref="E28:N28"/>
    <mergeCell ref="B22:B24"/>
    <mergeCell ref="C23:U23"/>
    <mergeCell ref="E31:N31"/>
    <mergeCell ref="B29:D29"/>
    <mergeCell ref="E29:N29"/>
    <mergeCell ref="O29:S29"/>
    <mergeCell ref="T29:AP29"/>
    <mergeCell ref="B30:D30"/>
    <mergeCell ref="E30:N30"/>
    <mergeCell ref="O30:S31"/>
    <mergeCell ref="T30:AP31"/>
    <mergeCell ref="B31:D31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4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="75" zoomScaleNormal="75" zoomScaleSheetLayoutView="100" workbookViewId="0">
      <selection activeCell="AU22" sqref="AU22"/>
    </sheetView>
  </sheetViews>
  <sheetFormatPr defaultRowHeight="13.5" x14ac:dyDescent="0.15"/>
  <cols>
    <col min="1" max="1" width="1.625" style="71" customWidth="1"/>
    <col min="2" max="2" width="7.625" style="71" customWidth="1"/>
    <col min="3" max="3" width="25.625" style="71" customWidth="1"/>
    <col min="4" max="9" width="15.625" style="71" customWidth="1"/>
    <col min="10" max="10" width="15.5" style="71" customWidth="1"/>
    <col min="11" max="13" width="15.625" style="71" customWidth="1"/>
    <col min="14" max="16384" width="9" style="71"/>
  </cols>
  <sheetData>
    <row r="1" spans="2:16" ht="9.9499999999999993" customHeight="1" x14ac:dyDescent="0.1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2:16" ht="24.95" customHeight="1" thickBot="1" x14ac:dyDescent="0.2">
      <c r="B2" s="245" t="s">
        <v>376</v>
      </c>
      <c r="F2" s="266" t="s">
        <v>192</v>
      </c>
      <c r="G2" s="245" t="s">
        <v>371</v>
      </c>
      <c r="H2" s="266"/>
      <c r="I2" s="266" t="s">
        <v>193</v>
      </c>
      <c r="J2" s="374" t="s">
        <v>346</v>
      </c>
      <c r="K2" s="245"/>
      <c r="L2" s="245"/>
    </row>
    <row r="3" spans="2:16" ht="31.5" customHeight="1" x14ac:dyDescent="0.15">
      <c r="B3" s="519" t="s">
        <v>87</v>
      </c>
      <c r="C3" s="520"/>
      <c r="D3" s="380" t="s">
        <v>327</v>
      </c>
      <c r="E3" s="380" t="s">
        <v>329</v>
      </c>
      <c r="F3" s="399" t="s">
        <v>389</v>
      </c>
      <c r="G3" s="380" t="s">
        <v>319</v>
      </c>
      <c r="H3" s="380" t="s">
        <v>336</v>
      </c>
      <c r="I3" s="380" t="s">
        <v>342</v>
      </c>
      <c r="J3" s="380" t="s">
        <v>343</v>
      </c>
      <c r="K3" s="380" t="s">
        <v>344</v>
      </c>
      <c r="L3" s="380" t="s">
        <v>345</v>
      </c>
      <c r="M3" s="381" t="s">
        <v>341</v>
      </c>
    </row>
    <row r="4" spans="2:16" ht="150" customHeight="1" x14ac:dyDescent="0.15">
      <c r="B4" s="518" t="s">
        <v>78</v>
      </c>
      <c r="C4" s="370" t="s">
        <v>79</v>
      </c>
      <c r="D4" s="402" t="s">
        <v>392</v>
      </c>
      <c r="E4" s="402" t="s">
        <v>393</v>
      </c>
      <c r="F4" s="402" t="s">
        <v>394</v>
      </c>
      <c r="G4" s="402" t="s">
        <v>395</v>
      </c>
      <c r="H4" s="402" t="s">
        <v>396</v>
      </c>
      <c r="I4" s="402" t="s">
        <v>397</v>
      </c>
      <c r="J4" s="402" t="s">
        <v>398</v>
      </c>
      <c r="K4" s="402" t="s">
        <v>399</v>
      </c>
      <c r="L4" s="402" t="s">
        <v>400</v>
      </c>
      <c r="M4" s="403" t="s">
        <v>401</v>
      </c>
    </row>
    <row r="5" spans="2:16" ht="20.100000000000001" customHeight="1" x14ac:dyDescent="0.15">
      <c r="B5" s="518"/>
      <c r="C5" s="370" t="s">
        <v>80</v>
      </c>
      <c r="D5" s="376" t="s">
        <v>347</v>
      </c>
      <c r="E5" s="384" t="s">
        <v>347</v>
      </c>
      <c r="F5" s="376" t="s">
        <v>347</v>
      </c>
      <c r="G5" s="385" t="s">
        <v>347</v>
      </c>
      <c r="H5" s="376" t="s">
        <v>347</v>
      </c>
      <c r="I5" s="386" t="s">
        <v>347</v>
      </c>
      <c r="J5" s="386" t="s">
        <v>347</v>
      </c>
      <c r="K5" s="387" t="s">
        <v>348</v>
      </c>
      <c r="L5" s="376" t="s">
        <v>347</v>
      </c>
      <c r="M5" s="388" t="s">
        <v>332</v>
      </c>
    </row>
    <row r="6" spans="2:16" ht="124.5" customHeight="1" x14ac:dyDescent="0.15">
      <c r="B6" s="518"/>
      <c r="C6" s="370" t="s">
        <v>86</v>
      </c>
      <c r="D6" s="382" t="s">
        <v>328</v>
      </c>
      <c r="E6" s="382" t="s">
        <v>330</v>
      </c>
      <c r="F6" s="398" t="s">
        <v>331</v>
      </c>
      <c r="G6" s="382" t="s">
        <v>331</v>
      </c>
      <c r="H6" s="382"/>
      <c r="I6" s="382" t="s">
        <v>334</v>
      </c>
      <c r="J6" s="382"/>
      <c r="K6" s="382" t="s">
        <v>338</v>
      </c>
      <c r="L6" s="382" t="s">
        <v>339</v>
      </c>
      <c r="M6" s="383"/>
    </row>
    <row r="7" spans="2:16" ht="20.100000000000001" customHeight="1" x14ac:dyDescent="0.15">
      <c r="B7" s="518"/>
      <c r="C7" s="73" t="s">
        <v>83</v>
      </c>
      <c r="D7" s="376">
        <v>21</v>
      </c>
      <c r="E7" s="376"/>
      <c r="F7" s="376"/>
      <c r="G7" s="376"/>
      <c r="H7" s="376"/>
      <c r="I7" s="376" t="s">
        <v>349</v>
      </c>
      <c r="J7" s="376"/>
      <c r="K7" s="376">
        <v>22</v>
      </c>
      <c r="L7" s="376">
        <v>55</v>
      </c>
      <c r="M7" s="388"/>
    </row>
    <row r="8" spans="2:16" ht="20.100000000000001" customHeight="1" x14ac:dyDescent="0.15">
      <c r="B8" s="518"/>
      <c r="C8" s="371" t="s">
        <v>84</v>
      </c>
      <c r="D8" s="376">
        <v>40</v>
      </c>
      <c r="E8" s="389">
        <v>6</v>
      </c>
      <c r="F8" s="376">
        <v>31</v>
      </c>
      <c r="G8" s="389">
        <v>635</v>
      </c>
      <c r="H8" s="376">
        <v>55</v>
      </c>
      <c r="I8" s="389">
        <v>25</v>
      </c>
      <c r="J8" s="389">
        <v>35</v>
      </c>
      <c r="K8" s="389">
        <v>22</v>
      </c>
      <c r="L8" s="376">
        <v>135</v>
      </c>
      <c r="M8" s="388">
        <v>104</v>
      </c>
    </row>
    <row r="9" spans="2:16" ht="20.100000000000001" customHeight="1" x14ac:dyDescent="0.15">
      <c r="B9" s="518"/>
      <c r="C9" s="370" t="s">
        <v>85</v>
      </c>
      <c r="D9" s="376"/>
      <c r="E9" s="376"/>
      <c r="F9" s="376"/>
      <c r="G9" s="376"/>
      <c r="H9" s="376"/>
      <c r="I9" s="376"/>
      <c r="J9" s="376"/>
      <c r="K9" s="376"/>
      <c r="L9" s="376"/>
      <c r="M9" s="388"/>
    </row>
    <row r="10" spans="2:16" ht="150" customHeight="1" x14ac:dyDescent="0.15">
      <c r="B10" s="523" t="s">
        <v>81</v>
      </c>
      <c r="C10" s="524"/>
      <c r="D10" s="398" t="s">
        <v>387</v>
      </c>
      <c r="E10" s="390"/>
      <c r="F10" s="376"/>
      <c r="G10" s="398" t="s">
        <v>388</v>
      </c>
      <c r="H10" s="390" t="s">
        <v>337</v>
      </c>
      <c r="I10" s="391" t="s">
        <v>335</v>
      </c>
      <c r="J10" s="390"/>
      <c r="K10" s="400" t="s">
        <v>390</v>
      </c>
      <c r="L10" s="390" t="s">
        <v>340</v>
      </c>
      <c r="M10" s="411" t="s">
        <v>333</v>
      </c>
    </row>
    <row r="11" spans="2:16" ht="150" customHeight="1" thickBot="1" x14ac:dyDescent="0.2">
      <c r="B11" s="521" t="s">
        <v>82</v>
      </c>
      <c r="C11" s="522"/>
      <c r="D11" s="404" t="s">
        <v>402</v>
      </c>
      <c r="E11" s="405" t="s">
        <v>403</v>
      </c>
      <c r="F11" s="405" t="s">
        <v>404</v>
      </c>
      <c r="G11" s="404" t="s">
        <v>405</v>
      </c>
      <c r="H11" s="405" t="s">
        <v>406</v>
      </c>
      <c r="I11" s="406" t="s">
        <v>407</v>
      </c>
      <c r="J11" s="407" t="s">
        <v>408</v>
      </c>
      <c r="K11" s="405" t="s">
        <v>409</v>
      </c>
      <c r="L11" s="405" t="s">
        <v>410</v>
      </c>
      <c r="M11" s="408" t="s">
        <v>411</v>
      </c>
      <c r="P11" s="369"/>
    </row>
    <row r="12" spans="2:16" ht="18.75" customHeight="1" x14ac:dyDescent="0.15">
      <c r="B12" s="74"/>
      <c r="D12" s="245"/>
    </row>
    <row r="23" spans="9:9" x14ac:dyDescent="0.15">
      <c r="I23" s="369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zoomScale="75" zoomScaleNormal="75" zoomScaleSheetLayoutView="100" workbookViewId="0">
      <selection activeCell="AU22" sqref="AU22"/>
    </sheetView>
  </sheetViews>
  <sheetFormatPr defaultRowHeight="13.5" x14ac:dyDescent="0.15"/>
  <cols>
    <col min="1" max="1" width="1.625" style="11" customWidth="1"/>
    <col min="2" max="2" width="7.625" style="11" customWidth="1"/>
    <col min="3" max="3" width="15.625" style="11" customWidth="1"/>
    <col min="4" max="7" width="20.625" style="11" customWidth="1"/>
    <col min="8" max="14" width="12.625" style="11" customWidth="1"/>
    <col min="15" max="16384" width="9" style="11"/>
  </cols>
  <sheetData>
    <row r="1" spans="2:14" ht="9.9499999999999993" customHeight="1" x14ac:dyDescent="0.15"/>
    <row r="2" spans="2:14" ht="24.95" customHeight="1" thickBot="1" x14ac:dyDescent="0.2">
      <c r="B2" s="12" t="s">
        <v>77</v>
      </c>
      <c r="C2" s="13"/>
      <c r="D2" s="13"/>
      <c r="M2" s="14"/>
      <c r="N2" s="14"/>
    </row>
    <row r="3" spans="2:14" ht="20.100000000000001" customHeight="1" x14ac:dyDescent="0.15">
      <c r="B3" s="525" t="s">
        <v>241</v>
      </c>
      <c r="C3" s="526"/>
      <c r="D3" s="526"/>
      <c r="E3" s="526"/>
      <c r="F3" s="15" t="s">
        <v>22</v>
      </c>
      <c r="G3" s="15" t="s">
        <v>372</v>
      </c>
      <c r="H3" s="556" t="s">
        <v>240</v>
      </c>
      <c r="I3" s="557"/>
      <c r="J3" s="557"/>
      <c r="K3" s="557"/>
      <c r="L3" s="557"/>
      <c r="M3" s="557"/>
      <c r="N3" s="558"/>
    </row>
    <row r="4" spans="2:14" ht="20.100000000000001" customHeight="1" thickBot="1" x14ac:dyDescent="0.2">
      <c r="B4" s="527"/>
      <c r="C4" s="528"/>
      <c r="D4" s="528"/>
      <c r="E4" s="528"/>
      <c r="F4" s="16"/>
      <c r="G4" s="297">
        <v>80</v>
      </c>
      <c r="H4" s="559"/>
      <c r="I4" s="560"/>
      <c r="J4" s="560"/>
      <c r="K4" s="560"/>
      <c r="L4" s="560"/>
      <c r="M4" s="560"/>
      <c r="N4" s="561"/>
    </row>
    <row r="5" spans="2:14" ht="20.100000000000001" customHeight="1" x14ac:dyDescent="0.15">
      <c r="B5" s="537" t="s">
        <v>43</v>
      </c>
      <c r="C5" s="538"/>
      <c r="D5" s="17" t="s">
        <v>156</v>
      </c>
      <c r="E5" s="18"/>
      <c r="F5" s="19">
        <f>SUM(G5:G5)</f>
        <v>51822912</v>
      </c>
      <c r="G5" s="244">
        <f>'７　葉ねぎ部門収支'!F4*G$4/10</f>
        <v>51822912</v>
      </c>
      <c r="H5" s="562"/>
      <c r="I5" s="563"/>
      <c r="J5" s="563"/>
      <c r="K5" s="563"/>
      <c r="L5" s="563"/>
      <c r="M5" s="563"/>
      <c r="N5" s="564"/>
    </row>
    <row r="6" spans="2:14" ht="20.100000000000001" customHeight="1" x14ac:dyDescent="0.15">
      <c r="B6" s="539"/>
      <c r="C6" s="540"/>
      <c r="D6" s="20" t="s">
        <v>70</v>
      </c>
      <c r="E6" s="21"/>
      <c r="F6" s="22">
        <f>SUM(G6:G6)</f>
        <v>0</v>
      </c>
      <c r="G6" s="25">
        <f>'７　葉ねぎ部門収支'!F5*G$4/10</f>
        <v>0</v>
      </c>
      <c r="H6" s="543"/>
      <c r="I6" s="544"/>
      <c r="J6" s="544"/>
      <c r="K6" s="544"/>
      <c r="L6" s="544"/>
      <c r="M6" s="544"/>
      <c r="N6" s="545"/>
    </row>
    <row r="7" spans="2:14" ht="20.100000000000001" customHeight="1" x14ac:dyDescent="0.15">
      <c r="B7" s="541"/>
      <c r="C7" s="542"/>
      <c r="D7" s="529" t="s">
        <v>152</v>
      </c>
      <c r="E7" s="530"/>
      <c r="F7" s="23">
        <f>SUM(G7,H7,M7)</f>
        <v>51822912</v>
      </c>
      <c r="G7" s="24">
        <f>G5+G6</f>
        <v>51822912</v>
      </c>
      <c r="H7" s="543"/>
      <c r="I7" s="544"/>
      <c r="J7" s="544"/>
      <c r="K7" s="544"/>
      <c r="L7" s="544"/>
      <c r="M7" s="544"/>
      <c r="N7" s="545"/>
    </row>
    <row r="8" spans="2:14" ht="20.100000000000001" customHeight="1" x14ac:dyDescent="0.15">
      <c r="B8" s="568" t="s">
        <v>227</v>
      </c>
      <c r="C8" s="574" t="s">
        <v>242</v>
      </c>
      <c r="D8" s="20" t="s">
        <v>44</v>
      </c>
      <c r="E8" s="21"/>
      <c r="F8" s="22">
        <f t="shared" ref="F8:F21" si="0">SUM(G8:G8)</f>
        <v>600000</v>
      </c>
      <c r="G8" s="25">
        <f>'７　葉ねぎ部門収支'!F6*G$4/10</f>
        <v>600000</v>
      </c>
      <c r="H8" s="543"/>
      <c r="I8" s="544"/>
      <c r="J8" s="544"/>
      <c r="K8" s="544"/>
      <c r="L8" s="544"/>
      <c r="M8" s="544"/>
      <c r="N8" s="545"/>
    </row>
    <row r="9" spans="2:14" ht="20.100000000000001" customHeight="1" x14ac:dyDescent="0.15">
      <c r="B9" s="569"/>
      <c r="C9" s="575"/>
      <c r="D9" s="20" t="s">
        <v>45</v>
      </c>
      <c r="E9" s="21"/>
      <c r="F9" s="22">
        <f t="shared" si="0"/>
        <v>2080923.0666666669</v>
      </c>
      <c r="G9" s="25">
        <f>'７　葉ねぎ部門収支'!F7*G$4/10</f>
        <v>2080923.0666666669</v>
      </c>
      <c r="H9" s="543"/>
      <c r="I9" s="544"/>
      <c r="J9" s="544"/>
      <c r="K9" s="544"/>
      <c r="L9" s="544"/>
      <c r="M9" s="544"/>
      <c r="N9" s="545"/>
    </row>
    <row r="10" spans="2:14" ht="20.100000000000001" customHeight="1" x14ac:dyDescent="0.15">
      <c r="B10" s="569"/>
      <c r="C10" s="575"/>
      <c r="D10" s="20" t="s">
        <v>46</v>
      </c>
      <c r="E10" s="21"/>
      <c r="F10" s="22">
        <f t="shared" si="0"/>
        <v>122880</v>
      </c>
      <c r="G10" s="25">
        <f>'７　葉ねぎ部門収支'!F8*G$4/10</f>
        <v>122880</v>
      </c>
      <c r="H10" s="543"/>
      <c r="I10" s="544"/>
      <c r="J10" s="544"/>
      <c r="K10" s="544"/>
      <c r="L10" s="544"/>
      <c r="M10" s="544"/>
      <c r="N10" s="545"/>
    </row>
    <row r="11" spans="2:14" ht="20.100000000000001" customHeight="1" x14ac:dyDescent="0.15">
      <c r="B11" s="569"/>
      <c r="C11" s="575"/>
      <c r="D11" s="20" t="s">
        <v>71</v>
      </c>
      <c r="E11" s="21"/>
      <c r="F11" s="22">
        <f t="shared" si="0"/>
        <v>4223546.5600000005</v>
      </c>
      <c r="G11" s="25">
        <f>'７　葉ねぎ部門収支'!F9*G$4/10</f>
        <v>4223546.5600000005</v>
      </c>
      <c r="H11" s="543"/>
      <c r="I11" s="544"/>
      <c r="J11" s="544"/>
      <c r="K11" s="544"/>
      <c r="L11" s="544"/>
      <c r="M11" s="544"/>
      <c r="N11" s="545"/>
    </row>
    <row r="12" spans="2:14" ht="20.100000000000001" customHeight="1" x14ac:dyDescent="0.15">
      <c r="B12" s="569"/>
      <c r="C12" s="575"/>
      <c r="D12" s="20" t="s">
        <v>47</v>
      </c>
      <c r="E12" s="21"/>
      <c r="F12" s="22">
        <f t="shared" si="0"/>
        <v>4347200</v>
      </c>
      <c r="G12" s="25">
        <f>'７　葉ねぎ部門収支'!F10*G$4/10</f>
        <v>4347200</v>
      </c>
      <c r="H12" s="543"/>
      <c r="I12" s="544"/>
      <c r="J12" s="544"/>
      <c r="K12" s="544"/>
      <c r="L12" s="544"/>
      <c r="M12" s="544"/>
      <c r="N12" s="545"/>
    </row>
    <row r="13" spans="2:14" ht="20.100000000000001" customHeight="1" x14ac:dyDescent="0.15">
      <c r="B13" s="569"/>
      <c r="C13" s="575"/>
      <c r="D13" s="20" t="s">
        <v>4</v>
      </c>
      <c r="E13" s="21"/>
      <c r="F13" s="22">
        <f t="shared" si="0"/>
        <v>149571.42857142858</v>
      </c>
      <c r="G13" s="25">
        <f>'７　葉ねぎ部門収支'!F11*G$4/10</f>
        <v>149571.42857142858</v>
      </c>
      <c r="H13" s="543"/>
      <c r="I13" s="544"/>
      <c r="J13" s="544"/>
      <c r="K13" s="544"/>
      <c r="L13" s="544"/>
      <c r="M13" s="544"/>
      <c r="N13" s="545"/>
    </row>
    <row r="14" spans="2:14" ht="20.100000000000001" customHeight="1" x14ac:dyDescent="0.15">
      <c r="B14" s="569"/>
      <c r="C14" s="575"/>
      <c r="D14" s="20" t="s">
        <v>5</v>
      </c>
      <c r="E14" s="21"/>
      <c r="F14" s="25">
        <f t="shared" si="0"/>
        <v>8448000</v>
      </c>
      <c r="G14" s="25">
        <f>'７　葉ねぎ部門収支'!F12*G$4/10</f>
        <v>8448000</v>
      </c>
      <c r="H14" s="543"/>
      <c r="I14" s="544"/>
      <c r="J14" s="544"/>
      <c r="K14" s="544"/>
      <c r="L14" s="544"/>
      <c r="M14" s="544"/>
      <c r="N14" s="545"/>
    </row>
    <row r="15" spans="2:14" ht="20.100000000000001" customHeight="1" x14ac:dyDescent="0.15">
      <c r="B15" s="569"/>
      <c r="C15" s="575"/>
      <c r="D15" s="531" t="s">
        <v>48</v>
      </c>
      <c r="E15" s="289" t="s">
        <v>146</v>
      </c>
      <c r="F15" s="25">
        <f t="shared" si="0"/>
        <v>272000</v>
      </c>
      <c r="G15" s="25">
        <f>'７　葉ねぎ部門収支'!F13*G$4/10</f>
        <v>272000</v>
      </c>
      <c r="H15" s="543"/>
      <c r="I15" s="544"/>
      <c r="J15" s="544"/>
      <c r="K15" s="544"/>
      <c r="L15" s="544"/>
      <c r="M15" s="544"/>
      <c r="N15" s="545"/>
    </row>
    <row r="16" spans="2:14" ht="20.100000000000001" customHeight="1" x14ac:dyDescent="0.15">
      <c r="B16" s="569"/>
      <c r="C16" s="575"/>
      <c r="D16" s="532"/>
      <c r="E16" s="289" t="s">
        <v>147</v>
      </c>
      <c r="F16" s="25">
        <f t="shared" si="0"/>
        <v>1308500</v>
      </c>
      <c r="G16" s="25">
        <f>'７　葉ねぎ部門収支'!F14*G$4/10</f>
        <v>1308500</v>
      </c>
      <c r="H16" s="543"/>
      <c r="I16" s="544"/>
      <c r="J16" s="544"/>
      <c r="K16" s="544"/>
      <c r="L16" s="544"/>
      <c r="M16" s="544"/>
      <c r="N16" s="545"/>
    </row>
    <row r="17" spans="2:14" ht="20.100000000000001" customHeight="1" x14ac:dyDescent="0.15">
      <c r="B17" s="569"/>
      <c r="C17" s="575"/>
      <c r="D17" s="533" t="s">
        <v>72</v>
      </c>
      <c r="E17" s="289" t="s">
        <v>146</v>
      </c>
      <c r="F17" s="25">
        <f t="shared" si="0"/>
        <v>1942857.142857143</v>
      </c>
      <c r="G17" s="25">
        <f>'７　葉ねぎ部門収支'!F15*G$4/10</f>
        <v>1942857.142857143</v>
      </c>
      <c r="H17" s="543"/>
      <c r="I17" s="544"/>
      <c r="J17" s="544"/>
      <c r="K17" s="544"/>
      <c r="L17" s="544"/>
      <c r="M17" s="544"/>
      <c r="N17" s="545"/>
    </row>
    <row r="18" spans="2:14" ht="20.100000000000001" customHeight="1" x14ac:dyDescent="0.15">
      <c r="B18" s="569"/>
      <c r="C18" s="575"/>
      <c r="D18" s="534"/>
      <c r="E18" s="289" t="s">
        <v>147</v>
      </c>
      <c r="F18" s="25">
        <f t="shared" si="0"/>
        <v>2560000.0000000005</v>
      </c>
      <c r="G18" s="25">
        <f>'７　葉ねぎ部門収支'!F16*G$4/10</f>
        <v>2560000.0000000005</v>
      </c>
      <c r="H18" s="543"/>
      <c r="I18" s="544"/>
      <c r="J18" s="544"/>
      <c r="K18" s="544"/>
      <c r="L18" s="544"/>
      <c r="M18" s="544"/>
      <c r="N18" s="545"/>
    </row>
    <row r="19" spans="2:14" ht="20.100000000000001" customHeight="1" x14ac:dyDescent="0.15">
      <c r="B19" s="569"/>
      <c r="C19" s="575"/>
      <c r="D19" s="532"/>
      <c r="E19" s="290" t="s">
        <v>49</v>
      </c>
      <c r="F19" s="25">
        <f t="shared" si="0"/>
        <v>0</v>
      </c>
      <c r="G19" s="25">
        <f>'７　葉ねぎ部門収支'!F17*G$4/10</f>
        <v>0</v>
      </c>
      <c r="H19" s="543"/>
      <c r="I19" s="544"/>
      <c r="J19" s="544"/>
      <c r="K19" s="544"/>
      <c r="L19" s="544"/>
      <c r="M19" s="544"/>
      <c r="N19" s="545"/>
    </row>
    <row r="20" spans="2:14" ht="20.100000000000001" customHeight="1" x14ac:dyDescent="0.15">
      <c r="B20" s="569"/>
      <c r="C20" s="575"/>
      <c r="D20" s="20" t="s">
        <v>50</v>
      </c>
      <c r="E20" s="21"/>
      <c r="F20" s="22">
        <f t="shared" si="0"/>
        <v>25500</v>
      </c>
      <c r="G20" s="25">
        <f>'７　葉ねぎ部門収支'!F18*G$4/10</f>
        <v>25500</v>
      </c>
      <c r="H20" s="543"/>
      <c r="I20" s="544"/>
      <c r="J20" s="544"/>
      <c r="K20" s="544"/>
      <c r="L20" s="544"/>
      <c r="M20" s="544"/>
      <c r="N20" s="545"/>
    </row>
    <row r="21" spans="2:14" ht="20.100000000000001" customHeight="1" x14ac:dyDescent="0.15">
      <c r="B21" s="569"/>
      <c r="C21" s="575"/>
      <c r="D21" s="20" t="s">
        <v>127</v>
      </c>
      <c r="E21" s="21"/>
      <c r="F21" s="22">
        <f t="shared" si="0"/>
        <v>263444.22422318422</v>
      </c>
      <c r="G21" s="25">
        <f>'７　葉ねぎ部門収支'!F19*G$4/10</f>
        <v>263444.22422318422</v>
      </c>
      <c r="H21" s="543"/>
      <c r="I21" s="544"/>
      <c r="J21" s="544"/>
      <c r="K21" s="544"/>
      <c r="L21" s="544"/>
      <c r="M21" s="544"/>
      <c r="N21" s="545"/>
    </row>
    <row r="22" spans="2:14" ht="20.100000000000001" customHeight="1" x14ac:dyDescent="0.15">
      <c r="B22" s="569"/>
      <c r="C22" s="576"/>
      <c r="D22" s="535" t="s">
        <v>153</v>
      </c>
      <c r="E22" s="536"/>
      <c r="F22" s="300">
        <f>SUM(F8:F21)</f>
        <v>26344422.422318425</v>
      </c>
      <c r="G22" s="300">
        <f>SUM(G8:G21)</f>
        <v>26344422.422318425</v>
      </c>
      <c r="H22" s="543"/>
      <c r="I22" s="544"/>
      <c r="J22" s="544"/>
      <c r="K22" s="544"/>
      <c r="L22" s="544"/>
      <c r="M22" s="544"/>
      <c r="N22" s="545"/>
    </row>
    <row r="23" spans="2:14" ht="20.100000000000001" customHeight="1" x14ac:dyDescent="0.15">
      <c r="B23" s="569"/>
      <c r="C23" s="577" t="s">
        <v>150</v>
      </c>
      <c r="D23" s="548" t="s">
        <v>51</v>
      </c>
      <c r="E23" s="28" t="s">
        <v>1</v>
      </c>
      <c r="F23" s="25">
        <f t="shared" ref="F23:F31" si="1">SUM(G23:G23)</f>
        <v>5913600</v>
      </c>
      <c r="G23" s="25">
        <f>'７　葉ねぎ部門収支'!F21*G$4/10</f>
        <v>5913600</v>
      </c>
      <c r="H23" s="543"/>
      <c r="I23" s="544"/>
      <c r="J23" s="544"/>
      <c r="K23" s="544"/>
      <c r="L23" s="544"/>
      <c r="M23" s="544"/>
      <c r="N23" s="545"/>
    </row>
    <row r="24" spans="2:14" ht="20.100000000000001" customHeight="1" x14ac:dyDescent="0.15">
      <c r="B24" s="569"/>
      <c r="C24" s="578"/>
      <c r="D24" s="549"/>
      <c r="E24" s="28" t="s">
        <v>2</v>
      </c>
      <c r="F24" s="25">
        <f t="shared" si="1"/>
        <v>3717120.0000000009</v>
      </c>
      <c r="G24" s="25">
        <f>'７　葉ねぎ部門収支'!F22*G$4/10</f>
        <v>3717120.0000000009</v>
      </c>
      <c r="H24" s="543"/>
      <c r="I24" s="544"/>
      <c r="J24" s="544"/>
      <c r="K24" s="544"/>
      <c r="L24" s="544"/>
      <c r="M24" s="544"/>
      <c r="N24" s="545"/>
    </row>
    <row r="25" spans="2:14" ht="20.100000000000001" customHeight="1" x14ac:dyDescent="0.15">
      <c r="B25" s="569"/>
      <c r="C25" s="578"/>
      <c r="D25" s="550"/>
      <c r="E25" s="28" t="s">
        <v>6</v>
      </c>
      <c r="F25" s="25">
        <f t="shared" si="1"/>
        <v>5959634.8799999999</v>
      </c>
      <c r="G25" s="25">
        <f>'７　葉ねぎ部門収支'!F23*G$4/10</f>
        <v>5959634.8799999999</v>
      </c>
      <c r="H25" s="543"/>
      <c r="I25" s="544"/>
      <c r="J25" s="544"/>
      <c r="K25" s="544"/>
      <c r="L25" s="544"/>
      <c r="M25" s="544"/>
      <c r="N25" s="545"/>
    </row>
    <row r="26" spans="2:14" ht="20.100000000000001" customHeight="1" x14ac:dyDescent="0.15">
      <c r="B26" s="569"/>
      <c r="C26" s="578"/>
      <c r="D26" s="28" t="s">
        <v>225</v>
      </c>
      <c r="E26" s="29"/>
      <c r="F26" s="25">
        <f t="shared" si="1"/>
        <v>0</v>
      </c>
      <c r="G26" s="25">
        <f>'７　葉ねぎ部門収支'!F24*G$4/10</f>
        <v>0</v>
      </c>
      <c r="H26" s="543"/>
      <c r="I26" s="544"/>
      <c r="J26" s="544"/>
      <c r="K26" s="544"/>
      <c r="L26" s="544"/>
      <c r="M26" s="544"/>
      <c r="N26" s="545"/>
    </row>
    <row r="27" spans="2:14" ht="20.100000000000001" customHeight="1" x14ac:dyDescent="0.15">
      <c r="B27" s="569"/>
      <c r="C27" s="578"/>
      <c r="D27" s="28" t="s">
        <v>73</v>
      </c>
      <c r="E27" s="29"/>
      <c r="F27" s="25">
        <f t="shared" si="1"/>
        <v>0</v>
      </c>
      <c r="G27" s="25">
        <f>'７　葉ねぎ部門収支'!F25*G$4/10</f>
        <v>0</v>
      </c>
      <c r="H27" s="543"/>
      <c r="I27" s="544"/>
      <c r="J27" s="544"/>
      <c r="K27" s="544"/>
      <c r="L27" s="544"/>
      <c r="M27" s="544"/>
      <c r="N27" s="545"/>
    </row>
    <row r="28" spans="2:14" ht="20.100000000000001" customHeight="1" x14ac:dyDescent="0.15">
      <c r="B28" s="569"/>
      <c r="C28" s="578"/>
      <c r="D28" s="28" t="s">
        <v>94</v>
      </c>
      <c r="E28" s="29"/>
      <c r="F28" s="25">
        <f t="shared" si="1"/>
        <v>337270</v>
      </c>
      <c r="G28" s="25">
        <f>'７　葉ねぎ部門収支'!F26*G$4/10</f>
        <v>337270</v>
      </c>
      <c r="H28" s="543"/>
      <c r="I28" s="544"/>
      <c r="J28" s="544"/>
      <c r="K28" s="544"/>
      <c r="L28" s="544"/>
      <c r="M28" s="544"/>
      <c r="N28" s="545"/>
    </row>
    <row r="29" spans="2:14" ht="20.100000000000001" customHeight="1" x14ac:dyDescent="0.15">
      <c r="B29" s="569"/>
      <c r="C29" s="578"/>
      <c r="D29" s="28" t="s">
        <v>321</v>
      </c>
      <c r="E29" s="29"/>
      <c r="F29" s="25">
        <f t="shared" si="1"/>
        <v>0</v>
      </c>
      <c r="G29" s="25">
        <f>'７　葉ねぎ部門収支'!F27*G$4/10</f>
        <v>0</v>
      </c>
      <c r="H29" s="543"/>
      <c r="I29" s="544"/>
      <c r="J29" s="544"/>
      <c r="K29" s="544"/>
      <c r="L29" s="544"/>
      <c r="M29" s="544"/>
      <c r="N29" s="545"/>
    </row>
    <row r="30" spans="2:14" ht="20.100000000000001" customHeight="1" x14ac:dyDescent="0.15">
      <c r="B30" s="569"/>
      <c r="C30" s="578"/>
      <c r="D30" s="28" t="s">
        <v>52</v>
      </c>
      <c r="E30" s="29"/>
      <c r="F30" s="25">
        <f t="shared" si="1"/>
        <v>256380</v>
      </c>
      <c r="G30" s="25">
        <f>'７　葉ねぎ部門収支'!F28*G$4/10</f>
        <v>256380</v>
      </c>
      <c r="H30" s="543"/>
      <c r="I30" s="544"/>
      <c r="J30" s="544"/>
      <c r="K30" s="544"/>
      <c r="L30" s="544"/>
      <c r="M30" s="544"/>
      <c r="N30" s="545"/>
    </row>
    <row r="31" spans="2:14" ht="20.100000000000001" customHeight="1" x14ac:dyDescent="0.15">
      <c r="B31" s="569"/>
      <c r="C31" s="578"/>
      <c r="D31" s="28" t="s">
        <v>226</v>
      </c>
      <c r="E31" s="29"/>
      <c r="F31" s="25">
        <f t="shared" si="1"/>
        <v>163474.79676767674</v>
      </c>
      <c r="G31" s="25">
        <f>'７　葉ねぎ部門収支'!F29*G$4/10</f>
        <v>163474.79676767674</v>
      </c>
      <c r="H31" s="543"/>
      <c r="I31" s="544"/>
      <c r="J31" s="544"/>
      <c r="K31" s="544"/>
      <c r="L31" s="544"/>
      <c r="M31" s="544"/>
      <c r="N31" s="545"/>
    </row>
    <row r="32" spans="2:14" ht="20.100000000000001" customHeight="1" x14ac:dyDescent="0.15">
      <c r="B32" s="569"/>
      <c r="C32" s="578"/>
      <c r="D32" s="551" t="s">
        <v>228</v>
      </c>
      <c r="E32" s="552"/>
      <c r="F32" s="298">
        <f>SUM(F23:F31)</f>
        <v>16347479.676767675</v>
      </c>
      <c r="G32" s="298">
        <f>SUM(G23:G31)</f>
        <v>16347479.676767675</v>
      </c>
      <c r="H32" s="543"/>
      <c r="I32" s="544"/>
      <c r="J32" s="544"/>
      <c r="K32" s="544"/>
      <c r="L32" s="544"/>
      <c r="M32" s="544"/>
      <c r="N32" s="545"/>
    </row>
    <row r="33" spans="2:14" ht="20.100000000000001" customHeight="1" x14ac:dyDescent="0.15">
      <c r="B33" s="569"/>
      <c r="C33" s="553" t="s">
        <v>229</v>
      </c>
      <c r="D33" s="554"/>
      <c r="E33" s="555"/>
      <c r="F33" s="25">
        <f>SUM(G33:G33)</f>
        <v>3333600</v>
      </c>
      <c r="G33" s="299">
        <f>'５　葉ねぎ作業時間'!AN51*'４　経営収支'!I33</f>
        <v>3333600</v>
      </c>
      <c r="H33" s="26" t="s">
        <v>231</v>
      </c>
      <c r="I33" s="304">
        <v>900</v>
      </c>
      <c r="J33" s="302" t="s">
        <v>232</v>
      </c>
      <c r="K33" s="302"/>
      <c r="L33" s="302"/>
      <c r="M33" s="302"/>
      <c r="N33" s="303"/>
    </row>
    <row r="34" spans="2:14" ht="20.100000000000001" customHeight="1" x14ac:dyDescent="0.15">
      <c r="B34" s="546" t="s">
        <v>230</v>
      </c>
      <c r="C34" s="547"/>
      <c r="D34" s="547"/>
      <c r="E34" s="547"/>
      <c r="F34" s="301">
        <f>F22+F32+F33</f>
        <v>46025502.099086098</v>
      </c>
      <c r="G34" s="301">
        <f>G22+G32+G33</f>
        <v>46025502.099086098</v>
      </c>
      <c r="H34" s="543"/>
      <c r="I34" s="544"/>
      <c r="J34" s="544"/>
      <c r="K34" s="544"/>
      <c r="L34" s="544"/>
      <c r="M34" s="544"/>
      <c r="N34" s="545"/>
    </row>
    <row r="35" spans="2:14" ht="20.100000000000001" customHeight="1" x14ac:dyDescent="0.15">
      <c r="B35" s="572" t="s">
        <v>233</v>
      </c>
      <c r="C35" s="573"/>
      <c r="D35" s="573"/>
      <c r="E35" s="573"/>
      <c r="F35" s="305">
        <f>F7-F34</f>
        <v>5797409.9009139016</v>
      </c>
      <c r="G35" s="305">
        <f>G7-G34</f>
        <v>5797409.9009139016</v>
      </c>
      <c r="H35" s="543"/>
      <c r="I35" s="544"/>
      <c r="J35" s="544"/>
      <c r="K35" s="544"/>
      <c r="L35" s="544"/>
      <c r="M35" s="544"/>
      <c r="N35" s="545"/>
    </row>
    <row r="36" spans="2:14" ht="20.100000000000001" customHeight="1" x14ac:dyDescent="0.15">
      <c r="B36" s="572" t="s">
        <v>234</v>
      </c>
      <c r="C36" s="573"/>
      <c r="D36" s="573"/>
      <c r="E36" s="573"/>
      <c r="F36" s="307">
        <f>F35/F7</f>
        <v>0.11186962826237749</v>
      </c>
      <c r="G36" s="307">
        <f>G35/G7</f>
        <v>0.11186962826237749</v>
      </c>
      <c r="H36" s="543"/>
      <c r="I36" s="544"/>
      <c r="J36" s="544"/>
      <c r="K36" s="544"/>
      <c r="L36" s="544"/>
      <c r="M36" s="544"/>
      <c r="N36" s="545"/>
    </row>
    <row r="37" spans="2:14" ht="20.100000000000001" customHeight="1" x14ac:dyDescent="0.15">
      <c r="B37" s="572" t="s">
        <v>238</v>
      </c>
      <c r="C37" s="573"/>
      <c r="D37" s="573"/>
      <c r="E37" s="573"/>
      <c r="F37" s="305">
        <f>SUM(G37:G37)</f>
        <v>8704</v>
      </c>
      <c r="G37" s="305">
        <f>I37+L37</f>
        <v>8704</v>
      </c>
      <c r="H37" s="26" t="s">
        <v>235</v>
      </c>
      <c r="I37" s="304">
        <f>'５　葉ねぎ作業時間'!AN49</f>
        <v>5000</v>
      </c>
      <c r="J37" s="302" t="s">
        <v>236</v>
      </c>
      <c r="K37" s="306" t="s">
        <v>237</v>
      </c>
      <c r="L37" s="304">
        <f>'５　葉ねぎ作業時間'!AN51</f>
        <v>3704</v>
      </c>
      <c r="M37" s="302" t="s">
        <v>236</v>
      </c>
      <c r="N37" s="303"/>
    </row>
    <row r="38" spans="2:14" ht="20.100000000000001" customHeight="1" thickBot="1" x14ac:dyDescent="0.2">
      <c r="B38" s="570" t="s">
        <v>239</v>
      </c>
      <c r="C38" s="571"/>
      <c r="D38" s="571"/>
      <c r="E38" s="571"/>
      <c r="F38" s="308">
        <f>F35/I37</f>
        <v>1159.4819801827803</v>
      </c>
      <c r="G38" s="308">
        <f>G35/I37</f>
        <v>1159.4819801827803</v>
      </c>
      <c r="H38" s="565"/>
      <c r="I38" s="566"/>
      <c r="J38" s="566"/>
      <c r="K38" s="566"/>
      <c r="L38" s="566"/>
      <c r="M38" s="566"/>
      <c r="N38" s="567"/>
    </row>
    <row r="43" spans="2:14" x14ac:dyDescent="0.15">
      <c r="G43" s="366"/>
      <c r="L43" s="367"/>
      <c r="M43" s="366"/>
    </row>
    <row r="44" spans="2:14" x14ac:dyDescent="0.15">
      <c r="G44" s="366"/>
    </row>
    <row r="45" spans="2:14" x14ac:dyDescent="0.15">
      <c r="G45" s="366"/>
    </row>
    <row r="46" spans="2:14" x14ac:dyDescent="0.15">
      <c r="G46" s="366"/>
    </row>
    <row r="47" spans="2:14" x14ac:dyDescent="0.15">
      <c r="G47" s="366"/>
    </row>
    <row r="48" spans="2:14" x14ac:dyDescent="0.15">
      <c r="G48" s="366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100" workbookViewId="0">
      <selection activeCell="AU22" sqref="AU22"/>
    </sheetView>
  </sheetViews>
  <sheetFormatPr defaultRowHeight="13.5" x14ac:dyDescent="0.15"/>
  <cols>
    <col min="1" max="1" width="1.625" style="31" customWidth="1"/>
    <col min="2" max="3" width="11.625" style="31" customWidth="1"/>
    <col min="4" max="39" width="6.125" style="31" customWidth="1"/>
    <col min="40" max="40" width="8.5" style="31" bestFit="1" customWidth="1"/>
    <col min="41" max="41" width="1.5" style="31" customWidth="1"/>
    <col min="42" max="16384" width="9" style="31"/>
  </cols>
  <sheetData>
    <row r="1" spans="2:63" ht="9.9499999999999993" customHeight="1" x14ac:dyDescent="0.15"/>
    <row r="2" spans="2:63" ht="24.95" customHeight="1" x14ac:dyDescent="0.15">
      <c r="B2" s="2" t="s">
        <v>373</v>
      </c>
      <c r="C2" s="2"/>
      <c r="D2" s="5"/>
      <c r="E2" s="5"/>
      <c r="F2" s="5"/>
      <c r="G2" s="5"/>
      <c r="H2" s="5"/>
      <c r="I2" s="5"/>
      <c r="J2" s="5"/>
      <c r="K2" s="5"/>
      <c r="L2" s="266" t="s">
        <v>192</v>
      </c>
      <c r="M2" s="245" t="s">
        <v>371</v>
      </c>
      <c r="N2" s="71"/>
      <c r="O2" s="266" t="s">
        <v>193</v>
      </c>
      <c r="P2" s="245" t="s">
        <v>297</v>
      </c>
      <c r="Q2" s="5"/>
      <c r="R2" s="5"/>
      <c r="S2" s="5"/>
      <c r="T2" s="5"/>
      <c r="U2" s="5"/>
      <c r="V2" s="5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196</v>
      </c>
      <c r="C3" s="2"/>
      <c r="D3" s="5"/>
      <c r="E3" s="5"/>
      <c r="F3" s="5"/>
      <c r="G3" s="5"/>
      <c r="H3" s="5"/>
      <c r="I3" s="5"/>
      <c r="J3" s="5"/>
      <c r="K3" s="5"/>
      <c r="L3" s="5"/>
      <c r="M3" s="33"/>
      <c r="N3" s="5"/>
      <c r="O3" s="5"/>
      <c r="P3" s="33"/>
      <c r="Q3" s="5"/>
      <c r="R3" s="5"/>
      <c r="S3" s="5"/>
      <c r="T3" s="5"/>
      <c r="U3" s="5"/>
      <c r="V3" s="5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595" t="s">
        <v>95</v>
      </c>
      <c r="C4" s="596"/>
      <c r="D4" s="583">
        <v>1</v>
      </c>
      <c r="E4" s="584"/>
      <c r="F4" s="585"/>
      <c r="G4" s="583">
        <v>2</v>
      </c>
      <c r="H4" s="584"/>
      <c r="I4" s="585"/>
      <c r="J4" s="583">
        <v>3</v>
      </c>
      <c r="K4" s="584"/>
      <c r="L4" s="585"/>
      <c r="M4" s="583">
        <v>4</v>
      </c>
      <c r="N4" s="584"/>
      <c r="O4" s="585"/>
      <c r="P4" s="583">
        <v>5</v>
      </c>
      <c r="Q4" s="584"/>
      <c r="R4" s="585"/>
      <c r="S4" s="583">
        <v>6</v>
      </c>
      <c r="T4" s="584"/>
      <c r="U4" s="585"/>
      <c r="V4" s="583">
        <v>7</v>
      </c>
      <c r="W4" s="584"/>
      <c r="X4" s="585"/>
      <c r="Y4" s="583">
        <v>8</v>
      </c>
      <c r="Z4" s="584"/>
      <c r="AA4" s="585"/>
      <c r="AB4" s="583">
        <v>9</v>
      </c>
      <c r="AC4" s="584"/>
      <c r="AD4" s="585"/>
      <c r="AE4" s="583">
        <v>10</v>
      </c>
      <c r="AF4" s="584"/>
      <c r="AG4" s="585"/>
      <c r="AH4" s="583">
        <v>11</v>
      </c>
      <c r="AI4" s="584"/>
      <c r="AJ4" s="585"/>
      <c r="AK4" s="583">
        <v>12</v>
      </c>
      <c r="AL4" s="584"/>
      <c r="AM4" s="585"/>
      <c r="AN4" s="586" t="s">
        <v>29</v>
      </c>
    </row>
    <row r="5" spans="2:63" ht="20.100000000000001" customHeight="1" x14ac:dyDescent="0.15">
      <c r="B5" s="597"/>
      <c r="C5" s="589"/>
      <c r="D5" s="53" t="s">
        <v>30</v>
      </c>
      <c r="E5" s="54" t="s">
        <v>31</v>
      </c>
      <c r="F5" s="55" t="s">
        <v>32</v>
      </c>
      <c r="G5" s="53" t="s">
        <v>30</v>
      </c>
      <c r="H5" s="55" t="s">
        <v>31</v>
      </c>
      <c r="I5" s="55" t="s">
        <v>32</v>
      </c>
      <c r="J5" s="53" t="s">
        <v>30</v>
      </c>
      <c r="K5" s="55" t="s">
        <v>31</v>
      </c>
      <c r="L5" s="55" t="s">
        <v>32</v>
      </c>
      <c r="M5" s="53" t="s">
        <v>30</v>
      </c>
      <c r="N5" s="55" t="s">
        <v>31</v>
      </c>
      <c r="O5" s="55" t="s">
        <v>32</v>
      </c>
      <c r="P5" s="53" t="s">
        <v>30</v>
      </c>
      <c r="Q5" s="55" t="s">
        <v>31</v>
      </c>
      <c r="R5" s="55" t="s">
        <v>32</v>
      </c>
      <c r="S5" s="53" t="s">
        <v>30</v>
      </c>
      <c r="T5" s="56" t="s">
        <v>31</v>
      </c>
      <c r="U5" s="56" t="s">
        <v>32</v>
      </c>
      <c r="V5" s="53" t="s">
        <v>30</v>
      </c>
      <c r="W5" s="55" t="s">
        <v>31</v>
      </c>
      <c r="X5" s="55" t="s">
        <v>32</v>
      </c>
      <c r="Y5" s="53" t="s">
        <v>30</v>
      </c>
      <c r="Z5" s="55" t="s">
        <v>31</v>
      </c>
      <c r="AA5" s="55" t="s">
        <v>32</v>
      </c>
      <c r="AB5" s="53" t="s">
        <v>30</v>
      </c>
      <c r="AC5" s="55" t="s">
        <v>31</v>
      </c>
      <c r="AD5" s="55" t="s">
        <v>32</v>
      </c>
      <c r="AE5" s="53" t="s">
        <v>30</v>
      </c>
      <c r="AF5" s="55" t="s">
        <v>31</v>
      </c>
      <c r="AG5" s="55" t="s">
        <v>32</v>
      </c>
      <c r="AH5" s="53" t="s">
        <v>30</v>
      </c>
      <c r="AI5" s="55" t="s">
        <v>31</v>
      </c>
      <c r="AJ5" s="55" t="s">
        <v>32</v>
      </c>
      <c r="AK5" s="53" t="s">
        <v>30</v>
      </c>
      <c r="AL5" s="55" t="s">
        <v>31</v>
      </c>
      <c r="AM5" s="55" t="s">
        <v>32</v>
      </c>
      <c r="AN5" s="587"/>
    </row>
    <row r="6" spans="2:63" ht="20.100000000000001" customHeight="1" x14ac:dyDescent="0.15">
      <c r="B6" s="590" t="s">
        <v>96</v>
      </c>
      <c r="C6" s="591"/>
      <c r="D6" s="57"/>
      <c r="E6" s="5"/>
      <c r="F6" s="5"/>
      <c r="G6" s="5"/>
      <c r="H6" s="5"/>
      <c r="I6" s="5"/>
      <c r="J6" s="5"/>
      <c r="K6" s="5"/>
      <c r="L6" s="5"/>
      <c r="M6" s="5"/>
      <c r="N6" s="5"/>
      <c r="O6" s="33"/>
      <c r="P6" s="33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8"/>
    </row>
    <row r="7" spans="2:63" ht="20.100000000000001" customHeight="1" x14ac:dyDescent="0.2">
      <c r="B7" s="602"/>
      <c r="C7" s="603"/>
      <c r="D7" s="360"/>
      <c r="E7" s="361"/>
      <c r="F7" s="361"/>
      <c r="G7" s="361"/>
      <c r="H7" s="361"/>
      <c r="I7" s="361"/>
      <c r="J7" s="361"/>
      <c r="K7" s="361" t="s">
        <v>295</v>
      </c>
      <c r="L7" s="361"/>
      <c r="M7" s="362"/>
      <c r="N7" s="362"/>
      <c r="O7" s="361"/>
      <c r="P7" s="361"/>
      <c r="Q7" s="362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 t="s">
        <v>296</v>
      </c>
      <c r="AG7" s="361"/>
      <c r="AH7" s="361"/>
      <c r="AI7" s="361"/>
      <c r="AJ7" s="361"/>
      <c r="AK7" s="361"/>
      <c r="AL7" s="361"/>
      <c r="AM7" s="363"/>
      <c r="AN7" s="58"/>
    </row>
    <row r="8" spans="2:63" ht="20.100000000000001" customHeight="1" x14ac:dyDescent="0.15">
      <c r="B8" s="597"/>
      <c r="C8" s="589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1"/>
    </row>
    <row r="9" spans="2:63" ht="20.100000000000001" customHeight="1" x14ac:dyDescent="0.15">
      <c r="B9" s="604" t="s">
        <v>291</v>
      </c>
      <c r="C9" s="605"/>
      <c r="D9" s="357">
        <v>1</v>
      </c>
      <c r="E9" s="358">
        <v>2</v>
      </c>
      <c r="F9" s="358">
        <v>3</v>
      </c>
      <c r="G9" s="357">
        <v>2</v>
      </c>
      <c r="H9" s="358">
        <v>2</v>
      </c>
      <c r="I9" s="358">
        <v>2</v>
      </c>
      <c r="J9" s="357">
        <v>2</v>
      </c>
      <c r="K9" s="358">
        <v>2</v>
      </c>
      <c r="L9" s="358">
        <v>3</v>
      </c>
      <c r="M9" s="357">
        <v>2</v>
      </c>
      <c r="N9" s="358">
        <v>2</v>
      </c>
      <c r="O9" s="358">
        <v>2</v>
      </c>
      <c r="P9" s="357">
        <v>2</v>
      </c>
      <c r="Q9" s="358">
        <v>2</v>
      </c>
      <c r="R9" s="358">
        <v>3</v>
      </c>
      <c r="S9" s="357">
        <v>2</v>
      </c>
      <c r="T9" s="358">
        <v>2</v>
      </c>
      <c r="U9" s="358">
        <v>2</v>
      </c>
      <c r="V9" s="357">
        <v>2</v>
      </c>
      <c r="W9" s="358">
        <v>2</v>
      </c>
      <c r="X9" s="358">
        <v>3</v>
      </c>
      <c r="Y9" s="357">
        <v>2</v>
      </c>
      <c r="Z9" s="358">
        <v>2</v>
      </c>
      <c r="AA9" s="358">
        <v>3</v>
      </c>
      <c r="AB9" s="357">
        <v>2</v>
      </c>
      <c r="AC9" s="358">
        <v>2</v>
      </c>
      <c r="AD9" s="358">
        <v>2</v>
      </c>
      <c r="AE9" s="357">
        <v>2</v>
      </c>
      <c r="AF9" s="358">
        <v>2</v>
      </c>
      <c r="AG9" s="358">
        <v>3</v>
      </c>
      <c r="AH9" s="357">
        <v>2</v>
      </c>
      <c r="AI9" s="358">
        <v>2</v>
      </c>
      <c r="AJ9" s="358">
        <v>2</v>
      </c>
      <c r="AK9" s="357">
        <v>2</v>
      </c>
      <c r="AL9" s="358">
        <v>2</v>
      </c>
      <c r="AM9" s="358">
        <v>2</v>
      </c>
      <c r="AN9" s="359">
        <f>SUM(D9:AM9)</f>
        <v>77</v>
      </c>
    </row>
    <row r="10" spans="2:63" ht="20.100000000000001" customHeight="1" x14ac:dyDescent="0.15">
      <c r="B10" s="604" t="s">
        <v>292</v>
      </c>
      <c r="C10" s="605"/>
      <c r="D10" s="357">
        <v>12</v>
      </c>
      <c r="E10" s="358">
        <v>14</v>
      </c>
      <c r="F10" s="358">
        <v>21</v>
      </c>
      <c r="G10" s="357">
        <v>16</v>
      </c>
      <c r="H10" s="358">
        <v>19</v>
      </c>
      <c r="I10" s="358">
        <v>14</v>
      </c>
      <c r="J10" s="357">
        <v>16</v>
      </c>
      <c r="K10" s="358">
        <v>16</v>
      </c>
      <c r="L10" s="358">
        <v>21</v>
      </c>
      <c r="M10" s="357">
        <v>19</v>
      </c>
      <c r="N10" s="358">
        <v>16</v>
      </c>
      <c r="O10" s="358">
        <v>19</v>
      </c>
      <c r="P10" s="357">
        <v>14</v>
      </c>
      <c r="Q10" s="358">
        <v>16</v>
      </c>
      <c r="R10" s="358">
        <v>21</v>
      </c>
      <c r="S10" s="357">
        <v>19</v>
      </c>
      <c r="T10" s="358">
        <v>19</v>
      </c>
      <c r="U10" s="358">
        <v>19</v>
      </c>
      <c r="V10" s="357">
        <v>16</v>
      </c>
      <c r="W10" s="358">
        <v>19</v>
      </c>
      <c r="X10" s="358">
        <v>21</v>
      </c>
      <c r="Y10" s="357">
        <v>16</v>
      </c>
      <c r="Z10" s="358">
        <v>16</v>
      </c>
      <c r="AA10" s="358">
        <v>21</v>
      </c>
      <c r="AB10" s="357">
        <v>19</v>
      </c>
      <c r="AC10" s="358">
        <v>16</v>
      </c>
      <c r="AD10" s="358">
        <v>19</v>
      </c>
      <c r="AE10" s="357">
        <v>16</v>
      </c>
      <c r="AF10" s="358">
        <v>19</v>
      </c>
      <c r="AG10" s="358">
        <v>21</v>
      </c>
      <c r="AH10" s="357">
        <v>19</v>
      </c>
      <c r="AI10" s="358">
        <v>16</v>
      </c>
      <c r="AJ10" s="358">
        <v>16</v>
      </c>
      <c r="AK10" s="357">
        <v>19</v>
      </c>
      <c r="AL10" s="358">
        <v>16</v>
      </c>
      <c r="AM10" s="358">
        <v>19</v>
      </c>
      <c r="AN10" s="359">
        <f t="shared" ref="AN10:AN12" si="0">SUM(D10:AM10)</f>
        <v>635</v>
      </c>
    </row>
    <row r="11" spans="2:63" ht="20.100000000000001" customHeight="1" x14ac:dyDescent="0.15">
      <c r="B11" s="604" t="s">
        <v>293</v>
      </c>
      <c r="C11" s="605"/>
      <c r="D11" s="357">
        <v>2</v>
      </c>
      <c r="E11" s="358">
        <v>2</v>
      </c>
      <c r="F11" s="358">
        <v>3</v>
      </c>
      <c r="G11" s="357">
        <v>3</v>
      </c>
      <c r="H11" s="358">
        <v>3</v>
      </c>
      <c r="I11" s="358">
        <v>2</v>
      </c>
      <c r="J11" s="357">
        <v>3</v>
      </c>
      <c r="K11" s="358">
        <v>3</v>
      </c>
      <c r="L11" s="358">
        <v>3</v>
      </c>
      <c r="M11" s="357">
        <v>3</v>
      </c>
      <c r="N11" s="358">
        <v>3</v>
      </c>
      <c r="O11" s="358">
        <v>3</v>
      </c>
      <c r="P11" s="357">
        <v>2</v>
      </c>
      <c r="Q11" s="358">
        <v>3</v>
      </c>
      <c r="R11" s="358">
        <v>3</v>
      </c>
      <c r="S11" s="357">
        <v>3</v>
      </c>
      <c r="T11" s="358">
        <v>3</v>
      </c>
      <c r="U11" s="358">
        <v>3</v>
      </c>
      <c r="V11" s="357">
        <v>3</v>
      </c>
      <c r="W11" s="358">
        <v>3</v>
      </c>
      <c r="X11" s="358">
        <v>3</v>
      </c>
      <c r="Y11" s="357">
        <v>3</v>
      </c>
      <c r="Z11" s="358">
        <v>3</v>
      </c>
      <c r="AA11" s="358">
        <v>3</v>
      </c>
      <c r="AB11" s="357">
        <v>3</v>
      </c>
      <c r="AC11" s="358">
        <v>3</v>
      </c>
      <c r="AD11" s="358">
        <v>3</v>
      </c>
      <c r="AE11" s="357">
        <v>3</v>
      </c>
      <c r="AF11" s="358">
        <v>3</v>
      </c>
      <c r="AG11" s="358">
        <v>3</v>
      </c>
      <c r="AH11" s="357">
        <v>3</v>
      </c>
      <c r="AI11" s="358">
        <v>3</v>
      </c>
      <c r="AJ11" s="358">
        <v>3</v>
      </c>
      <c r="AK11" s="357">
        <v>3</v>
      </c>
      <c r="AL11" s="358">
        <v>3</v>
      </c>
      <c r="AM11" s="358">
        <v>3</v>
      </c>
      <c r="AN11" s="359">
        <f t="shared" si="0"/>
        <v>104</v>
      </c>
    </row>
    <row r="12" spans="2:63" ht="20.100000000000001" customHeight="1" x14ac:dyDescent="0.15">
      <c r="B12" s="604" t="s">
        <v>294</v>
      </c>
      <c r="C12" s="605"/>
      <c r="D12" s="357">
        <v>6</v>
      </c>
      <c r="E12" s="358">
        <v>7</v>
      </c>
      <c r="F12" s="358">
        <v>8</v>
      </c>
      <c r="G12" s="357">
        <v>8</v>
      </c>
      <c r="H12" s="358">
        <v>8</v>
      </c>
      <c r="I12" s="358">
        <v>7</v>
      </c>
      <c r="J12" s="357">
        <v>8</v>
      </c>
      <c r="K12" s="358">
        <v>7</v>
      </c>
      <c r="L12" s="358">
        <v>8</v>
      </c>
      <c r="M12" s="357">
        <v>8</v>
      </c>
      <c r="N12" s="358">
        <v>7</v>
      </c>
      <c r="O12" s="358">
        <v>8</v>
      </c>
      <c r="P12" s="357">
        <v>7</v>
      </c>
      <c r="Q12" s="358">
        <v>7</v>
      </c>
      <c r="R12" s="358">
        <v>8</v>
      </c>
      <c r="S12" s="357">
        <v>8</v>
      </c>
      <c r="T12" s="358">
        <v>8</v>
      </c>
      <c r="U12" s="358">
        <v>8</v>
      </c>
      <c r="V12" s="357">
        <v>7</v>
      </c>
      <c r="W12" s="358">
        <v>8</v>
      </c>
      <c r="X12" s="358">
        <v>8</v>
      </c>
      <c r="Y12" s="357">
        <v>7</v>
      </c>
      <c r="Z12" s="358">
        <v>7</v>
      </c>
      <c r="AA12" s="358">
        <v>8</v>
      </c>
      <c r="AB12" s="357">
        <v>8</v>
      </c>
      <c r="AC12" s="358">
        <v>7</v>
      </c>
      <c r="AD12" s="358">
        <v>8</v>
      </c>
      <c r="AE12" s="357">
        <v>7</v>
      </c>
      <c r="AF12" s="358">
        <v>8</v>
      </c>
      <c r="AG12" s="358">
        <v>8</v>
      </c>
      <c r="AH12" s="357">
        <v>8</v>
      </c>
      <c r="AI12" s="358">
        <v>7</v>
      </c>
      <c r="AJ12" s="358">
        <v>7</v>
      </c>
      <c r="AK12" s="357">
        <v>8</v>
      </c>
      <c r="AL12" s="358">
        <v>7</v>
      </c>
      <c r="AM12" s="358">
        <v>8</v>
      </c>
      <c r="AN12" s="359">
        <f t="shared" si="0"/>
        <v>272</v>
      </c>
    </row>
    <row r="13" spans="2:63" ht="20.100000000000001" customHeight="1" x14ac:dyDescent="0.15">
      <c r="B13" s="598" t="s">
        <v>350</v>
      </c>
      <c r="C13" s="599"/>
      <c r="D13" s="62"/>
      <c r="E13" s="63"/>
      <c r="F13" s="63"/>
      <c r="G13" s="62"/>
      <c r="H13" s="63"/>
      <c r="I13" s="63"/>
      <c r="J13" s="62"/>
      <c r="K13" s="63"/>
      <c r="L13" s="63"/>
      <c r="M13" s="62"/>
      <c r="N13" s="63"/>
      <c r="O13" s="63"/>
      <c r="P13" s="62"/>
      <c r="Q13" s="63"/>
      <c r="R13" s="63"/>
      <c r="S13" s="62"/>
      <c r="T13" s="63"/>
      <c r="U13" s="63"/>
      <c r="V13" s="62"/>
      <c r="W13" s="63"/>
      <c r="X13" s="63"/>
      <c r="Y13" s="62"/>
      <c r="Z13" s="63"/>
      <c r="AA13" s="63"/>
      <c r="AB13" s="62"/>
      <c r="AC13" s="63"/>
      <c r="AD13" s="63"/>
      <c r="AE13" s="62"/>
      <c r="AF13" s="63"/>
      <c r="AG13" s="63"/>
      <c r="AH13" s="62"/>
      <c r="AI13" s="63"/>
      <c r="AJ13" s="63"/>
      <c r="AK13" s="62"/>
      <c r="AL13" s="63"/>
      <c r="AM13" s="63"/>
      <c r="AN13" s="64">
        <f t="shared" ref="AN13:AN34" si="1">SUM(D13:AM13)</f>
        <v>0</v>
      </c>
    </row>
    <row r="14" spans="2:63" ht="20.100000000000001" customHeight="1" x14ac:dyDescent="0.15">
      <c r="B14" s="598"/>
      <c r="C14" s="599"/>
      <c r="D14" s="62"/>
      <c r="E14" s="63"/>
      <c r="F14" s="63"/>
      <c r="G14" s="62"/>
      <c r="H14" s="63"/>
      <c r="I14" s="63"/>
      <c r="J14" s="62"/>
      <c r="K14" s="63"/>
      <c r="L14" s="63"/>
      <c r="M14" s="62"/>
      <c r="N14" s="63"/>
      <c r="O14" s="63"/>
      <c r="P14" s="62"/>
      <c r="Q14" s="63"/>
      <c r="R14" s="63"/>
      <c r="S14" s="62"/>
      <c r="T14" s="63"/>
      <c r="U14" s="63"/>
      <c r="V14" s="62"/>
      <c r="W14" s="63"/>
      <c r="X14" s="63"/>
      <c r="Y14" s="62"/>
      <c r="Z14" s="63"/>
      <c r="AA14" s="63"/>
      <c r="AB14" s="62"/>
      <c r="AC14" s="63"/>
      <c r="AD14" s="63"/>
      <c r="AE14" s="62"/>
      <c r="AF14" s="63"/>
      <c r="AG14" s="63"/>
      <c r="AH14" s="62"/>
      <c r="AI14" s="63"/>
      <c r="AJ14" s="63"/>
      <c r="AK14" s="62"/>
      <c r="AL14" s="63"/>
      <c r="AM14" s="63"/>
      <c r="AN14" s="64">
        <f t="shared" si="1"/>
        <v>0</v>
      </c>
    </row>
    <row r="15" spans="2:63" ht="20.100000000000001" customHeight="1" x14ac:dyDescent="0.15">
      <c r="B15" s="598"/>
      <c r="C15" s="599"/>
      <c r="D15" s="62"/>
      <c r="E15" s="63"/>
      <c r="F15" s="63"/>
      <c r="G15" s="62"/>
      <c r="H15" s="63"/>
      <c r="I15" s="63"/>
      <c r="J15" s="62"/>
      <c r="K15" s="63"/>
      <c r="L15" s="63"/>
      <c r="M15" s="62"/>
      <c r="N15" s="63"/>
      <c r="O15" s="63"/>
      <c r="P15" s="62"/>
      <c r="Q15" s="63"/>
      <c r="R15" s="63"/>
      <c r="S15" s="62"/>
      <c r="T15" s="63"/>
      <c r="U15" s="63"/>
      <c r="V15" s="62"/>
      <c r="W15" s="63"/>
      <c r="X15" s="63"/>
      <c r="Y15" s="62"/>
      <c r="Z15" s="63"/>
      <c r="AA15" s="63"/>
      <c r="AB15" s="62"/>
      <c r="AC15" s="63"/>
      <c r="AD15" s="63"/>
      <c r="AE15" s="62"/>
      <c r="AF15" s="63"/>
      <c r="AG15" s="63"/>
      <c r="AH15" s="62"/>
      <c r="AI15" s="63"/>
      <c r="AJ15" s="63"/>
      <c r="AK15" s="62"/>
      <c r="AL15" s="63"/>
      <c r="AM15" s="63"/>
      <c r="AN15" s="64">
        <f t="shared" si="1"/>
        <v>0</v>
      </c>
    </row>
    <row r="16" spans="2:63" ht="20.100000000000001" customHeight="1" x14ac:dyDescent="0.15">
      <c r="B16" s="598"/>
      <c r="C16" s="599"/>
      <c r="D16" s="62"/>
      <c r="E16" s="63"/>
      <c r="F16" s="63"/>
      <c r="G16" s="62"/>
      <c r="H16" s="63"/>
      <c r="I16" s="63"/>
      <c r="J16" s="62"/>
      <c r="K16" s="63"/>
      <c r="L16" s="63"/>
      <c r="M16" s="62"/>
      <c r="N16" s="63"/>
      <c r="O16" s="63"/>
      <c r="P16" s="62"/>
      <c r="Q16" s="63"/>
      <c r="R16" s="63"/>
      <c r="S16" s="62"/>
      <c r="T16" s="63"/>
      <c r="U16" s="63"/>
      <c r="V16" s="62"/>
      <c r="W16" s="63"/>
      <c r="X16" s="63"/>
      <c r="Y16" s="62"/>
      <c r="Z16" s="63"/>
      <c r="AA16" s="63"/>
      <c r="AB16" s="62"/>
      <c r="AC16" s="63"/>
      <c r="AD16" s="63"/>
      <c r="AE16" s="62"/>
      <c r="AF16" s="63"/>
      <c r="AG16" s="63"/>
      <c r="AH16" s="62"/>
      <c r="AI16" s="63"/>
      <c r="AJ16" s="63"/>
      <c r="AK16" s="62"/>
      <c r="AL16" s="63"/>
      <c r="AM16" s="63"/>
      <c r="AN16" s="64">
        <f t="shared" si="1"/>
        <v>0</v>
      </c>
    </row>
    <row r="17" spans="2:40" ht="20.100000000000001" customHeight="1" x14ac:dyDescent="0.15">
      <c r="B17" s="598"/>
      <c r="C17" s="599"/>
      <c r="D17" s="62"/>
      <c r="E17" s="63"/>
      <c r="F17" s="63"/>
      <c r="G17" s="62"/>
      <c r="H17" s="63"/>
      <c r="I17" s="63"/>
      <c r="J17" s="62"/>
      <c r="K17" s="63"/>
      <c r="L17" s="63"/>
      <c r="M17" s="62"/>
      <c r="N17" s="63"/>
      <c r="O17" s="63"/>
      <c r="P17" s="62"/>
      <c r="Q17" s="63"/>
      <c r="R17" s="63"/>
      <c r="S17" s="62"/>
      <c r="T17" s="63"/>
      <c r="U17" s="63"/>
      <c r="V17" s="62"/>
      <c r="W17" s="63"/>
      <c r="X17" s="63"/>
      <c r="Y17" s="62"/>
      <c r="Z17" s="63"/>
      <c r="AA17" s="63"/>
      <c r="AB17" s="62"/>
      <c r="AC17" s="63"/>
      <c r="AD17" s="63"/>
      <c r="AE17" s="62"/>
      <c r="AF17" s="63"/>
      <c r="AG17" s="63"/>
      <c r="AH17" s="62"/>
      <c r="AI17" s="63"/>
      <c r="AJ17" s="63"/>
      <c r="AK17" s="62"/>
      <c r="AL17" s="63"/>
      <c r="AM17" s="63"/>
      <c r="AN17" s="64">
        <f t="shared" si="1"/>
        <v>0</v>
      </c>
    </row>
    <row r="18" spans="2:40" ht="20.100000000000001" customHeight="1" x14ac:dyDescent="0.15">
      <c r="B18" s="598"/>
      <c r="C18" s="599"/>
      <c r="D18" s="62"/>
      <c r="E18" s="63"/>
      <c r="F18" s="63"/>
      <c r="G18" s="62"/>
      <c r="H18" s="63"/>
      <c r="I18" s="63"/>
      <c r="J18" s="62"/>
      <c r="K18" s="63"/>
      <c r="L18" s="63"/>
      <c r="M18" s="62"/>
      <c r="N18" s="63"/>
      <c r="O18" s="63"/>
      <c r="P18" s="62"/>
      <c r="Q18" s="63"/>
      <c r="R18" s="63"/>
      <c r="S18" s="62"/>
      <c r="T18" s="63"/>
      <c r="U18" s="63"/>
      <c r="V18" s="62"/>
      <c r="W18" s="63"/>
      <c r="X18" s="63"/>
      <c r="Y18" s="62"/>
      <c r="Z18" s="63"/>
      <c r="AA18" s="63"/>
      <c r="AB18" s="62"/>
      <c r="AC18" s="63"/>
      <c r="AD18" s="63"/>
      <c r="AE18" s="62"/>
      <c r="AF18" s="63"/>
      <c r="AG18" s="63"/>
      <c r="AH18" s="62"/>
      <c r="AI18" s="63"/>
      <c r="AJ18" s="63"/>
      <c r="AK18" s="62"/>
      <c r="AL18" s="63"/>
      <c r="AM18" s="63"/>
      <c r="AN18" s="64">
        <f t="shared" si="1"/>
        <v>0</v>
      </c>
    </row>
    <row r="19" spans="2:40" ht="20.100000000000001" customHeight="1" x14ac:dyDescent="0.15">
      <c r="B19" s="598"/>
      <c r="C19" s="599"/>
      <c r="D19" s="62"/>
      <c r="E19" s="63"/>
      <c r="F19" s="63"/>
      <c r="G19" s="62"/>
      <c r="H19" s="63"/>
      <c r="I19" s="63"/>
      <c r="J19" s="62"/>
      <c r="K19" s="63"/>
      <c r="L19" s="63"/>
      <c r="M19" s="62"/>
      <c r="N19" s="63"/>
      <c r="O19" s="63"/>
      <c r="P19" s="62"/>
      <c r="Q19" s="63"/>
      <c r="R19" s="63"/>
      <c r="S19" s="62"/>
      <c r="T19" s="63"/>
      <c r="U19" s="63"/>
      <c r="V19" s="62"/>
      <c r="W19" s="63"/>
      <c r="X19" s="63"/>
      <c r="Y19" s="62"/>
      <c r="Z19" s="63"/>
      <c r="AA19" s="63"/>
      <c r="AB19" s="62"/>
      <c r="AC19" s="63"/>
      <c r="AD19" s="63"/>
      <c r="AE19" s="62"/>
      <c r="AF19" s="63"/>
      <c r="AG19" s="63"/>
      <c r="AH19" s="62"/>
      <c r="AI19" s="63"/>
      <c r="AJ19" s="63"/>
      <c r="AK19" s="62"/>
      <c r="AL19" s="63"/>
      <c r="AM19" s="63"/>
      <c r="AN19" s="64">
        <f t="shared" si="1"/>
        <v>0</v>
      </c>
    </row>
    <row r="20" spans="2:40" ht="20.100000000000001" customHeight="1" x14ac:dyDescent="0.15">
      <c r="B20" s="598"/>
      <c r="C20" s="599"/>
      <c r="D20" s="62"/>
      <c r="E20" s="63"/>
      <c r="F20" s="63"/>
      <c r="G20" s="62"/>
      <c r="H20" s="63"/>
      <c r="I20" s="63"/>
      <c r="J20" s="62"/>
      <c r="K20" s="63"/>
      <c r="L20" s="63"/>
      <c r="M20" s="62"/>
      <c r="N20" s="63"/>
      <c r="O20" s="63"/>
      <c r="P20" s="62"/>
      <c r="Q20" s="63"/>
      <c r="R20" s="63"/>
      <c r="S20" s="62"/>
      <c r="T20" s="63"/>
      <c r="U20" s="63"/>
      <c r="V20" s="62"/>
      <c r="W20" s="63"/>
      <c r="X20" s="63"/>
      <c r="Y20" s="62"/>
      <c r="Z20" s="63"/>
      <c r="AA20" s="63"/>
      <c r="AB20" s="62"/>
      <c r="AC20" s="63"/>
      <c r="AD20" s="63"/>
      <c r="AE20" s="62"/>
      <c r="AF20" s="63"/>
      <c r="AG20" s="63"/>
      <c r="AH20" s="62"/>
      <c r="AI20" s="63"/>
      <c r="AJ20" s="63"/>
      <c r="AK20" s="62"/>
      <c r="AL20" s="63"/>
      <c r="AM20" s="63"/>
      <c r="AN20" s="64">
        <f t="shared" si="1"/>
        <v>0</v>
      </c>
    </row>
    <row r="21" spans="2:40" ht="20.100000000000001" customHeight="1" x14ac:dyDescent="0.15">
      <c r="B21" s="598"/>
      <c r="C21" s="599"/>
      <c r="D21" s="62"/>
      <c r="E21" s="63"/>
      <c r="F21" s="63"/>
      <c r="G21" s="62"/>
      <c r="H21" s="63"/>
      <c r="I21" s="63"/>
      <c r="J21" s="62"/>
      <c r="K21" s="63"/>
      <c r="L21" s="63"/>
      <c r="M21" s="62"/>
      <c r="N21" s="63"/>
      <c r="O21" s="63"/>
      <c r="P21" s="62"/>
      <c r="Q21" s="63"/>
      <c r="R21" s="63"/>
      <c r="S21" s="62"/>
      <c r="T21" s="63"/>
      <c r="U21" s="63"/>
      <c r="V21" s="62"/>
      <c r="W21" s="63"/>
      <c r="X21" s="63"/>
      <c r="Y21" s="62"/>
      <c r="Z21" s="63"/>
      <c r="AA21" s="63"/>
      <c r="AB21" s="62"/>
      <c r="AC21" s="63"/>
      <c r="AD21" s="63"/>
      <c r="AE21" s="62"/>
      <c r="AF21" s="63"/>
      <c r="AG21" s="63"/>
      <c r="AH21" s="62"/>
      <c r="AI21" s="63"/>
      <c r="AJ21" s="63"/>
      <c r="AK21" s="62"/>
      <c r="AL21" s="63"/>
      <c r="AM21" s="63"/>
      <c r="AN21" s="64">
        <f t="shared" si="1"/>
        <v>0</v>
      </c>
    </row>
    <row r="22" spans="2:40" ht="20.100000000000001" customHeight="1" x14ac:dyDescent="0.15">
      <c r="B22" s="598"/>
      <c r="C22" s="599"/>
      <c r="D22" s="62"/>
      <c r="E22" s="63"/>
      <c r="F22" s="63"/>
      <c r="G22" s="62"/>
      <c r="H22" s="63"/>
      <c r="I22" s="63"/>
      <c r="J22" s="62"/>
      <c r="K22" s="63"/>
      <c r="L22" s="63"/>
      <c r="M22" s="62"/>
      <c r="N22" s="63"/>
      <c r="O22" s="63"/>
      <c r="P22" s="62"/>
      <c r="Q22" s="63"/>
      <c r="R22" s="63"/>
      <c r="S22" s="62"/>
      <c r="T22" s="63"/>
      <c r="U22" s="63"/>
      <c r="V22" s="62"/>
      <c r="W22" s="63"/>
      <c r="X22" s="63"/>
      <c r="Y22" s="62"/>
      <c r="Z22" s="63"/>
      <c r="AA22" s="63"/>
      <c r="AB22" s="62"/>
      <c r="AC22" s="63"/>
      <c r="AD22" s="63"/>
      <c r="AE22" s="62"/>
      <c r="AF22" s="63"/>
      <c r="AG22" s="63"/>
      <c r="AH22" s="62"/>
      <c r="AI22" s="63"/>
      <c r="AJ22" s="63"/>
      <c r="AK22" s="62"/>
      <c r="AL22" s="63"/>
      <c r="AM22" s="63"/>
      <c r="AN22" s="64">
        <f t="shared" si="1"/>
        <v>0</v>
      </c>
    </row>
    <row r="23" spans="2:40" ht="20.100000000000001" customHeight="1" x14ac:dyDescent="0.15">
      <c r="B23" s="598"/>
      <c r="C23" s="599"/>
      <c r="D23" s="62"/>
      <c r="E23" s="63"/>
      <c r="F23" s="63"/>
      <c r="G23" s="62"/>
      <c r="H23" s="63"/>
      <c r="I23" s="63"/>
      <c r="J23" s="62"/>
      <c r="K23" s="63"/>
      <c r="L23" s="63"/>
      <c r="M23" s="62"/>
      <c r="N23" s="63"/>
      <c r="O23" s="63"/>
      <c r="P23" s="62"/>
      <c r="Q23" s="63"/>
      <c r="R23" s="63"/>
      <c r="S23" s="62"/>
      <c r="T23" s="63"/>
      <c r="U23" s="63"/>
      <c r="V23" s="62"/>
      <c r="W23" s="63"/>
      <c r="X23" s="63"/>
      <c r="Y23" s="62"/>
      <c r="Z23" s="63"/>
      <c r="AA23" s="63"/>
      <c r="AB23" s="62"/>
      <c r="AC23" s="63"/>
      <c r="AD23" s="63"/>
      <c r="AE23" s="62"/>
      <c r="AF23" s="63"/>
      <c r="AG23" s="63"/>
      <c r="AH23" s="62"/>
      <c r="AI23" s="63"/>
      <c r="AJ23" s="63"/>
      <c r="AK23" s="62"/>
      <c r="AL23" s="63"/>
      <c r="AM23" s="63"/>
      <c r="AN23" s="64">
        <f t="shared" si="1"/>
        <v>0</v>
      </c>
    </row>
    <row r="24" spans="2:40" ht="20.100000000000001" customHeight="1" x14ac:dyDescent="0.15">
      <c r="B24" s="598"/>
      <c r="C24" s="599"/>
      <c r="D24" s="62"/>
      <c r="E24" s="63"/>
      <c r="F24" s="63"/>
      <c r="G24" s="62"/>
      <c r="H24" s="63"/>
      <c r="I24" s="63"/>
      <c r="J24" s="62"/>
      <c r="K24" s="63"/>
      <c r="L24" s="63"/>
      <c r="M24" s="62"/>
      <c r="N24" s="63"/>
      <c r="O24" s="63"/>
      <c r="P24" s="62"/>
      <c r="Q24" s="63"/>
      <c r="R24" s="63"/>
      <c r="S24" s="62"/>
      <c r="T24" s="63"/>
      <c r="U24" s="63"/>
      <c r="V24" s="62"/>
      <c r="W24" s="63"/>
      <c r="X24" s="63"/>
      <c r="Y24" s="62"/>
      <c r="Z24" s="63"/>
      <c r="AA24" s="63"/>
      <c r="AB24" s="62"/>
      <c r="AC24" s="63"/>
      <c r="AD24" s="63"/>
      <c r="AE24" s="62"/>
      <c r="AF24" s="63"/>
      <c r="AG24" s="63"/>
      <c r="AH24" s="62"/>
      <c r="AI24" s="63"/>
      <c r="AJ24" s="63"/>
      <c r="AK24" s="62"/>
      <c r="AL24" s="63"/>
      <c r="AM24" s="63"/>
      <c r="AN24" s="64">
        <f t="shared" si="1"/>
        <v>0</v>
      </c>
    </row>
    <row r="25" spans="2:40" ht="20.100000000000001" customHeight="1" x14ac:dyDescent="0.15">
      <c r="B25" s="598"/>
      <c r="C25" s="599"/>
      <c r="D25" s="62"/>
      <c r="E25" s="63"/>
      <c r="F25" s="63"/>
      <c r="G25" s="62"/>
      <c r="H25" s="63"/>
      <c r="I25" s="63"/>
      <c r="J25" s="62"/>
      <c r="K25" s="63"/>
      <c r="L25" s="63"/>
      <c r="M25" s="62"/>
      <c r="N25" s="63"/>
      <c r="O25" s="63"/>
      <c r="P25" s="62"/>
      <c r="Q25" s="63"/>
      <c r="R25" s="63"/>
      <c r="S25" s="62"/>
      <c r="T25" s="63"/>
      <c r="U25" s="63"/>
      <c r="V25" s="62"/>
      <c r="W25" s="63"/>
      <c r="X25" s="63"/>
      <c r="Y25" s="62"/>
      <c r="Z25" s="63"/>
      <c r="AA25" s="63"/>
      <c r="AB25" s="62"/>
      <c r="AC25" s="63"/>
      <c r="AD25" s="63"/>
      <c r="AE25" s="62"/>
      <c r="AF25" s="63"/>
      <c r="AG25" s="63"/>
      <c r="AH25" s="62"/>
      <c r="AI25" s="63"/>
      <c r="AJ25" s="63"/>
      <c r="AK25" s="62"/>
      <c r="AL25" s="63"/>
      <c r="AM25" s="63"/>
      <c r="AN25" s="64">
        <f t="shared" si="1"/>
        <v>0</v>
      </c>
    </row>
    <row r="26" spans="2:40" ht="20.100000000000001" customHeight="1" x14ac:dyDescent="0.15">
      <c r="B26" s="598"/>
      <c r="C26" s="599"/>
      <c r="D26" s="62"/>
      <c r="E26" s="63"/>
      <c r="F26" s="63"/>
      <c r="G26" s="62"/>
      <c r="H26" s="63"/>
      <c r="I26" s="63"/>
      <c r="J26" s="62"/>
      <c r="K26" s="63"/>
      <c r="L26" s="63"/>
      <c r="M26" s="62"/>
      <c r="N26" s="63"/>
      <c r="O26" s="63"/>
      <c r="P26" s="62"/>
      <c r="Q26" s="63"/>
      <c r="R26" s="63"/>
      <c r="S26" s="62"/>
      <c r="T26" s="63"/>
      <c r="U26" s="63"/>
      <c r="V26" s="62"/>
      <c r="W26" s="63"/>
      <c r="X26" s="63"/>
      <c r="Y26" s="62"/>
      <c r="Z26" s="63"/>
      <c r="AA26" s="63"/>
      <c r="AB26" s="62"/>
      <c r="AC26" s="63"/>
      <c r="AD26" s="63"/>
      <c r="AE26" s="62"/>
      <c r="AF26" s="63"/>
      <c r="AG26" s="63"/>
      <c r="AH26" s="62"/>
      <c r="AI26" s="63"/>
      <c r="AJ26" s="63"/>
      <c r="AK26" s="62"/>
      <c r="AL26" s="63"/>
      <c r="AM26" s="63"/>
      <c r="AN26" s="64">
        <f t="shared" si="1"/>
        <v>0</v>
      </c>
    </row>
    <row r="27" spans="2:40" ht="20.100000000000001" customHeight="1" x14ac:dyDescent="0.15">
      <c r="B27" s="598"/>
      <c r="C27" s="599"/>
      <c r="D27" s="62"/>
      <c r="E27" s="63"/>
      <c r="F27" s="63"/>
      <c r="G27" s="62"/>
      <c r="H27" s="63"/>
      <c r="I27" s="63"/>
      <c r="J27" s="62"/>
      <c r="K27" s="63"/>
      <c r="L27" s="63"/>
      <c r="M27" s="62"/>
      <c r="N27" s="63"/>
      <c r="O27" s="63"/>
      <c r="P27" s="62"/>
      <c r="Q27" s="63"/>
      <c r="R27" s="63"/>
      <c r="S27" s="62"/>
      <c r="T27" s="63"/>
      <c r="U27" s="63"/>
      <c r="V27" s="62"/>
      <c r="W27" s="63"/>
      <c r="X27" s="63"/>
      <c r="Y27" s="62"/>
      <c r="Z27" s="63"/>
      <c r="AA27" s="63"/>
      <c r="AB27" s="62"/>
      <c r="AC27" s="63"/>
      <c r="AD27" s="63"/>
      <c r="AE27" s="62"/>
      <c r="AF27" s="63"/>
      <c r="AG27" s="63"/>
      <c r="AH27" s="62"/>
      <c r="AI27" s="63"/>
      <c r="AJ27" s="63"/>
      <c r="AK27" s="62"/>
      <c r="AL27" s="63"/>
      <c r="AM27" s="63"/>
      <c r="AN27" s="64">
        <f t="shared" si="1"/>
        <v>0</v>
      </c>
    </row>
    <row r="28" spans="2:40" ht="20.100000000000001" customHeight="1" x14ac:dyDescent="0.15">
      <c r="B28" s="598"/>
      <c r="C28" s="599"/>
      <c r="D28" s="62"/>
      <c r="E28" s="63"/>
      <c r="F28" s="63"/>
      <c r="G28" s="62"/>
      <c r="H28" s="63"/>
      <c r="I28" s="63"/>
      <c r="J28" s="62"/>
      <c r="K28" s="63"/>
      <c r="L28" s="63"/>
      <c r="M28" s="62"/>
      <c r="N28" s="63"/>
      <c r="O28" s="63"/>
      <c r="P28" s="62"/>
      <c r="Q28" s="63"/>
      <c r="R28" s="63"/>
      <c r="S28" s="62"/>
      <c r="T28" s="63"/>
      <c r="U28" s="63"/>
      <c r="V28" s="62"/>
      <c r="W28" s="63"/>
      <c r="X28" s="63"/>
      <c r="Y28" s="62"/>
      <c r="Z28" s="63"/>
      <c r="AA28" s="63"/>
      <c r="AB28" s="62"/>
      <c r="AC28" s="63"/>
      <c r="AD28" s="63"/>
      <c r="AE28" s="62"/>
      <c r="AF28" s="63"/>
      <c r="AG28" s="63"/>
      <c r="AH28" s="62"/>
      <c r="AI28" s="63"/>
      <c r="AJ28" s="63"/>
      <c r="AK28" s="62"/>
      <c r="AL28" s="63"/>
      <c r="AM28" s="63"/>
      <c r="AN28" s="64">
        <f t="shared" si="1"/>
        <v>0</v>
      </c>
    </row>
    <row r="29" spans="2:40" ht="20.100000000000001" customHeight="1" x14ac:dyDescent="0.15">
      <c r="B29" s="598"/>
      <c r="C29" s="599"/>
      <c r="D29" s="62"/>
      <c r="E29" s="63"/>
      <c r="F29" s="63"/>
      <c r="G29" s="62"/>
      <c r="H29" s="63"/>
      <c r="I29" s="63"/>
      <c r="J29" s="62"/>
      <c r="K29" s="63"/>
      <c r="L29" s="63"/>
      <c r="M29" s="62"/>
      <c r="N29" s="63"/>
      <c r="O29" s="63"/>
      <c r="P29" s="62"/>
      <c r="Q29" s="63"/>
      <c r="R29" s="63"/>
      <c r="S29" s="62"/>
      <c r="T29" s="63"/>
      <c r="U29" s="63"/>
      <c r="V29" s="62"/>
      <c r="W29" s="63"/>
      <c r="X29" s="63"/>
      <c r="Y29" s="62"/>
      <c r="Z29" s="63"/>
      <c r="AA29" s="63"/>
      <c r="AB29" s="62"/>
      <c r="AC29" s="63"/>
      <c r="AD29" s="63"/>
      <c r="AE29" s="62"/>
      <c r="AF29" s="63"/>
      <c r="AG29" s="63"/>
      <c r="AH29" s="62"/>
      <c r="AI29" s="63"/>
      <c r="AJ29" s="63"/>
      <c r="AK29" s="62"/>
      <c r="AL29" s="63"/>
      <c r="AM29" s="63"/>
      <c r="AN29" s="64">
        <f t="shared" si="1"/>
        <v>0</v>
      </c>
    </row>
    <row r="30" spans="2:40" ht="20.100000000000001" customHeight="1" x14ac:dyDescent="0.15">
      <c r="B30" s="598"/>
      <c r="C30" s="599"/>
      <c r="D30" s="62"/>
      <c r="E30" s="63"/>
      <c r="F30" s="63"/>
      <c r="G30" s="62"/>
      <c r="H30" s="63"/>
      <c r="I30" s="63"/>
      <c r="J30" s="62"/>
      <c r="K30" s="63"/>
      <c r="L30" s="63"/>
      <c r="M30" s="62"/>
      <c r="N30" s="63"/>
      <c r="O30" s="63"/>
      <c r="P30" s="62"/>
      <c r="Q30" s="63"/>
      <c r="R30" s="63"/>
      <c r="S30" s="62"/>
      <c r="T30" s="63"/>
      <c r="U30" s="63"/>
      <c r="V30" s="62"/>
      <c r="W30" s="63"/>
      <c r="X30" s="63"/>
      <c r="Y30" s="62"/>
      <c r="Z30" s="63"/>
      <c r="AA30" s="63"/>
      <c r="AB30" s="62"/>
      <c r="AC30" s="63"/>
      <c r="AD30" s="63"/>
      <c r="AE30" s="62"/>
      <c r="AF30" s="63"/>
      <c r="AG30" s="63"/>
      <c r="AH30" s="62"/>
      <c r="AI30" s="63"/>
      <c r="AJ30" s="63"/>
      <c r="AK30" s="62"/>
      <c r="AL30" s="63"/>
      <c r="AM30" s="63"/>
      <c r="AN30" s="64">
        <f t="shared" si="1"/>
        <v>0</v>
      </c>
    </row>
    <row r="31" spans="2:40" ht="20.100000000000001" customHeight="1" x14ac:dyDescent="0.15">
      <c r="B31" s="598"/>
      <c r="C31" s="599"/>
      <c r="D31" s="62"/>
      <c r="E31" s="63"/>
      <c r="F31" s="63"/>
      <c r="G31" s="62"/>
      <c r="H31" s="63"/>
      <c r="I31" s="63"/>
      <c r="J31" s="62"/>
      <c r="K31" s="63"/>
      <c r="L31" s="63"/>
      <c r="M31" s="62"/>
      <c r="N31" s="63"/>
      <c r="O31" s="63"/>
      <c r="P31" s="62"/>
      <c r="Q31" s="63"/>
      <c r="R31" s="63"/>
      <c r="S31" s="62"/>
      <c r="T31" s="63"/>
      <c r="U31" s="63"/>
      <c r="V31" s="62"/>
      <c r="W31" s="63"/>
      <c r="X31" s="63"/>
      <c r="Y31" s="62"/>
      <c r="Z31" s="63"/>
      <c r="AA31" s="63"/>
      <c r="AB31" s="62"/>
      <c r="AC31" s="63"/>
      <c r="AD31" s="63"/>
      <c r="AE31" s="62"/>
      <c r="AF31" s="63"/>
      <c r="AG31" s="63"/>
      <c r="AH31" s="62"/>
      <c r="AI31" s="63"/>
      <c r="AJ31" s="63"/>
      <c r="AK31" s="62"/>
      <c r="AL31" s="63"/>
      <c r="AM31" s="63"/>
      <c r="AN31" s="64">
        <f t="shared" si="1"/>
        <v>0</v>
      </c>
    </row>
    <row r="32" spans="2:40" ht="20.100000000000001" customHeight="1" x14ac:dyDescent="0.15">
      <c r="B32" s="598"/>
      <c r="C32" s="599"/>
      <c r="D32" s="62"/>
      <c r="E32" s="63"/>
      <c r="F32" s="63"/>
      <c r="G32" s="62"/>
      <c r="H32" s="63"/>
      <c r="I32" s="63"/>
      <c r="J32" s="62"/>
      <c r="K32" s="63"/>
      <c r="L32" s="63"/>
      <c r="M32" s="62"/>
      <c r="N32" s="63"/>
      <c r="O32" s="63"/>
      <c r="P32" s="62"/>
      <c r="Q32" s="63"/>
      <c r="R32" s="63"/>
      <c r="S32" s="62"/>
      <c r="T32" s="63"/>
      <c r="U32" s="63"/>
      <c r="V32" s="62"/>
      <c r="W32" s="63"/>
      <c r="X32" s="63"/>
      <c r="Y32" s="62"/>
      <c r="Z32" s="63"/>
      <c r="AA32" s="63"/>
      <c r="AB32" s="62"/>
      <c r="AC32" s="63"/>
      <c r="AD32" s="63"/>
      <c r="AE32" s="62"/>
      <c r="AF32" s="63"/>
      <c r="AG32" s="63"/>
      <c r="AH32" s="62"/>
      <c r="AI32" s="63"/>
      <c r="AJ32" s="63"/>
      <c r="AK32" s="62"/>
      <c r="AL32" s="63"/>
      <c r="AM32" s="63"/>
      <c r="AN32" s="64">
        <f t="shared" si="1"/>
        <v>0</v>
      </c>
    </row>
    <row r="33" spans="2:40" ht="20.100000000000001" customHeight="1" x14ac:dyDescent="0.15">
      <c r="B33" s="598"/>
      <c r="C33" s="599"/>
      <c r="D33" s="62"/>
      <c r="E33" s="63"/>
      <c r="F33" s="63"/>
      <c r="G33" s="62"/>
      <c r="H33" s="63"/>
      <c r="I33" s="63"/>
      <c r="J33" s="62"/>
      <c r="K33" s="63"/>
      <c r="L33" s="63"/>
      <c r="M33" s="62"/>
      <c r="N33" s="63"/>
      <c r="O33" s="63"/>
      <c r="P33" s="62"/>
      <c r="Q33" s="63"/>
      <c r="R33" s="63"/>
      <c r="S33" s="62"/>
      <c r="T33" s="63"/>
      <c r="U33" s="63"/>
      <c r="V33" s="62"/>
      <c r="W33" s="63"/>
      <c r="X33" s="63"/>
      <c r="Y33" s="62"/>
      <c r="Z33" s="63"/>
      <c r="AA33" s="63"/>
      <c r="AB33" s="62"/>
      <c r="AC33" s="63"/>
      <c r="AD33" s="63"/>
      <c r="AE33" s="62"/>
      <c r="AF33" s="63"/>
      <c r="AG33" s="63"/>
      <c r="AH33" s="62"/>
      <c r="AI33" s="63"/>
      <c r="AJ33" s="63"/>
      <c r="AK33" s="62"/>
      <c r="AL33" s="63"/>
      <c r="AM33" s="63"/>
      <c r="AN33" s="64">
        <f t="shared" si="1"/>
        <v>0</v>
      </c>
    </row>
    <row r="34" spans="2:40" ht="20.100000000000001" customHeight="1" x14ac:dyDescent="0.15">
      <c r="B34" s="600" t="s">
        <v>97</v>
      </c>
      <c r="C34" s="601"/>
      <c r="D34" s="62">
        <f t="shared" ref="D34:AM34" si="2">SUM(D9:D33)</f>
        <v>21</v>
      </c>
      <c r="E34" s="65">
        <f t="shared" si="2"/>
        <v>25</v>
      </c>
      <c r="F34" s="66">
        <f t="shared" si="2"/>
        <v>35</v>
      </c>
      <c r="G34" s="62">
        <f t="shared" si="2"/>
        <v>29</v>
      </c>
      <c r="H34" s="65">
        <f t="shared" si="2"/>
        <v>32</v>
      </c>
      <c r="I34" s="66">
        <f t="shared" si="2"/>
        <v>25</v>
      </c>
      <c r="J34" s="62">
        <f t="shared" si="2"/>
        <v>29</v>
      </c>
      <c r="K34" s="65">
        <f t="shared" si="2"/>
        <v>28</v>
      </c>
      <c r="L34" s="66">
        <f t="shared" si="2"/>
        <v>35</v>
      </c>
      <c r="M34" s="62">
        <f t="shared" si="2"/>
        <v>32</v>
      </c>
      <c r="N34" s="65">
        <f t="shared" si="2"/>
        <v>28</v>
      </c>
      <c r="O34" s="66">
        <f t="shared" si="2"/>
        <v>32</v>
      </c>
      <c r="P34" s="62">
        <f t="shared" si="2"/>
        <v>25</v>
      </c>
      <c r="Q34" s="65">
        <f t="shared" si="2"/>
        <v>28</v>
      </c>
      <c r="R34" s="66">
        <f t="shared" si="2"/>
        <v>35</v>
      </c>
      <c r="S34" s="62">
        <f t="shared" si="2"/>
        <v>32</v>
      </c>
      <c r="T34" s="65">
        <f t="shared" si="2"/>
        <v>32</v>
      </c>
      <c r="U34" s="66">
        <f t="shared" si="2"/>
        <v>32</v>
      </c>
      <c r="V34" s="62">
        <f t="shared" si="2"/>
        <v>28</v>
      </c>
      <c r="W34" s="65">
        <f t="shared" si="2"/>
        <v>32</v>
      </c>
      <c r="X34" s="66">
        <f t="shared" si="2"/>
        <v>35</v>
      </c>
      <c r="Y34" s="62">
        <f t="shared" si="2"/>
        <v>28</v>
      </c>
      <c r="Z34" s="65">
        <f t="shared" si="2"/>
        <v>28</v>
      </c>
      <c r="AA34" s="66">
        <f t="shared" si="2"/>
        <v>35</v>
      </c>
      <c r="AB34" s="62">
        <f t="shared" si="2"/>
        <v>32</v>
      </c>
      <c r="AC34" s="65">
        <f t="shared" si="2"/>
        <v>28</v>
      </c>
      <c r="AD34" s="66">
        <f t="shared" si="2"/>
        <v>32</v>
      </c>
      <c r="AE34" s="62">
        <f t="shared" si="2"/>
        <v>28</v>
      </c>
      <c r="AF34" s="65">
        <f t="shared" si="2"/>
        <v>32</v>
      </c>
      <c r="AG34" s="66">
        <f t="shared" si="2"/>
        <v>35</v>
      </c>
      <c r="AH34" s="62">
        <f t="shared" si="2"/>
        <v>32</v>
      </c>
      <c r="AI34" s="65">
        <f t="shared" si="2"/>
        <v>28</v>
      </c>
      <c r="AJ34" s="66">
        <f t="shared" si="2"/>
        <v>28</v>
      </c>
      <c r="AK34" s="62">
        <f t="shared" si="2"/>
        <v>32</v>
      </c>
      <c r="AL34" s="65">
        <f t="shared" si="2"/>
        <v>28</v>
      </c>
      <c r="AM34" s="66">
        <f t="shared" si="2"/>
        <v>32</v>
      </c>
      <c r="AN34" s="64">
        <f t="shared" si="1"/>
        <v>1088</v>
      </c>
    </row>
    <row r="35" spans="2:40" ht="20.100000000000001" customHeight="1" thickBot="1" x14ac:dyDescent="0.2">
      <c r="B35" s="581" t="s">
        <v>98</v>
      </c>
      <c r="C35" s="582"/>
      <c r="D35" s="67"/>
      <c r="E35" s="68">
        <f>SUM(D34:F34)</f>
        <v>81</v>
      </c>
      <c r="F35" s="68"/>
      <c r="G35" s="67"/>
      <c r="H35" s="68">
        <f>SUM(G34:I34)</f>
        <v>86</v>
      </c>
      <c r="I35" s="68"/>
      <c r="J35" s="67"/>
      <c r="K35" s="68">
        <f>SUM(J34:L34)</f>
        <v>92</v>
      </c>
      <c r="L35" s="68"/>
      <c r="M35" s="67"/>
      <c r="N35" s="68">
        <f>SUM(M34:O34)</f>
        <v>92</v>
      </c>
      <c r="O35" s="68"/>
      <c r="P35" s="67"/>
      <c r="Q35" s="68">
        <f>SUM(P34:R34)</f>
        <v>88</v>
      </c>
      <c r="R35" s="68"/>
      <c r="S35" s="67"/>
      <c r="T35" s="68">
        <f>SUM(S34:U34)</f>
        <v>96</v>
      </c>
      <c r="U35" s="68"/>
      <c r="V35" s="67"/>
      <c r="W35" s="68">
        <f>SUM(V34:X34)</f>
        <v>95</v>
      </c>
      <c r="X35" s="68"/>
      <c r="Y35" s="67"/>
      <c r="Z35" s="68">
        <f>SUM(Y34:AA34)</f>
        <v>91</v>
      </c>
      <c r="AA35" s="68"/>
      <c r="AB35" s="67"/>
      <c r="AC35" s="68">
        <f>SUM(AB34:AD34)</f>
        <v>92</v>
      </c>
      <c r="AD35" s="68"/>
      <c r="AE35" s="67"/>
      <c r="AF35" s="68">
        <f>SUM(AE34:AG34)</f>
        <v>95</v>
      </c>
      <c r="AG35" s="68"/>
      <c r="AH35" s="67"/>
      <c r="AI35" s="68">
        <f>SUM(AH34:AJ34)</f>
        <v>88</v>
      </c>
      <c r="AJ35" s="68"/>
      <c r="AK35" s="67"/>
      <c r="AL35" s="68">
        <f>SUM(AK34:AM34)</f>
        <v>92</v>
      </c>
      <c r="AM35" s="68"/>
      <c r="AN35" s="69">
        <f>SUM(AN9:AN33)</f>
        <v>1088</v>
      </c>
    </row>
    <row r="36" spans="2:40" ht="9.9499999999999993" customHeight="1" x14ac:dyDescent="0.15"/>
    <row r="37" spans="2:40" ht="24.95" customHeight="1" x14ac:dyDescent="0.15">
      <c r="B37" s="2" t="s">
        <v>197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194</v>
      </c>
      <c r="C39" s="249">
        <v>80</v>
      </c>
      <c r="D39" s="1" t="s">
        <v>195</v>
      </c>
    </row>
    <row r="40" spans="2:40" ht="9.9499999999999993" customHeight="1" thickBot="1" x14ac:dyDescent="0.2"/>
    <row r="41" spans="2:40" ht="20.100000000000001" customHeight="1" x14ac:dyDescent="0.15">
      <c r="B41" s="595" t="s">
        <v>95</v>
      </c>
      <c r="C41" s="596"/>
      <c r="D41" s="583">
        <v>1</v>
      </c>
      <c r="E41" s="584"/>
      <c r="F41" s="585"/>
      <c r="G41" s="583">
        <v>2</v>
      </c>
      <c r="H41" s="584"/>
      <c r="I41" s="585"/>
      <c r="J41" s="583">
        <v>3</v>
      </c>
      <c r="K41" s="584"/>
      <c r="L41" s="585"/>
      <c r="M41" s="583">
        <v>4</v>
      </c>
      <c r="N41" s="584"/>
      <c r="O41" s="585"/>
      <c r="P41" s="583">
        <v>5</v>
      </c>
      <c r="Q41" s="584"/>
      <c r="R41" s="585"/>
      <c r="S41" s="583">
        <v>6</v>
      </c>
      <c r="T41" s="584"/>
      <c r="U41" s="585"/>
      <c r="V41" s="583">
        <v>7</v>
      </c>
      <c r="W41" s="584"/>
      <c r="X41" s="585"/>
      <c r="Y41" s="583">
        <v>8</v>
      </c>
      <c r="Z41" s="584"/>
      <c r="AA41" s="585"/>
      <c r="AB41" s="583">
        <v>9</v>
      </c>
      <c r="AC41" s="584"/>
      <c r="AD41" s="585"/>
      <c r="AE41" s="583">
        <v>10</v>
      </c>
      <c r="AF41" s="584"/>
      <c r="AG41" s="585"/>
      <c r="AH41" s="583">
        <v>11</v>
      </c>
      <c r="AI41" s="584"/>
      <c r="AJ41" s="585"/>
      <c r="AK41" s="583">
        <v>12</v>
      </c>
      <c r="AL41" s="584"/>
      <c r="AM41" s="585"/>
      <c r="AN41" s="586" t="s">
        <v>29</v>
      </c>
    </row>
    <row r="42" spans="2:40" ht="20.100000000000001" customHeight="1" x14ac:dyDescent="0.15">
      <c r="B42" s="597"/>
      <c r="C42" s="589"/>
      <c r="D42" s="53" t="s">
        <v>30</v>
      </c>
      <c r="E42" s="54" t="s">
        <v>31</v>
      </c>
      <c r="F42" s="55" t="s">
        <v>32</v>
      </c>
      <c r="G42" s="53" t="s">
        <v>30</v>
      </c>
      <c r="H42" s="55" t="s">
        <v>31</v>
      </c>
      <c r="I42" s="55" t="s">
        <v>32</v>
      </c>
      <c r="J42" s="53" t="s">
        <v>30</v>
      </c>
      <c r="K42" s="55" t="s">
        <v>31</v>
      </c>
      <c r="L42" s="55" t="s">
        <v>32</v>
      </c>
      <c r="M42" s="53" t="s">
        <v>30</v>
      </c>
      <c r="N42" s="55" t="s">
        <v>31</v>
      </c>
      <c r="O42" s="55" t="s">
        <v>32</v>
      </c>
      <c r="P42" s="53" t="s">
        <v>30</v>
      </c>
      <c r="Q42" s="55" t="s">
        <v>31</v>
      </c>
      <c r="R42" s="55" t="s">
        <v>32</v>
      </c>
      <c r="S42" s="53" t="s">
        <v>30</v>
      </c>
      <c r="T42" s="56" t="s">
        <v>31</v>
      </c>
      <c r="U42" s="56" t="s">
        <v>32</v>
      </c>
      <c r="V42" s="53" t="s">
        <v>30</v>
      </c>
      <c r="W42" s="55" t="s">
        <v>31</v>
      </c>
      <c r="X42" s="55" t="s">
        <v>32</v>
      </c>
      <c r="Y42" s="53" t="s">
        <v>30</v>
      </c>
      <c r="Z42" s="55" t="s">
        <v>31</v>
      </c>
      <c r="AA42" s="55" t="s">
        <v>32</v>
      </c>
      <c r="AB42" s="53" t="s">
        <v>30</v>
      </c>
      <c r="AC42" s="55" t="s">
        <v>31</v>
      </c>
      <c r="AD42" s="55" t="s">
        <v>32</v>
      </c>
      <c r="AE42" s="53" t="s">
        <v>30</v>
      </c>
      <c r="AF42" s="55" t="s">
        <v>31</v>
      </c>
      <c r="AG42" s="55" t="s">
        <v>32</v>
      </c>
      <c r="AH42" s="53" t="s">
        <v>30</v>
      </c>
      <c r="AI42" s="55" t="s">
        <v>31</v>
      </c>
      <c r="AJ42" s="55" t="s">
        <v>32</v>
      </c>
      <c r="AK42" s="53" t="s">
        <v>30</v>
      </c>
      <c r="AL42" s="55" t="s">
        <v>31</v>
      </c>
      <c r="AM42" s="55" t="s">
        <v>32</v>
      </c>
      <c r="AN42" s="587"/>
    </row>
    <row r="43" spans="2:40" ht="20.100000000000001" customHeight="1" x14ac:dyDescent="0.15">
      <c r="B43" s="588" t="s">
        <v>202</v>
      </c>
      <c r="C43" s="589"/>
      <c r="D43" s="62">
        <f>D34*$C$39/10</f>
        <v>168</v>
      </c>
      <c r="E43" s="65">
        <f t="shared" ref="E43:AM43" si="3">E34*$C$39/10</f>
        <v>200</v>
      </c>
      <c r="F43" s="66">
        <f>F34*$C$39/10</f>
        <v>280</v>
      </c>
      <c r="G43" s="62">
        <f t="shared" si="3"/>
        <v>232</v>
      </c>
      <c r="H43" s="65">
        <f t="shared" si="3"/>
        <v>256</v>
      </c>
      <c r="I43" s="66">
        <f t="shared" si="3"/>
        <v>200</v>
      </c>
      <c r="J43" s="62">
        <f t="shared" si="3"/>
        <v>232</v>
      </c>
      <c r="K43" s="65">
        <f t="shared" si="3"/>
        <v>224</v>
      </c>
      <c r="L43" s="66">
        <f t="shared" si="3"/>
        <v>280</v>
      </c>
      <c r="M43" s="62">
        <f t="shared" si="3"/>
        <v>256</v>
      </c>
      <c r="N43" s="65">
        <f t="shared" si="3"/>
        <v>224</v>
      </c>
      <c r="O43" s="66">
        <f t="shared" si="3"/>
        <v>256</v>
      </c>
      <c r="P43" s="62">
        <f t="shared" si="3"/>
        <v>200</v>
      </c>
      <c r="Q43" s="65">
        <f t="shared" si="3"/>
        <v>224</v>
      </c>
      <c r="R43" s="66">
        <f t="shared" si="3"/>
        <v>280</v>
      </c>
      <c r="S43" s="62">
        <f t="shared" si="3"/>
        <v>256</v>
      </c>
      <c r="T43" s="65">
        <f t="shared" si="3"/>
        <v>256</v>
      </c>
      <c r="U43" s="66">
        <f t="shared" si="3"/>
        <v>256</v>
      </c>
      <c r="V43" s="62">
        <f t="shared" si="3"/>
        <v>224</v>
      </c>
      <c r="W43" s="65">
        <f t="shared" si="3"/>
        <v>256</v>
      </c>
      <c r="X43" s="66">
        <f t="shared" si="3"/>
        <v>280</v>
      </c>
      <c r="Y43" s="62">
        <f t="shared" si="3"/>
        <v>224</v>
      </c>
      <c r="Z43" s="65">
        <f t="shared" si="3"/>
        <v>224</v>
      </c>
      <c r="AA43" s="66">
        <f t="shared" si="3"/>
        <v>280</v>
      </c>
      <c r="AB43" s="62">
        <f t="shared" si="3"/>
        <v>256</v>
      </c>
      <c r="AC43" s="65">
        <f t="shared" si="3"/>
        <v>224</v>
      </c>
      <c r="AD43" s="66">
        <f t="shared" si="3"/>
        <v>256</v>
      </c>
      <c r="AE43" s="62">
        <f t="shared" si="3"/>
        <v>224</v>
      </c>
      <c r="AF43" s="65">
        <f t="shared" si="3"/>
        <v>256</v>
      </c>
      <c r="AG43" s="66">
        <f t="shared" si="3"/>
        <v>280</v>
      </c>
      <c r="AH43" s="62">
        <f t="shared" si="3"/>
        <v>256</v>
      </c>
      <c r="AI43" s="65">
        <f t="shared" si="3"/>
        <v>224</v>
      </c>
      <c r="AJ43" s="66">
        <f t="shared" si="3"/>
        <v>224</v>
      </c>
      <c r="AK43" s="62">
        <f t="shared" si="3"/>
        <v>256</v>
      </c>
      <c r="AL43" s="65">
        <f t="shared" si="3"/>
        <v>224</v>
      </c>
      <c r="AM43" s="66">
        <f t="shared" si="3"/>
        <v>256</v>
      </c>
      <c r="AN43" s="64">
        <f t="shared" ref="AN43:AN47" si="4">SUM(D43:AM43)</f>
        <v>8704</v>
      </c>
    </row>
    <row r="44" spans="2:40" ht="20.100000000000001" customHeight="1" thickBot="1" x14ac:dyDescent="0.2">
      <c r="B44" s="590" t="s">
        <v>98</v>
      </c>
      <c r="C44" s="591"/>
      <c r="D44" s="252"/>
      <c r="E44" s="248">
        <f>SUM(D43:F43)</f>
        <v>648</v>
      </c>
      <c r="F44" s="248"/>
      <c r="G44" s="252"/>
      <c r="H44" s="248">
        <f>SUM(G43:I43)</f>
        <v>688</v>
      </c>
      <c r="I44" s="248"/>
      <c r="J44" s="252"/>
      <c r="K44" s="248">
        <f>SUM(J43:L43)</f>
        <v>736</v>
      </c>
      <c r="L44" s="248"/>
      <c r="M44" s="252"/>
      <c r="N44" s="248">
        <f>SUM(M43:O43)</f>
        <v>736</v>
      </c>
      <c r="O44" s="248"/>
      <c r="P44" s="252"/>
      <c r="Q44" s="248">
        <f>SUM(P43:R43)</f>
        <v>704</v>
      </c>
      <c r="R44" s="248"/>
      <c r="S44" s="252"/>
      <c r="T44" s="248">
        <f>SUM(S43:U43)</f>
        <v>768</v>
      </c>
      <c r="U44" s="248"/>
      <c r="V44" s="252"/>
      <c r="W44" s="248">
        <f>SUM(V43:X43)</f>
        <v>760</v>
      </c>
      <c r="X44" s="248"/>
      <c r="Y44" s="252"/>
      <c r="Z44" s="248">
        <f>SUM(Y43:AA43)</f>
        <v>728</v>
      </c>
      <c r="AA44" s="248"/>
      <c r="AB44" s="252"/>
      <c r="AC44" s="248">
        <f>SUM(AB43:AD43)</f>
        <v>736</v>
      </c>
      <c r="AD44" s="248"/>
      <c r="AE44" s="252"/>
      <c r="AF44" s="248">
        <f>SUM(AE43:AG43)</f>
        <v>760</v>
      </c>
      <c r="AG44" s="248"/>
      <c r="AH44" s="252"/>
      <c r="AI44" s="248">
        <f>SUM(AH43:AJ43)</f>
        <v>704</v>
      </c>
      <c r="AJ44" s="248"/>
      <c r="AK44" s="252"/>
      <c r="AL44" s="248">
        <f>SUM(AK43:AM43)</f>
        <v>736</v>
      </c>
      <c r="AM44" s="248"/>
      <c r="AN44" s="253">
        <f t="shared" si="4"/>
        <v>8704</v>
      </c>
    </row>
    <row r="45" spans="2:40" ht="20.100000000000001" customHeight="1" thickTop="1" x14ac:dyDescent="0.15">
      <c r="B45" s="592" t="s">
        <v>200</v>
      </c>
      <c r="C45" s="254" t="s">
        <v>198</v>
      </c>
      <c r="D45" s="255">
        <v>55.6</v>
      </c>
      <c r="E45" s="256">
        <v>55.6</v>
      </c>
      <c r="F45" s="256">
        <v>55.6</v>
      </c>
      <c r="G45" s="255">
        <v>55.6</v>
      </c>
      <c r="H45" s="256">
        <v>55.6</v>
      </c>
      <c r="I45" s="256">
        <v>55.6</v>
      </c>
      <c r="J45" s="255">
        <v>55.6</v>
      </c>
      <c r="K45" s="256">
        <v>55.6</v>
      </c>
      <c r="L45" s="256">
        <v>55.6</v>
      </c>
      <c r="M45" s="255">
        <v>55.6</v>
      </c>
      <c r="N45" s="256">
        <v>55.6</v>
      </c>
      <c r="O45" s="256">
        <v>55.6</v>
      </c>
      <c r="P45" s="255">
        <v>55.6</v>
      </c>
      <c r="Q45" s="256">
        <v>55.6</v>
      </c>
      <c r="R45" s="256">
        <v>55.6</v>
      </c>
      <c r="S45" s="255">
        <v>55.6</v>
      </c>
      <c r="T45" s="256">
        <v>55.6</v>
      </c>
      <c r="U45" s="256">
        <v>55.6</v>
      </c>
      <c r="V45" s="255">
        <v>55.6</v>
      </c>
      <c r="W45" s="256">
        <v>55.6</v>
      </c>
      <c r="X45" s="256">
        <v>55.6</v>
      </c>
      <c r="Y45" s="255">
        <v>55.6</v>
      </c>
      <c r="Z45" s="256">
        <v>55.6</v>
      </c>
      <c r="AA45" s="256">
        <v>55.6</v>
      </c>
      <c r="AB45" s="255">
        <v>55.6</v>
      </c>
      <c r="AC45" s="256">
        <v>55.6</v>
      </c>
      <c r="AD45" s="256">
        <v>55.6</v>
      </c>
      <c r="AE45" s="255">
        <v>55.6</v>
      </c>
      <c r="AF45" s="256">
        <v>55.6</v>
      </c>
      <c r="AG45" s="256">
        <v>55.6</v>
      </c>
      <c r="AH45" s="255">
        <v>55.6</v>
      </c>
      <c r="AI45" s="256">
        <v>55.6</v>
      </c>
      <c r="AJ45" s="256">
        <v>55.6</v>
      </c>
      <c r="AK45" s="255">
        <v>55.2</v>
      </c>
      <c r="AL45" s="256">
        <v>55</v>
      </c>
      <c r="AM45" s="256">
        <v>55</v>
      </c>
      <c r="AN45" s="257">
        <f t="shared" si="4"/>
        <v>1999.9999999999991</v>
      </c>
    </row>
    <row r="46" spans="2:40" ht="20.100000000000001" customHeight="1" x14ac:dyDescent="0.15">
      <c r="B46" s="593"/>
      <c r="C46" s="250" t="s">
        <v>199</v>
      </c>
      <c r="D46" s="258">
        <v>55.6</v>
      </c>
      <c r="E46" s="63">
        <v>55.6</v>
      </c>
      <c r="F46" s="63">
        <v>55.6</v>
      </c>
      <c r="G46" s="258">
        <v>55.6</v>
      </c>
      <c r="H46" s="63">
        <v>55.6</v>
      </c>
      <c r="I46" s="63">
        <v>55.6</v>
      </c>
      <c r="J46" s="258">
        <v>55.6</v>
      </c>
      <c r="K46" s="63">
        <v>55.6</v>
      </c>
      <c r="L46" s="63">
        <v>55.6</v>
      </c>
      <c r="M46" s="258">
        <v>55.6</v>
      </c>
      <c r="N46" s="63">
        <v>55.6</v>
      </c>
      <c r="O46" s="63">
        <v>55.6</v>
      </c>
      <c r="P46" s="258">
        <v>55.6</v>
      </c>
      <c r="Q46" s="63">
        <v>55.6</v>
      </c>
      <c r="R46" s="63">
        <v>55.6</v>
      </c>
      <c r="S46" s="258">
        <v>55.6</v>
      </c>
      <c r="T46" s="63">
        <v>55.6</v>
      </c>
      <c r="U46" s="63">
        <v>55.6</v>
      </c>
      <c r="V46" s="258">
        <v>55.6</v>
      </c>
      <c r="W46" s="63">
        <v>55.6</v>
      </c>
      <c r="X46" s="63">
        <v>55.6</v>
      </c>
      <c r="Y46" s="258">
        <v>55.6</v>
      </c>
      <c r="Z46" s="63">
        <v>55.6</v>
      </c>
      <c r="AA46" s="63">
        <v>55.6</v>
      </c>
      <c r="AB46" s="258">
        <v>55.6</v>
      </c>
      <c r="AC46" s="63">
        <v>55.6</v>
      </c>
      <c r="AD46" s="63">
        <v>55.6</v>
      </c>
      <c r="AE46" s="258">
        <v>55.6</v>
      </c>
      <c r="AF46" s="63">
        <v>55.6</v>
      </c>
      <c r="AG46" s="63">
        <v>55.6</v>
      </c>
      <c r="AH46" s="258">
        <v>55.6</v>
      </c>
      <c r="AI46" s="63">
        <v>55.6</v>
      </c>
      <c r="AJ46" s="63">
        <v>55.6</v>
      </c>
      <c r="AK46" s="258">
        <v>55.2</v>
      </c>
      <c r="AL46" s="63">
        <v>55</v>
      </c>
      <c r="AM46" s="63">
        <v>55</v>
      </c>
      <c r="AN46" s="64">
        <f t="shared" si="4"/>
        <v>1999.9999999999991</v>
      </c>
    </row>
    <row r="47" spans="2:40" ht="20.100000000000001" customHeight="1" x14ac:dyDescent="0.15">
      <c r="B47" s="593"/>
      <c r="C47" s="250" t="s">
        <v>299</v>
      </c>
      <c r="D47" s="258">
        <v>27.8</v>
      </c>
      <c r="E47" s="63">
        <v>27.8</v>
      </c>
      <c r="F47" s="63">
        <v>27.8</v>
      </c>
      <c r="G47" s="258">
        <v>27.8</v>
      </c>
      <c r="H47" s="63">
        <v>27.8</v>
      </c>
      <c r="I47" s="63">
        <v>27.8</v>
      </c>
      <c r="J47" s="258">
        <v>27.8</v>
      </c>
      <c r="K47" s="63">
        <v>27.8</v>
      </c>
      <c r="L47" s="63">
        <v>27.8</v>
      </c>
      <c r="M47" s="258">
        <v>27.8</v>
      </c>
      <c r="N47" s="63">
        <v>27.8</v>
      </c>
      <c r="O47" s="63">
        <v>27.8</v>
      </c>
      <c r="P47" s="258">
        <v>27.8</v>
      </c>
      <c r="Q47" s="63">
        <v>27.8</v>
      </c>
      <c r="R47" s="63">
        <v>27.8</v>
      </c>
      <c r="S47" s="258">
        <v>27.8</v>
      </c>
      <c r="T47" s="63">
        <v>27.8</v>
      </c>
      <c r="U47" s="63">
        <v>27.8</v>
      </c>
      <c r="V47" s="258">
        <v>27.8</v>
      </c>
      <c r="W47" s="63">
        <v>27.8</v>
      </c>
      <c r="X47" s="63">
        <v>27.8</v>
      </c>
      <c r="Y47" s="258">
        <v>27.8</v>
      </c>
      <c r="Z47" s="63">
        <v>27.8</v>
      </c>
      <c r="AA47" s="63">
        <v>27.8</v>
      </c>
      <c r="AB47" s="258">
        <v>27.8</v>
      </c>
      <c r="AC47" s="63">
        <v>27.8</v>
      </c>
      <c r="AD47" s="63">
        <v>27.8</v>
      </c>
      <c r="AE47" s="258">
        <v>27.8</v>
      </c>
      <c r="AF47" s="63">
        <v>27.8</v>
      </c>
      <c r="AG47" s="63">
        <v>27.8</v>
      </c>
      <c r="AH47" s="258">
        <v>27.8</v>
      </c>
      <c r="AI47" s="63">
        <v>27.8</v>
      </c>
      <c r="AJ47" s="63">
        <v>27.8</v>
      </c>
      <c r="AK47" s="258">
        <v>27.8</v>
      </c>
      <c r="AL47" s="63">
        <v>27.8</v>
      </c>
      <c r="AM47" s="63">
        <v>27</v>
      </c>
      <c r="AN47" s="64">
        <f t="shared" si="4"/>
        <v>999.99999999999943</v>
      </c>
    </row>
    <row r="48" spans="2:40" ht="20.100000000000001" customHeight="1" x14ac:dyDescent="0.15">
      <c r="B48" s="593"/>
      <c r="C48" s="251"/>
      <c r="D48" s="258"/>
      <c r="E48" s="63"/>
      <c r="F48" s="63"/>
      <c r="G48" s="258"/>
      <c r="H48" s="63"/>
      <c r="I48" s="63"/>
      <c r="J48" s="258"/>
      <c r="K48" s="63"/>
      <c r="L48" s="63"/>
      <c r="M48" s="258"/>
      <c r="N48" s="63"/>
      <c r="O48" s="63"/>
      <c r="P48" s="258"/>
      <c r="Q48" s="63"/>
      <c r="R48" s="63"/>
      <c r="S48" s="258"/>
      <c r="T48" s="63"/>
      <c r="U48" s="63"/>
      <c r="V48" s="258"/>
      <c r="W48" s="63"/>
      <c r="X48" s="63"/>
      <c r="Y48" s="258"/>
      <c r="Z48" s="63"/>
      <c r="AA48" s="63"/>
      <c r="AB48" s="258"/>
      <c r="AC48" s="63"/>
      <c r="AD48" s="63"/>
      <c r="AE48" s="258"/>
      <c r="AF48" s="63"/>
      <c r="AG48" s="63"/>
      <c r="AH48" s="258"/>
      <c r="AI48" s="63"/>
      <c r="AJ48" s="63"/>
      <c r="AK48" s="258"/>
      <c r="AL48" s="63"/>
      <c r="AM48" s="63"/>
      <c r="AN48" s="64">
        <f t="shared" ref="AN48:AN50" si="5">SUM(D48:AM48)</f>
        <v>0</v>
      </c>
    </row>
    <row r="49" spans="2:40" ht="20.100000000000001" customHeight="1" thickBot="1" x14ac:dyDescent="0.2">
      <c r="B49" s="594"/>
      <c r="C49" s="262" t="s">
        <v>203</v>
      </c>
      <c r="D49" s="259">
        <f>SUM(D45:D48)</f>
        <v>139</v>
      </c>
      <c r="E49" s="260">
        <f t="shared" ref="E49:AM49" si="6">SUM(E45:E48)</f>
        <v>139</v>
      </c>
      <c r="F49" s="260">
        <f t="shared" si="6"/>
        <v>139</v>
      </c>
      <c r="G49" s="259">
        <f t="shared" si="6"/>
        <v>139</v>
      </c>
      <c r="H49" s="260">
        <f t="shared" si="6"/>
        <v>139</v>
      </c>
      <c r="I49" s="260">
        <f t="shared" si="6"/>
        <v>139</v>
      </c>
      <c r="J49" s="259">
        <f t="shared" si="6"/>
        <v>139</v>
      </c>
      <c r="K49" s="260">
        <f t="shared" si="6"/>
        <v>139</v>
      </c>
      <c r="L49" s="260">
        <f t="shared" si="6"/>
        <v>139</v>
      </c>
      <c r="M49" s="259">
        <f t="shared" si="6"/>
        <v>139</v>
      </c>
      <c r="N49" s="260">
        <f t="shared" si="6"/>
        <v>139</v>
      </c>
      <c r="O49" s="260">
        <f t="shared" si="6"/>
        <v>139</v>
      </c>
      <c r="P49" s="259">
        <f t="shared" si="6"/>
        <v>139</v>
      </c>
      <c r="Q49" s="260">
        <f t="shared" si="6"/>
        <v>139</v>
      </c>
      <c r="R49" s="260">
        <f t="shared" si="6"/>
        <v>139</v>
      </c>
      <c r="S49" s="259">
        <f t="shared" si="6"/>
        <v>139</v>
      </c>
      <c r="T49" s="260">
        <f t="shared" si="6"/>
        <v>139</v>
      </c>
      <c r="U49" s="260">
        <f t="shared" si="6"/>
        <v>139</v>
      </c>
      <c r="V49" s="259">
        <f t="shared" si="6"/>
        <v>139</v>
      </c>
      <c r="W49" s="260">
        <f t="shared" si="6"/>
        <v>139</v>
      </c>
      <c r="X49" s="260">
        <f t="shared" si="6"/>
        <v>139</v>
      </c>
      <c r="Y49" s="259">
        <f t="shared" si="6"/>
        <v>139</v>
      </c>
      <c r="Z49" s="260">
        <f t="shared" si="6"/>
        <v>139</v>
      </c>
      <c r="AA49" s="260">
        <f t="shared" si="6"/>
        <v>139</v>
      </c>
      <c r="AB49" s="259">
        <f t="shared" si="6"/>
        <v>139</v>
      </c>
      <c r="AC49" s="260">
        <f t="shared" si="6"/>
        <v>139</v>
      </c>
      <c r="AD49" s="260">
        <f t="shared" si="6"/>
        <v>139</v>
      </c>
      <c r="AE49" s="259">
        <f t="shared" si="6"/>
        <v>139</v>
      </c>
      <c r="AF49" s="260">
        <f t="shared" si="6"/>
        <v>139</v>
      </c>
      <c r="AG49" s="260">
        <f t="shared" si="6"/>
        <v>139</v>
      </c>
      <c r="AH49" s="259">
        <f t="shared" si="6"/>
        <v>139</v>
      </c>
      <c r="AI49" s="260">
        <f t="shared" si="6"/>
        <v>139</v>
      </c>
      <c r="AJ49" s="260">
        <f t="shared" si="6"/>
        <v>139</v>
      </c>
      <c r="AK49" s="259">
        <f t="shared" si="6"/>
        <v>138.20000000000002</v>
      </c>
      <c r="AL49" s="260">
        <f t="shared" si="6"/>
        <v>137.80000000000001</v>
      </c>
      <c r="AM49" s="260">
        <f t="shared" si="6"/>
        <v>137</v>
      </c>
      <c r="AN49" s="261">
        <f t="shared" si="5"/>
        <v>5000</v>
      </c>
    </row>
    <row r="50" spans="2:40" ht="20.100000000000001" customHeight="1" thickTop="1" x14ac:dyDescent="0.15">
      <c r="B50" s="579" t="s">
        <v>204</v>
      </c>
      <c r="C50" s="580"/>
      <c r="D50" s="263">
        <f>D49-D43</f>
        <v>-29</v>
      </c>
      <c r="E50" s="264">
        <f t="shared" ref="E50:AM50" si="7">E49-E43</f>
        <v>-61</v>
      </c>
      <c r="F50" s="264">
        <f t="shared" si="7"/>
        <v>-141</v>
      </c>
      <c r="G50" s="263">
        <f t="shared" si="7"/>
        <v>-93</v>
      </c>
      <c r="H50" s="264">
        <f t="shared" si="7"/>
        <v>-117</v>
      </c>
      <c r="I50" s="264">
        <f t="shared" si="7"/>
        <v>-61</v>
      </c>
      <c r="J50" s="263">
        <f t="shared" si="7"/>
        <v>-93</v>
      </c>
      <c r="K50" s="264">
        <f t="shared" si="7"/>
        <v>-85</v>
      </c>
      <c r="L50" s="264">
        <f t="shared" si="7"/>
        <v>-141</v>
      </c>
      <c r="M50" s="263">
        <f t="shared" si="7"/>
        <v>-117</v>
      </c>
      <c r="N50" s="264">
        <f t="shared" si="7"/>
        <v>-85</v>
      </c>
      <c r="O50" s="264">
        <f t="shared" si="7"/>
        <v>-117</v>
      </c>
      <c r="P50" s="263">
        <f t="shared" si="7"/>
        <v>-61</v>
      </c>
      <c r="Q50" s="264">
        <f t="shared" si="7"/>
        <v>-85</v>
      </c>
      <c r="R50" s="264">
        <f t="shared" si="7"/>
        <v>-141</v>
      </c>
      <c r="S50" s="263">
        <f t="shared" si="7"/>
        <v>-117</v>
      </c>
      <c r="T50" s="264">
        <f t="shared" si="7"/>
        <v>-117</v>
      </c>
      <c r="U50" s="264">
        <f t="shared" si="7"/>
        <v>-117</v>
      </c>
      <c r="V50" s="263">
        <f t="shared" si="7"/>
        <v>-85</v>
      </c>
      <c r="W50" s="264">
        <f t="shared" si="7"/>
        <v>-117</v>
      </c>
      <c r="X50" s="264">
        <f t="shared" si="7"/>
        <v>-141</v>
      </c>
      <c r="Y50" s="263">
        <f t="shared" si="7"/>
        <v>-85</v>
      </c>
      <c r="Z50" s="264">
        <f t="shared" si="7"/>
        <v>-85</v>
      </c>
      <c r="AA50" s="264">
        <f t="shared" si="7"/>
        <v>-141</v>
      </c>
      <c r="AB50" s="263">
        <f t="shared" si="7"/>
        <v>-117</v>
      </c>
      <c r="AC50" s="264">
        <f t="shared" si="7"/>
        <v>-85</v>
      </c>
      <c r="AD50" s="264">
        <f t="shared" si="7"/>
        <v>-117</v>
      </c>
      <c r="AE50" s="263">
        <f t="shared" si="7"/>
        <v>-85</v>
      </c>
      <c r="AF50" s="264">
        <f t="shared" si="7"/>
        <v>-117</v>
      </c>
      <c r="AG50" s="264">
        <f t="shared" si="7"/>
        <v>-141</v>
      </c>
      <c r="AH50" s="263">
        <f t="shared" si="7"/>
        <v>-117</v>
      </c>
      <c r="AI50" s="265">
        <f t="shared" si="7"/>
        <v>-85</v>
      </c>
      <c r="AJ50" s="264">
        <f t="shared" si="7"/>
        <v>-85</v>
      </c>
      <c r="AK50" s="263">
        <f t="shared" si="7"/>
        <v>-117.79999999999998</v>
      </c>
      <c r="AL50" s="264">
        <f t="shared" si="7"/>
        <v>-86.199999999999989</v>
      </c>
      <c r="AM50" s="264">
        <f t="shared" si="7"/>
        <v>-119</v>
      </c>
      <c r="AN50" s="257">
        <f t="shared" si="5"/>
        <v>-3704</v>
      </c>
    </row>
    <row r="51" spans="2:40" ht="20.100000000000001" customHeight="1" thickBot="1" x14ac:dyDescent="0.2">
      <c r="B51" s="581" t="s">
        <v>201</v>
      </c>
      <c r="C51" s="582"/>
      <c r="D51" s="396">
        <v>29</v>
      </c>
      <c r="E51" s="397">
        <v>61</v>
      </c>
      <c r="F51" s="397">
        <v>141</v>
      </c>
      <c r="G51" s="396">
        <v>93</v>
      </c>
      <c r="H51" s="397">
        <v>117</v>
      </c>
      <c r="I51" s="397">
        <v>61</v>
      </c>
      <c r="J51" s="396">
        <v>93</v>
      </c>
      <c r="K51" s="397">
        <v>85</v>
      </c>
      <c r="L51" s="397">
        <v>141</v>
      </c>
      <c r="M51" s="396">
        <v>117</v>
      </c>
      <c r="N51" s="397">
        <v>85</v>
      </c>
      <c r="O51" s="397">
        <v>117</v>
      </c>
      <c r="P51" s="396">
        <v>61</v>
      </c>
      <c r="Q51" s="397">
        <v>85</v>
      </c>
      <c r="R51" s="397">
        <v>141</v>
      </c>
      <c r="S51" s="396">
        <v>117</v>
      </c>
      <c r="T51" s="397">
        <v>117</v>
      </c>
      <c r="U51" s="397">
        <v>117</v>
      </c>
      <c r="V51" s="396">
        <v>85</v>
      </c>
      <c r="W51" s="397">
        <v>117</v>
      </c>
      <c r="X51" s="397">
        <v>141</v>
      </c>
      <c r="Y51" s="396">
        <v>85</v>
      </c>
      <c r="Z51" s="397">
        <v>85</v>
      </c>
      <c r="AA51" s="397">
        <v>141</v>
      </c>
      <c r="AB51" s="396">
        <v>117</v>
      </c>
      <c r="AC51" s="397">
        <v>85</v>
      </c>
      <c r="AD51" s="397">
        <v>117</v>
      </c>
      <c r="AE51" s="396">
        <v>85</v>
      </c>
      <c r="AF51" s="397">
        <v>117</v>
      </c>
      <c r="AG51" s="397">
        <v>141</v>
      </c>
      <c r="AH51" s="396">
        <v>117</v>
      </c>
      <c r="AI51" s="397">
        <v>85</v>
      </c>
      <c r="AJ51" s="397">
        <v>85</v>
      </c>
      <c r="AK51" s="396">
        <v>117.8</v>
      </c>
      <c r="AL51" s="397">
        <v>86.2</v>
      </c>
      <c r="AM51" s="397">
        <v>119</v>
      </c>
      <c r="AN51" s="365">
        <f>SUM(D51:AM51)</f>
        <v>3704</v>
      </c>
    </row>
  </sheetData>
  <mergeCells count="61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S41:U41"/>
    <mergeCell ref="B35:C35"/>
    <mergeCell ref="B41:C42"/>
    <mergeCell ref="D41:F41"/>
    <mergeCell ref="B32:C32"/>
    <mergeCell ref="B33:C33"/>
    <mergeCell ref="B34:C34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</mergeCells>
  <phoneticPr fontId="4"/>
  <pageMargins left="0.78740157480314965" right="0.78740157480314965" top="0.78740157480314965" bottom="0.78740157480314965" header="0.39370078740157483" footer="0.39370078740157483"/>
  <pageSetup paperSize="9" scale="5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zoomScale="75" zoomScaleNormal="75" zoomScaleSheetLayoutView="75" workbookViewId="0">
      <selection activeCell="T18" sqref="T18"/>
    </sheetView>
  </sheetViews>
  <sheetFormatPr defaultRowHeight="13.5" x14ac:dyDescent="0.15"/>
  <cols>
    <col min="1" max="1" width="1.625" style="31" customWidth="1"/>
    <col min="2" max="2" width="5" style="31" customWidth="1"/>
    <col min="3" max="3" width="22.5" style="31" bestFit="1" customWidth="1"/>
    <col min="4" max="4" width="30" style="31" bestFit="1" customWidth="1"/>
    <col min="5" max="6" width="6" style="31" bestFit="1" customWidth="1"/>
    <col min="7" max="7" width="17.625" style="31" customWidth="1"/>
    <col min="8" max="8" width="10.625" style="31" customWidth="1"/>
    <col min="9" max="9" width="17.625" style="31" customWidth="1"/>
    <col min="10" max="10" width="10.625" style="31" customWidth="1"/>
    <col min="11" max="11" width="15.125" style="32" bestFit="1" customWidth="1"/>
    <col min="12" max="12" width="17.625" style="31" customWidth="1"/>
    <col min="13" max="13" width="10.625" style="31" customWidth="1"/>
    <col min="14" max="14" width="17.625" style="31" customWidth="1"/>
    <col min="15" max="15" width="10.625" style="31" customWidth="1"/>
    <col min="16" max="16" width="19.75" style="31" bestFit="1" customWidth="1"/>
    <col min="17" max="17" width="9" style="31"/>
    <col min="18" max="18" width="0" style="31" hidden="1" customWidth="1"/>
    <col min="19" max="16384" width="9" style="31"/>
  </cols>
  <sheetData>
    <row r="1" spans="2:18" ht="9.9499999999999993" customHeight="1" x14ac:dyDescent="0.15"/>
    <row r="2" spans="2:18" ht="24.95" customHeight="1" thickBot="1" x14ac:dyDescent="0.2">
      <c r="B2" s="5" t="s">
        <v>210</v>
      </c>
      <c r="C2" s="5"/>
      <c r="D2" s="5"/>
      <c r="E2" s="33"/>
      <c r="F2" s="611"/>
      <c r="G2" s="612"/>
      <c r="H2" s="270" t="s">
        <v>192</v>
      </c>
      <c r="I2" s="71" t="s">
        <v>377</v>
      </c>
      <c r="J2" s="245"/>
      <c r="K2" s="270" t="s">
        <v>193</v>
      </c>
      <c r="L2" s="71" t="s">
        <v>297</v>
      </c>
      <c r="M2" s="34"/>
      <c r="P2" s="267"/>
    </row>
    <row r="3" spans="2:18" ht="20.100000000000001" customHeight="1" x14ac:dyDescent="0.15">
      <c r="B3" s="613" t="s">
        <v>69</v>
      </c>
      <c r="C3" s="606" t="s">
        <v>33</v>
      </c>
      <c r="D3" s="606" t="s">
        <v>99</v>
      </c>
      <c r="E3" s="615" t="s">
        <v>34</v>
      </c>
      <c r="F3" s="616"/>
      <c r="G3" s="268" t="s">
        <v>35</v>
      </c>
      <c r="H3" s="268" t="s">
        <v>101</v>
      </c>
      <c r="I3" s="268" t="s">
        <v>100</v>
      </c>
      <c r="J3" s="606" t="s">
        <v>74</v>
      </c>
      <c r="K3" s="35" t="s">
        <v>211</v>
      </c>
      <c r="L3" s="268" t="s">
        <v>36</v>
      </c>
      <c r="M3" s="268" t="s">
        <v>102</v>
      </c>
      <c r="N3" s="268" t="s">
        <v>37</v>
      </c>
      <c r="O3" s="268" t="s">
        <v>38</v>
      </c>
      <c r="P3" s="316" t="s">
        <v>39</v>
      </c>
    </row>
    <row r="4" spans="2:18" ht="20.100000000000001" customHeight="1" x14ac:dyDescent="0.15">
      <c r="B4" s="614"/>
      <c r="C4" s="607"/>
      <c r="D4" s="607"/>
      <c r="E4" s="7" t="s">
        <v>75</v>
      </c>
      <c r="F4" s="7" t="s">
        <v>7</v>
      </c>
      <c r="G4" s="8" t="s">
        <v>212</v>
      </c>
      <c r="H4" s="8" t="s">
        <v>213</v>
      </c>
      <c r="I4" s="8" t="s">
        <v>104</v>
      </c>
      <c r="J4" s="607"/>
      <c r="K4" s="9" t="s">
        <v>214</v>
      </c>
      <c r="L4" s="8" t="s">
        <v>383</v>
      </c>
      <c r="M4" s="8" t="s">
        <v>215</v>
      </c>
      <c r="N4" s="8" t="s">
        <v>384</v>
      </c>
      <c r="O4" s="8" t="s">
        <v>216</v>
      </c>
      <c r="P4" s="317" t="s">
        <v>385</v>
      </c>
    </row>
    <row r="5" spans="2:18" ht="20.100000000000001" customHeight="1" x14ac:dyDescent="0.15">
      <c r="B5" s="608" t="s">
        <v>146</v>
      </c>
      <c r="C5" s="271" t="s">
        <v>259</v>
      </c>
      <c r="D5" s="271" t="s">
        <v>287</v>
      </c>
      <c r="E5" s="271">
        <v>8000</v>
      </c>
      <c r="F5" s="36" t="s">
        <v>209</v>
      </c>
      <c r="G5" s="271">
        <f>6800000*8</f>
        <v>54400000</v>
      </c>
      <c r="H5" s="272">
        <v>0.5</v>
      </c>
      <c r="I5" s="271">
        <f>G5*(1-H5)</f>
        <v>27200000</v>
      </c>
      <c r="J5" s="271" t="s">
        <v>312</v>
      </c>
      <c r="K5" s="273">
        <f>10/80</f>
        <v>0.125</v>
      </c>
      <c r="L5" s="30">
        <f>I5*K5</f>
        <v>3400000</v>
      </c>
      <c r="M5" s="39">
        <v>0</v>
      </c>
      <c r="N5" s="30">
        <f t="shared" ref="N5" si="0">L5*M5/100</f>
        <v>0</v>
      </c>
      <c r="O5" s="30">
        <v>14</v>
      </c>
      <c r="P5" s="122">
        <f>IF(O5="","",(L5-N5)/O5)</f>
        <v>242857.14285714287</v>
      </c>
      <c r="R5" s="31">
        <v>10</v>
      </c>
    </row>
    <row r="6" spans="2:18" ht="20.100000000000001" customHeight="1" x14ac:dyDescent="0.15">
      <c r="B6" s="609"/>
      <c r="C6" s="271"/>
      <c r="D6" s="271"/>
      <c r="E6" s="271"/>
      <c r="F6" s="36"/>
      <c r="G6" s="271"/>
      <c r="H6" s="272"/>
      <c r="I6" s="271"/>
      <c r="J6" s="271"/>
      <c r="K6" s="273"/>
      <c r="L6" s="30"/>
      <c r="M6" s="39"/>
      <c r="N6" s="30"/>
      <c r="O6" s="30"/>
      <c r="P6" s="122" t="str">
        <f t="shared" ref="P6:P11" si="1">IF(O6="","",(L6-N6)/O6)</f>
        <v/>
      </c>
    </row>
    <row r="7" spans="2:18" ht="20.100000000000001" customHeight="1" x14ac:dyDescent="0.15">
      <c r="B7" s="609"/>
      <c r="C7" s="271"/>
      <c r="D7" s="271"/>
      <c r="E7" s="271"/>
      <c r="F7" s="36"/>
      <c r="G7" s="271"/>
      <c r="H7" s="272"/>
      <c r="I7" s="271"/>
      <c r="J7" s="271"/>
      <c r="K7" s="273"/>
      <c r="L7" s="30"/>
      <c r="M7" s="39"/>
      <c r="N7" s="30"/>
      <c r="O7" s="30"/>
      <c r="P7" s="122" t="str">
        <f t="shared" si="1"/>
        <v/>
      </c>
    </row>
    <row r="8" spans="2:18" ht="20.100000000000001" customHeight="1" x14ac:dyDescent="0.15">
      <c r="B8" s="609"/>
      <c r="C8" s="271"/>
      <c r="D8" s="271"/>
      <c r="E8" s="274"/>
      <c r="F8" s="36"/>
      <c r="G8" s="271"/>
      <c r="H8" s="272"/>
      <c r="I8" s="271"/>
      <c r="J8" s="271"/>
      <c r="K8" s="273"/>
      <c r="L8" s="30"/>
      <c r="M8" s="39"/>
      <c r="N8" s="30"/>
      <c r="O8" s="30"/>
      <c r="P8" s="122" t="str">
        <f t="shared" si="1"/>
        <v/>
      </c>
    </row>
    <row r="9" spans="2:18" ht="20.100000000000001" customHeight="1" x14ac:dyDescent="0.15">
      <c r="B9" s="609"/>
      <c r="C9" s="271"/>
      <c r="D9" s="271"/>
      <c r="E9" s="274"/>
      <c r="F9" s="36"/>
      <c r="G9" s="271"/>
      <c r="H9" s="272"/>
      <c r="I9" s="271"/>
      <c r="J9" s="271"/>
      <c r="K9" s="273"/>
      <c r="L9" s="30"/>
      <c r="M9" s="39"/>
      <c r="N9" s="30"/>
      <c r="O9" s="30"/>
      <c r="P9" s="122" t="str">
        <f t="shared" ref="P9:P10" si="2">IF(O9="","",(L9-N9)/O9)</f>
        <v/>
      </c>
    </row>
    <row r="10" spans="2:18" ht="20.100000000000001" customHeight="1" x14ac:dyDescent="0.15">
      <c r="B10" s="609"/>
      <c r="C10" s="271"/>
      <c r="D10" s="271"/>
      <c r="E10" s="274"/>
      <c r="F10" s="36"/>
      <c r="G10" s="271"/>
      <c r="H10" s="272"/>
      <c r="I10" s="271"/>
      <c r="J10" s="271"/>
      <c r="K10" s="273"/>
      <c r="L10" s="30"/>
      <c r="M10" s="39"/>
      <c r="N10" s="30"/>
      <c r="O10" s="30"/>
      <c r="P10" s="122" t="str">
        <f t="shared" si="2"/>
        <v/>
      </c>
    </row>
    <row r="11" spans="2:18" ht="20.100000000000001" customHeight="1" x14ac:dyDescent="0.15">
      <c r="B11" s="609"/>
      <c r="C11" s="30"/>
      <c r="D11" s="30"/>
      <c r="E11" s="30"/>
      <c r="F11" s="37"/>
      <c r="G11" s="30"/>
      <c r="H11" s="39"/>
      <c r="I11" s="30"/>
      <c r="J11" s="30"/>
      <c r="K11" s="38"/>
      <c r="L11" s="30"/>
      <c r="M11" s="39"/>
      <c r="N11" s="30"/>
      <c r="O11" s="30"/>
      <c r="P11" s="122" t="str">
        <f t="shared" si="1"/>
        <v/>
      </c>
    </row>
    <row r="12" spans="2:18" ht="20.100000000000001" customHeight="1" x14ac:dyDescent="0.15">
      <c r="B12" s="610"/>
      <c r="C12" s="40" t="s">
        <v>40</v>
      </c>
      <c r="D12" s="41"/>
      <c r="E12" s="41"/>
      <c r="F12" s="42"/>
      <c r="G12" s="41">
        <f>SUM(G5:G11)</f>
        <v>54400000</v>
      </c>
      <c r="H12" s="41"/>
      <c r="I12" s="41">
        <f>SUM(I5:I11)</f>
        <v>27200000</v>
      </c>
      <c r="J12" s="41"/>
      <c r="K12" s="43"/>
      <c r="L12" s="41">
        <f>SUM(L5:L11)</f>
        <v>3400000</v>
      </c>
      <c r="M12" s="41"/>
      <c r="N12" s="41"/>
      <c r="O12" s="41"/>
      <c r="P12" s="318">
        <f>SUM(P5:P11)</f>
        <v>242857.14285714287</v>
      </c>
    </row>
    <row r="13" spans="2:18" ht="20.100000000000001" customHeight="1" x14ac:dyDescent="0.15">
      <c r="B13" s="608" t="s">
        <v>147</v>
      </c>
      <c r="C13" s="271" t="s">
        <v>260</v>
      </c>
      <c r="D13" s="271" t="s">
        <v>381</v>
      </c>
      <c r="E13" s="271">
        <v>8000</v>
      </c>
      <c r="F13" s="36" t="s">
        <v>209</v>
      </c>
      <c r="G13" s="271">
        <f>6000000*8</f>
        <v>48000000</v>
      </c>
      <c r="H13" s="272">
        <v>0.5</v>
      </c>
      <c r="I13" s="271">
        <f>G13*(1-H13)</f>
        <v>24000000</v>
      </c>
      <c r="J13" s="271" t="s">
        <v>312</v>
      </c>
      <c r="K13" s="273">
        <f>10/80</f>
        <v>0.125</v>
      </c>
      <c r="L13" s="271">
        <f>I13*K13</f>
        <v>3000000</v>
      </c>
      <c r="M13" s="44">
        <v>0</v>
      </c>
      <c r="N13" s="30">
        <f>L13*M13</f>
        <v>0</v>
      </c>
      <c r="O13" s="45">
        <v>14</v>
      </c>
      <c r="P13" s="122">
        <f t="shared" ref="P13:P29" si="3">IF(O13="","",(L13-N13)/O13)</f>
        <v>214285.71428571429</v>
      </c>
      <c r="R13" s="31">
        <v>7</v>
      </c>
    </row>
    <row r="14" spans="2:18" ht="20.100000000000001" customHeight="1" x14ac:dyDescent="0.15">
      <c r="B14" s="609"/>
      <c r="C14" s="271" t="s">
        <v>289</v>
      </c>
      <c r="D14" s="271" t="s">
        <v>290</v>
      </c>
      <c r="E14" s="271">
        <v>1</v>
      </c>
      <c r="F14" s="36" t="s">
        <v>42</v>
      </c>
      <c r="G14" s="271">
        <v>1500000</v>
      </c>
      <c r="H14" s="272">
        <v>0</v>
      </c>
      <c r="I14" s="271">
        <f>G14*(1-H14)</f>
        <v>1500000</v>
      </c>
      <c r="J14" s="271" t="s">
        <v>312</v>
      </c>
      <c r="K14" s="273">
        <f>10/80</f>
        <v>0.125</v>
      </c>
      <c r="L14" s="271">
        <f t="shared" ref="L14:L16" si="4">I14*K14</f>
        <v>187500</v>
      </c>
      <c r="M14" s="44">
        <v>0</v>
      </c>
      <c r="N14" s="30">
        <f t="shared" ref="N14" si="5">L14*M14</f>
        <v>0</v>
      </c>
      <c r="O14" s="45">
        <v>2</v>
      </c>
      <c r="P14" s="122">
        <f t="shared" si="3"/>
        <v>93750</v>
      </c>
    </row>
    <row r="15" spans="2:18" ht="20.100000000000001" customHeight="1" x14ac:dyDescent="0.15">
      <c r="B15" s="609"/>
      <c r="C15" s="271" t="s">
        <v>288</v>
      </c>
      <c r="D15" s="271" t="s">
        <v>322</v>
      </c>
      <c r="E15" s="271">
        <v>1</v>
      </c>
      <c r="F15" s="36" t="s">
        <v>42</v>
      </c>
      <c r="G15" s="271">
        <v>400000</v>
      </c>
      <c r="H15" s="272">
        <v>0</v>
      </c>
      <c r="I15" s="271">
        <f t="shared" ref="I15:I16" si="6">G15*(1-H15)</f>
        <v>400000</v>
      </c>
      <c r="J15" s="271" t="s">
        <v>312</v>
      </c>
      <c r="K15" s="273">
        <f>10/80</f>
        <v>0.125</v>
      </c>
      <c r="L15" s="271">
        <f t="shared" si="4"/>
        <v>50000</v>
      </c>
      <c r="M15" s="44">
        <v>0</v>
      </c>
      <c r="N15" s="30">
        <f t="shared" ref="N15:N16" si="7">L15*M15</f>
        <v>0</v>
      </c>
      <c r="O15" s="30">
        <v>7</v>
      </c>
      <c r="P15" s="122">
        <f t="shared" ref="P15:P16" si="8">IF(O15="","",(L15-N15)/O15)</f>
        <v>7142.8571428571431</v>
      </c>
    </row>
    <row r="16" spans="2:18" ht="20.100000000000001" customHeight="1" x14ac:dyDescent="0.15">
      <c r="B16" s="609"/>
      <c r="C16" s="10" t="s">
        <v>320</v>
      </c>
      <c r="D16" s="10"/>
      <c r="E16" s="271">
        <v>1</v>
      </c>
      <c r="F16" s="36" t="s">
        <v>42</v>
      </c>
      <c r="G16" s="271">
        <v>270000</v>
      </c>
      <c r="H16" s="272">
        <v>0</v>
      </c>
      <c r="I16" s="271">
        <f t="shared" si="6"/>
        <v>270000</v>
      </c>
      <c r="J16" s="271" t="s">
        <v>312</v>
      </c>
      <c r="K16" s="273">
        <f>10/80</f>
        <v>0.125</v>
      </c>
      <c r="L16" s="271">
        <f t="shared" si="4"/>
        <v>33750</v>
      </c>
      <c r="M16" s="44">
        <v>0</v>
      </c>
      <c r="N16" s="30">
        <f t="shared" si="7"/>
        <v>0</v>
      </c>
      <c r="O16" s="30">
        <v>7</v>
      </c>
      <c r="P16" s="122">
        <f t="shared" si="8"/>
        <v>4821.4285714285716</v>
      </c>
    </row>
    <row r="17" spans="2:16" ht="20.100000000000001" customHeight="1" x14ac:dyDescent="0.15">
      <c r="B17" s="609"/>
      <c r="C17" s="271"/>
      <c r="D17" s="271"/>
      <c r="E17" s="271"/>
      <c r="F17" s="36"/>
      <c r="G17" s="271"/>
      <c r="H17" s="272"/>
      <c r="I17" s="271"/>
      <c r="J17" s="271"/>
      <c r="K17" s="273"/>
      <c r="L17" s="271"/>
      <c r="M17" s="39"/>
      <c r="N17" s="30"/>
      <c r="O17" s="30"/>
      <c r="P17" s="122" t="str">
        <f t="shared" si="3"/>
        <v/>
      </c>
    </row>
    <row r="18" spans="2:16" ht="20.100000000000001" customHeight="1" x14ac:dyDescent="0.15">
      <c r="B18" s="609"/>
      <c r="C18" s="271"/>
      <c r="D18" s="271"/>
      <c r="E18" s="271"/>
      <c r="F18" s="36"/>
      <c r="G18" s="271"/>
      <c r="H18" s="272"/>
      <c r="I18" s="271"/>
      <c r="J18" s="271"/>
      <c r="K18" s="273"/>
      <c r="L18" s="271"/>
      <c r="M18" s="39"/>
      <c r="N18" s="30"/>
      <c r="O18" s="30"/>
      <c r="P18" s="122" t="str">
        <f t="shared" si="3"/>
        <v/>
      </c>
    </row>
    <row r="19" spans="2:16" ht="20.100000000000001" customHeight="1" x14ac:dyDescent="0.15">
      <c r="B19" s="609"/>
      <c r="C19" s="271"/>
      <c r="D19" s="271"/>
      <c r="E19" s="271"/>
      <c r="F19" s="36"/>
      <c r="G19" s="271"/>
      <c r="H19" s="272"/>
      <c r="I19" s="271"/>
      <c r="J19" s="271"/>
      <c r="K19" s="273"/>
      <c r="L19" s="271"/>
      <c r="M19" s="39"/>
      <c r="N19" s="30"/>
      <c r="O19" s="30"/>
      <c r="P19" s="122" t="str">
        <f t="shared" si="3"/>
        <v/>
      </c>
    </row>
    <row r="20" spans="2:16" ht="20.100000000000001" customHeight="1" x14ac:dyDescent="0.15">
      <c r="B20" s="609"/>
      <c r="C20" s="271"/>
      <c r="D20" s="271"/>
      <c r="E20" s="271"/>
      <c r="F20" s="36"/>
      <c r="G20" s="271"/>
      <c r="H20" s="272"/>
      <c r="I20" s="271"/>
      <c r="J20" s="271"/>
      <c r="K20" s="273"/>
      <c r="L20" s="271"/>
      <c r="M20" s="39"/>
      <c r="N20" s="30"/>
      <c r="O20" s="30"/>
      <c r="P20" s="122" t="str">
        <f t="shared" si="3"/>
        <v/>
      </c>
    </row>
    <row r="21" spans="2:16" ht="20.100000000000001" customHeight="1" x14ac:dyDescent="0.15">
      <c r="B21" s="609"/>
      <c r="C21" s="271"/>
      <c r="D21" s="271"/>
      <c r="E21" s="271"/>
      <c r="F21" s="36"/>
      <c r="G21" s="271"/>
      <c r="H21" s="272"/>
      <c r="I21" s="271"/>
      <c r="J21" s="271"/>
      <c r="K21" s="273"/>
      <c r="L21" s="271"/>
      <c r="M21" s="39"/>
      <c r="N21" s="30"/>
      <c r="O21" s="30"/>
      <c r="P21" s="122" t="str">
        <f t="shared" si="3"/>
        <v/>
      </c>
    </row>
    <row r="22" spans="2:16" ht="20.100000000000001" customHeight="1" x14ac:dyDescent="0.15">
      <c r="B22" s="609"/>
      <c r="C22" s="271"/>
      <c r="D22" s="271"/>
      <c r="E22" s="271"/>
      <c r="F22" s="36"/>
      <c r="G22" s="271"/>
      <c r="H22" s="272"/>
      <c r="I22" s="271"/>
      <c r="J22" s="271"/>
      <c r="K22" s="273"/>
      <c r="L22" s="271"/>
      <c r="M22" s="39"/>
      <c r="N22" s="30"/>
      <c r="O22" s="30"/>
      <c r="P22" s="122" t="str">
        <f t="shared" si="3"/>
        <v/>
      </c>
    </row>
    <row r="23" spans="2:16" ht="20.100000000000001" customHeight="1" x14ac:dyDescent="0.15">
      <c r="B23" s="609"/>
      <c r="C23" s="271"/>
      <c r="D23" s="271"/>
      <c r="E23" s="271"/>
      <c r="F23" s="36"/>
      <c r="G23" s="271"/>
      <c r="H23" s="272"/>
      <c r="I23" s="271"/>
      <c r="J23" s="271"/>
      <c r="K23" s="273"/>
      <c r="L23" s="271"/>
      <c r="M23" s="39"/>
      <c r="N23" s="30"/>
      <c r="O23" s="30"/>
      <c r="P23" s="122" t="str">
        <f t="shared" si="3"/>
        <v/>
      </c>
    </row>
    <row r="24" spans="2:16" ht="20.100000000000001" customHeight="1" x14ac:dyDescent="0.15">
      <c r="B24" s="609"/>
      <c r="C24" s="271"/>
      <c r="D24" s="271"/>
      <c r="E24" s="271"/>
      <c r="F24" s="36"/>
      <c r="G24" s="271"/>
      <c r="H24" s="272"/>
      <c r="I24" s="271"/>
      <c r="J24" s="271"/>
      <c r="K24" s="273"/>
      <c r="L24" s="271"/>
      <c r="M24" s="39"/>
      <c r="N24" s="30"/>
      <c r="O24" s="30"/>
      <c r="P24" s="122" t="str">
        <f t="shared" si="3"/>
        <v/>
      </c>
    </row>
    <row r="25" spans="2:16" ht="20.100000000000001" customHeight="1" x14ac:dyDescent="0.15">
      <c r="B25" s="609"/>
      <c r="C25" s="271"/>
      <c r="D25" s="271"/>
      <c r="E25" s="271"/>
      <c r="F25" s="36"/>
      <c r="G25" s="271"/>
      <c r="H25" s="272"/>
      <c r="I25" s="271"/>
      <c r="J25" s="271"/>
      <c r="K25" s="273"/>
      <c r="L25" s="271"/>
      <c r="M25" s="39"/>
      <c r="N25" s="30"/>
      <c r="O25" s="30"/>
      <c r="P25" s="122" t="str">
        <f t="shared" si="3"/>
        <v/>
      </c>
    </row>
    <row r="26" spans="2:16" ht="20.100000000000001" customHeight="1" x14ac:dyDescent="0.15">
      <c r="B26" s="609"/>
      <c r="C26" s="271"/>
      <c r="D26" s="271"/>
      <c r="E26" s="271"/>
      <c r="F26" s="36"/>
      <c r="G26" s="271"/>
      <c r="H26" s="272"/>
      <c r="I26" s="271"/>
      <c r="J26" s="271"/>
      <c r="K26" s="273"/>
      <c r="L26" s="271"/>
      <c r="M26" s="39"/>
      <c r="N26" s="30"/>
      <c r="O26" s="30"/>
      <c r="P26" s="122" t="str">
        <f t="shared" ref="P26:P27" si="9">IF(O26="","",(L26-N26)/O26)</f>
        <v/>
      </c>
    </row>
    <row r="27" spans="2:16" ht="20.100000000000001" customHeight="1" x14ac:dyDescent="0.15">
      <c r="B27" s="609"/>
      <c r="C27" s="271"/>
      <c r="D27" s="271"/>
      <c r="E27" s="271"/>
      <c r="F27" s="36"/>
      <c r="G27" s="271"/>
      <c r="H27" s="272"/>
      <c r="I27" s="271"/>
      <c r="J27" s="271"/>
      <c r="K27" s="273"/>
      <c r="L27" s="271"/>
      <c r="M27" s="39"/>
      <c r="N27" s="30"/>
      <c r="O27" s="30"/>
      <c r="P27" s="122" t="str">
        <f t="shared" si="9"/>
        <v/>
      </c>
    </row>
    <row r="28" spans="2:16" ht="20.100000000000001" customHeight="1" x14ac:dyDescent="0.15">
      <c r="B28" s="609"/>
      <c r="C28" s="271"/>
      <c r="D28" s="271"/>
      <c r="E28" s="271"/>
      <c r="F28" s="36"/>
      <c r="G28" s="271"/>
      <c r="H28" s="272"/>
      <c r="I28" s="271"/>
      <c r="J28" s="271"/>
      <c r="K28" s="273"/>
      <c r="L28" s="271"/>
      <c r="M28" s="39"/>
      <c r="N28" s="30"/>
      <c r="O28" s="30"/>
      <c r="P28" s="122" t="str">
        <f t="shared" si="3"/>
        <v/>
      </c>
    </row>
    <row r="29" spans="2:16" ht="20.100000000000001" customHeight="1" x14ac:dyDescent="0.15">
      <c r="B29" s="609"/>
      <c r="C29" s="271"/>
      <c r="D29" s="271"/>
      <c r="E29" s="271"/>
      <c r="F29" s="36"/>
      <c r="G29" s="271"/>
      <c r="H29" s="272"/>
      <c r="I29" s="271"/>
      <c r="J29" s="271"/>
      <c r="K29" s="273"/>
      <c r="L29" s="271"/>
      <c r="M29" s="39"/>
      <c r="N29" s="30"/>
      <c r="O29" s="30"/>
      <c r="P29" s="122" t="str">
        <f t="shared" si="3"/>
        <v/>
      </c>
    </row>
    <row r="30" spans="2:16" ht="20.100000000000001" customHeight="1" x14ac:dyDescent="0.15">
      <c r="B30" s="610"/>
      <c r="C30" s="275" t="s">
        <v>41</v>
      </c>
      <c r="D30" s="275"/>
      <c r="E30" s="275"/>
      <c r="F30" s="276"/>
      <c r="G30" s="275">
        <f>SUM(G13:G28)</f>
        <v>50170000</v>
      </c>
      <c r="H30" s="275"/>
      <c r="I30" s="275">
        <f>SUM(I13:I28)</f>
        <v>26170000</v>
      </c>
      <c r="J30" s="275"/>
      <c r="K30" s="277"/>
      <c r="L30" s="275">
        <f>SUM(L13:L28)</f>
        <v>3271250</v>
      </c>
      <c r="M30" s="41"/>
      <c r="N30" s="41"/>
      <c r="O30" s="41"/>
      <c r="P30" s="318">
        <f>SUM(P13:P28)</f>
        <v>320000.00000000006</v>
      </c>
    </row>
    <row r="31" spans="2:16" ht="20.100000000000001" customHeight="1" x14ac:dyDescent="0.15">
      <c r="B31" s="608" t="s">
        <v>103</v>
      </c>
      <c r="C31" s="271"/>
      <c r="D31" s="271"/>
      <c r="E31" s="271"/>
      <c r="F31" s="271"/>
      <c r="G31" s="271"/>
      <c r="H31" s="278"/>
      <c r="I31" s="271"/>
      <c r="J31" s="271"/>
      <c r="K31" s="273"/>
      <c r="L31" s="271"/>
      <c r="M31" s="46"/>
      <c r="N31" s="30"/>
      <c r="O31" s="30"/>
      <c r="P31" s="122" t="str">
        <f>IF(O31="","",(L31-N31)/O31)</f>
        <v/>
      </c>
    </row>
    <row r="32" spans="2:16" ht="20.100000000000001" customHeight="1" x14ac:dyDescent="0.15">
      <c r="B32" s="609"/>
      <c r="C32" s="271"/>
      <c r="D32" s="271"/>
      <c r="E32" s="271"/>
      <c r="F32" s="271"/>
      <c r="G32" s="271"/>
      <c r="H32" s="278"/>
      <c r="I32" s="271"/>
      <c r="J32" s="271"/>
      <c r="K32" s="273"/>
      <c r="L32" s="271"/>
      <c r="M32" s="46"/>
      <c r="N32" s="30"/>
      <c r="O32" s="30"/>
      <c r="P32" s="122" t="str">
        <f>IF(O32="","",(L32-N32)/O32)</f>
        <v/>
      </c>
    </row>
    <row r="33" spans="2:16" ht="20.100000000000001" customHeight="1" x14ac:dyDescent="0.15">
      <c r="B33" s="609"/>
      <c r="C33" s="30"/>
      <c r="D33" s="30"/>
      <c r="E33" s="30"/>
      <c r="F33" s="30"/>
      <c r="G33" s="30"/>
      <c r="H33" s="46"/>
      <c r="I33" s="30"/>
      <c r="J33" s="30"/>
      <c r="K33" s="38"/>
      <c r="L33" s="30"/>
      <c r="M33" s="46"/>
      <c r="N33" s="30"/>
      <c r="O33" s="30"/>
      <c r="P33" s="122" t="str">
        <f>IF(O33="","",(L33-N33)/O33)</f>
        <v/>
      </c>
    </row>
    <row r="34" spans="2:16" ht="20.100000000000001" customHeight="1" x14ac:dyDescent="0.15">
      <c r="B34" s="609"/>
      <c r="C34" s="30"/>
      <c r="D34" s="30"/>
      <c r="E34" s="30"/>
      <c r="F34" s="30"/>
      <c r="G34" s="30"/>
      <c r="H34" s="46"/>
      <c r="I34" s="30"/>
      <c r="J34" s="30"/>
      <c r="K34" s="38"/>
      <c r="L34" s="30"/>
      <c r="M34" s="46"/>
      <c r="N34" s="30"/>
      <c r="O34" s="30"/>
      <c r="P34" s="122" t="str">
        <f>IF(O34="","",(L34-N34)/O34)</f>
        <v/>
      </c>
    </row>
    <row r="35" spans="2:16" ht="20.100000000000001" customHeight="1" x14ac:dyDescent="0.15">
      <c r="B35" s="610"/>
      <c r="C35" s="47" t="s">
        <v>41</v>
      </c>
      <c r="D35" s="41"/>
      <c r="E35" s="41"/>
      <c r="F35" s="42"/>
      <c r="G35" s="41">
        <f>SUM(G31:G34)</f>
        <v>0</v>
      </c>
      <c r="H35" s="41"/>
      <c r="I35" s="41">
        <f>SUM(I31:I34)</f>
        <v>0</v>
      </c>
      <c r="J35" s="41"/>
      <c r="K35" s="43"/>
      <c r="L35" s="41">
        <f>SUM(L31:L34)</f>
        <v>0</v>
      </c>
      <c r="M35" s="41"/>
      <c r="N35" s="41"/>
      <c r="O35" s="41"/>
      <c r="P35" s="318">
        <f>SUM(P31:P34)</f>
        <v>0</v>
      </c>
    </row>
    <row r="36" spans="2:16" ht="20.100000000000001" customHeight="1" thickBot="1" x14ac:dyDescent="0.2">
      <c r="B36" s="48"/>
      <c r="C36" s="49" t="s">
        <v>217</v>
      </c>
      <c r="D36" s="50"/>
      <c r="E36" s="50"/>
      <c r="F36" s="51"/>
      <c r="G36" s="50">
        <f>G12+G30+G35</f>
        <v>104570000</v>
      </c>
      <c r="H36" s="50"/>
      <c r="I36" s="50">
        <f>I12+I30+I35</f>
        <v>53370000</v>
      </c>
      <c r="J36" s="50"/>
      <c r="K36" s="52"/>
      <c r="L36" s="50">
        <f>L12+L30+L35</f>
        <v>6671250</v>
      </c>
      <c r="M36" s="50"/>
      <c r="N36" s="50"/>
      <c r="O36" s="50"/>
      <c r="P36" s="319">
        <f>P12+P30+P35</f>
        <v>562857.14285714296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75" workbookViewId="0">
      <selection activeCell="AU22" sqref="AU22"/>
    </sheetView>
  </sheetViews>
  <sheetFormatPr defaultColWidth="10.875" defaultRowHeight="13.5" x14ac:dyDescent="0.15"/>
  <cols>
    <col min="1" max="1" width="1.625" style="81" customWidth="1"/>
    <col min="2" max="2" width="5.875" style="81" customWidth="1"/>
    <col min="3" max="3" width="10.625" style="81" customWidth="1"/>
    <col min="4" max="4" width="12.375" style="81" customWidth="1"/>
    <col min="5" max="5" width="14.625" style="81" customWidth="1"/>
    <col min="6" max="7" width="15.875" style="81" customWidth="1"/>
    <col min="8" max="8" width="10.875" style="81"/>
    <col min="9" max="9" width="11.375" style="81" bestFit="1" customWidth="1"/>
    <col min="10" max="10" width="13.375" style="81" customWidth="1"/>
    <col min="11" max="11" width="7.125" style="81" customWidth="1"/>
    <col min="12" max="12" width="15.375" style="81" customWidth="1"/>
    <col min="13" max="13" width="9.375" style="81" bestFit="1" customWidth="1"/>
    <col min="14" max="14" width="10.875" style="81"/>
    <col min="15" max="15" width="7.25" style="81" customWidth="1"/>
    <col min="16" max="16" width="9.625" style="81" customWidth="1"/>
    <col min="17" max="17" width="10.875" style="81" customWidth="1"/>
    <col min="18" max="18" width="7.5" style="81" customWidth="1"/>
    <col min="19" max="19" width="3.75" style="81" customWidth="1"/>
    <col min="20" max="16384" width="10.875" style="81"/>
  </cols>
  <sheetData>
    <row r="1" spans="2:19" s="82" customFormat="1" ht="9.9499999999999993" customHeight="1" x14ac:dyDescent="0.15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2:19" s="82" customFormat="1" ht="24.95" customHeight="1" thickBot="1" x14ac:dyDescent="0.2">
      <c r="B2" s="3" t="s">
        <v>256</v>
      </c>
      <c r="H2" s="83" t="s">
        <v>192</v>
      </c>
      <c r="I2" s="82" t="s">
        <v>371</v>
      </c>
      <c r="K2" s="83" t="s">
        <v>193</v>
      </c>
      <c r="L2" s="3" t="s">
        <v>297</v>
      </c>
      <c r="N2" s="81"/>
      <c r="O2" s="81"/>
      <c r="Q2" s="4"/>
      <c r="R2" s="4"/>
    </row>
    <row r="3" spans="2:19" s="82" customFormat="1" ht="18" customHeight="1" x14ac:dyDescent="0.15">
      <c r="B3" s="659" t="s">
        <v>17</v>
      </c>
      <c r="C3" s="660"/>
      <c r="D3" s="660"/>
      <c r="E3" s="661"/>
      <c r="F3" s="114" t="s">
        <v>18</v>
      </c>
      <c r="G3" s="85"/>
      <c r="H3" s="86" t="s">
        <v>19</v>
      </c>
      <c r="I3" s="84"/>
      <c r="J3" s="84"/>
      <c r="K3" s="662" t="s">
        <v>161</v>
      </c>
      <c r="L3" s="663"/>
      <c r="M3" s="663"/>
      <c r="N3" s="663"/>
      <c r="O3" s="663"/>
      <c r="P3" s="663"/>
      <c r="Q3" s="663"/>
      <c r="R3" s="663"/>
      <c r="S3" s="664"/>
    </row>
    <row r="4" spans="2:19" s="82" customFormat="1" ht="18" customHeight="1" x14ac:dyDescent="0.15">
      <c r="B4" s="657" t="s">
        <v>20</v>
      </c>
      <c r="C4" s="658"/>
      <c r="D4" s="177" t="s">
        <v>156</v>
      </c>
      <c r="E4" s="185"/>
      <c r="F4" s="184">
        <f>R11</f>
        <v>6477864</v>
      </c>
      <c r="G4" s="665" t="s">
        <v>298</v>
      </c>
      <c r="H4" s="666"/>
      <c r="I4" s="666"/>
      <c r="J4" s="667"/>
      <c r="K4" s="280" t="s">
        <v>218</v>
      </c>
      <c r="L4" s="281" t="s">
        <v>219</v>
      </c>
      <c r="M4" s="183" t="s">
        <v>21</v>
      </c>
      <c r="N4" s="183" t="s">
        <v>20</v>
      </c>
      <c r="O4" s="281" t="s">
        <v>218</v>
      </c>
      <c r="P4" s="281" t="s">
        <v>220</v>
      </c>
      <c r="Q4" s="183" t="s">
        <v>21</v>
      </c>
      <c r="R4" s="650" t="s">
        <v>20</v>
      </c>
      <c r="S4" s="651"/>
    </row>
    <row r="5" spans="2:19" s="82" customFormat="1" ht="18" customHeight="1" x14ac:dyDescent="0.15">
      <c r="B5" s="657"/>
      <c r="C5" s="658"/>
      <c r="D5" s="177" t="s">
        <v>70</v>
      </c>
      <c r="E5" s="185"/>
      <c r="F5" s="184">
        <v>0</v>
      </c>
      <c r="G5" s="155"/>
      <c r="H5" s="186"/>
      <c r="I5" s="186"/>
      <c r="J5" s="186"/>
      <c r="K5" s="279">
        <v>1</v>
      </c>
      <c r="L5" s="336">
        <f>800</f>
        <v>800</v>
      </c>
      <c r="M5" s="184">
        <f>'９　葉ねぎ単価算出基礎'!C20</f>
        <v>732.4</v>
      </c>
      <c r="N5" s="184">
        <f>L5*M5</f>
        <v>585920</v>
      </c>
      <c r="O5" s="184">
        <v>7</v>
      </c>
      <c r="P5" s="337">
        <f>920</f>
        <v>920</v>
      </c>
      <c r="Q5" s="184">
        <f>'９　葉ねぎ単価算出基礎'!I20</f>
        <v>626</v>
      </c>
      <c r="R5" s="631">
        <f>P5*Q5</f>
        <v>575920</v>
      </c>
      <c r="S5" s="625"/>
    </row>
    <row r="6" spans="2:19" s="82" customFormat="1" ht="18" customHeight="1" x14ac:dyDescent="0.15">
      <c r="B6" s="674" t="s">
        <v>159</v>
      </c>
      <c r="C6" s="677" t="s">
        <v>242</v>
      </c>
      <c r="D6" s="184" t="s">
        <v>44</v>
      </c>
      <c r="E6" s="187"/>
      <c r="F6" s="184">
        <f>+P13</f>
        <v>75000</v>
      </c>
      <c r="G6" s="155" t="s">
        <v>148</v>
      </c>
      <c r="H6" s="186"/>
      <c r="I6" s="186"/>
      <c r="J6" s="186"/>
      <c r="K6" s="279">
        <v>2</v>
      </c>
      <c r="L6" s="336">
        <f>800</f>
        <v>800</v>
      </c>
      <c r="M6" s="184">
        <f>'９　葉ねぎ単価算出基礎'!D20</f>
        <v>711.2</v>
      </c>
      <c r="N6" s="184">
        <f>L6*M6</f>
        <v>568960</v>
      </c>
      <c r="O6" s="184">
        <v>8</v>
      </c>
      <c r="P6" s="337">
        <f>800</f>
        <v>800</v>
      </c>
      <c r="Q6" s="184">
        <f>'９　葉ねぎ単価算出基礎'!J20</f>
        <v>648.6</v>
      </c>
      <c r="R6" s="631">
        <f t="shared" ref="R6:R9" si="0">P6*Q6</f>
        <v>518880</v>
      </c>
      <c r="S6" s="625"/>
    </row>
    <row r="7" spans="2:19" s="82" customFormat="1" ht="18" customHeight="1" x14ac:dyDescent="0.15">
      <c r="B7" s="675"/>
      <c r="C7" s="678"/>
      <c r="D7" s="184" t="s">
        <v>45</v>
      </c>
      <c r="E7" s="187"/>
      <c r="F7" s="184">
        <f>P22</f>
        <v>260115.38333333336</v>
      </c>
      <c r="G7" s="617" t="s">
        <v>412</v>
      </c>
      <c r="H7" s="618"/>
      <c r="I7" s="618"/>
      <c r="J7" s="619"/>
      <c r="K7" s="279">
        <v>3</v>
      </c>
      <c r="L7" s="336">
        <f>800</f>
        <v>800</v>
      </c>
      <c r="M7" s="184">
        <f>'９　葉ねぎ単価算出基礎'!E20</f>
        <v>540.20000000000005</v>
      </c>
      <c r="N7" s="184">
        <f t="shared" ref="N7:N10" si="1">L7*M7</f>
        <v>432160.00000000006</v>
      </c>
      <c r="O7" s="184">
        <v>9</v>
      </c>
      <c r="P7" s="337">
        <f>800</f>
        <v>800</v>
      </c>
      <c r="Q7" s="184">
        <f>'９　葉ねぎ単価算出基礎'!K20</f>
        <v>783.8</v>
      </c>
      <c r="R7" s="631">
        <f t="shared" si="0"/>
        <v>627040</v>
      </c>
      <c r="S7" s="625"/>
    </row>
    <row r="8" spans="2:19" s="82" customFormat="1" ht="18" customHeight="1" x14ac:dyDescent="0.15">
      <c r="B8" s="675"/>
      <c r="C8" s="678"/>
      <c r="D8" s="184" t="s">
        <v>46</v>
      </c>
      <c r="E8" s="187"/>
      <c r="F8" s="184">
        <f>P28</f>
        <v>15360</v>
      </c>
      <c r="G8" s="617" t="s">
        <v>413</v>
      </c>
      <c r="H8" s="618"/>
      <c r="I8" s="618"/>
      <c r="J8" s="619"/>
      <c r="K8" s="279">
        <v>4</v>
      </c>
      <c r="L8" s="336">
        <f>800</f>
        <v>800</v>
      </c>
      <c r="M8" s="184">
        <f>'９　葉ねぎ単価算出基礎'!F20</f>
        <v>497.6</v>
      </c>
      <c r="N8" s="184">
        <f t="shared" si="1"/>
        <v>398080</v>
      </c>
      <c r="O8" s="184">
        <v>10</v>
      </c>
      <c r="P8" s="337">
        <f>920</f>
        <v>920</v>
      </c>
      <c r="Q8" s="184">
        <f>'９　葉ねぎ単価算出基礎'!L20</f>
        <v>668.8</v>
      </c>
      <c r="R8" s="631">
        <f t="shared" si="0"/>
        <v>615296</v>
      </c>
      <c r="S8" s="625"/>
    </row>
    <row r="9" spans="2:19" s="82" customFormat="1" ht="18" customHeight="1" x14ac:dyDescent="0.15">
      <c r="B9" s="675"/>
      <c r="C9" s="678"/>
      <c r="D9" s="184" t="s">
        <v>71</v>
      </c>
      <c r="E9" s="187"/>
      <c r="F9" s="184">
        <f>P37</f>
        <v>527943.32000000007</v>
      </c>
      <c r="G9" s="617" t="s">
        <v>414</v>
      </c>
      <c r="H9" s="618"/>
      <c r="I9" s="618"/>
      <c r="J9" s="619"/>
      <c r="K9" s="279">
        <v>5</v>
      </c>
      <c r="L9" s="337">
        <f>840</f>
        <v>840</v>
      </c>
      <c r="M9" s="184">
        <f>'９　葉ねぎ単価算出基礎'!G20</f>
        <v>472.2</v>
      </c>
      <c r="N9" s="184">
        <f t="shared" si="1"/>
        <v>396648</v>
      </c>
      <c r="O9" s="184">
        <v>11</v>
      </c>
      <c r="P9" s="337">
        <f>1200</f>
        <v>1200</v>
      </c>
      <c r="Q9" s="184">
        <f>'９　葉ねぎ単価算出基礎'!M20</f>
        <v>597.79999999999995</v>
      </c>
      <c r="R9" s="631">
        <f t="shared" si="0"/>
        <v>717360</v>
      </c>
      <c r="S9" s="625"/>
    </row>
    <row r="10" spans="2:19" s="82" customFormat="1" ht="18" customHeight="1" x14ac:dyDescent="0.15">
      <c r="B10" s="675"/>
      <c r="C10" s="678"/>
      <c r="D10" s="184" t="s">
        <v>47</v>
      </c>
      <c r="E10" s="187"/>
      <c r="F10" s="184">
        <f>'８　葉ねぎ水耕算出基礎'!V20</f>
        <v>543400</v>
      </c>
      <c r="G10" s="623"/>
      <c r="H10" s="624"/>
      <c r="I10" s="624"/>
      <c r="J10" s="625"/>
      <c r="K10" s="279">
        <v>6</v>
      </c>
      <c r="L10" s="337">
        <f>920</f>
        <v>920</v>
      </c>
      <c r="M10" s="184">
        <f>'９　葉ねぎ単価算出基礎'!H20</f>
        <v>475.2</v>
      </c>
      <c r="N10" s="184">
        <f t="shared" si="1"/>
        <v>437184</v>
      </c>
      <c r="O10" s="184">
        <v>12</v>
      </c>
      <c r="P10" s="337">
        <f>960</f>
        <v>960</v>
      </c>
      <c r="Q10" s="184">
        <f>'９　葉ねぎ単価算出基礎'!N20</f>
        <v>629.6</v>
      </c>
      <c r="R10" s="631">
        <f t="shared" ref="R10" si="2">P10*Q10</f>
        <v>604416</v>
      </c>
      <c r="S10" s="625"/>
    </row>
    <row r="11" spans="2:19" s="82" customFormat="1" ht="18" customHeight="1" thickBot="1" x14ac:dyDescent="0.2">
      <c r="B11" s="675"/>
      <c r="C11" s="678"/>
      <c r="D11" s="184" t="s">
        <v>4</v>
      </c>
      <c r="E11" s="187"/>
      <c r="F11" s="184">
        <f>'８　葉ねぎ水耕算出基礎'!V34</f>
        <v>18696.428571428572</v>
      </c>
      <c r="G11" s="631"/>
      <c r="H11" s="624"/>
      <c r="I11" s="624"/>
      <c r="J11" s="625"/>
      <c r="K11" s="102"/>
      <c r="L11" s="88"/>
      <c r="M11" s="88"/>
      <c r="N11" s="87"/>
      <c r="O11" s="89" t="s">
        <v>22</v>
      </c>
      <c r="P11" s="90">
        <f>SUM(L5:L10,P5:P10)</f>
        <v>10560</v>
      </c>
      <c r="Q11" s="91">
        <f>R11/P11</f>
        <v>613.43409090909086</v>
      </c>
      <c r="R11" s="652">
        <f>SUM(N5:N10,R5:S10)</f>
        <v>6477864</v>
      </c>
      <c r="S11" s="653"/>
    </row>
    <row r="12" spans="2:19" s="82" customFormat="1" ht="18" customHeight="1" thickTop="1" x14ac:dyDescent="0.15">
      <c r="B12" s="675"/>
      <c r="C12" s="678"/>
      <c r="D12" s="184" t="s">
        <v>5</v>
      </c>
      <c r="E12" s="187"/>
      <c r="F12" s="184">
        <f>P11*10*10</f>
        <v>1056000</v>
      </c>
      <c r="G12" s="620" t="s">
        <v>354</v>
      </c>
      <c r="H12" s="621"/>
      <c r="I12" s="621"/>
      <c r="J12" s="622"/>
      <c r="K12" s="628" t="s">
        <v>160</v>
      </c>
      <c r="L12" s="179" t="s">
        <v>123</v>
      </c>
      <c r="M12" s="180" t="s">
        <v>7</v>
      </c>
      <c r="N12" s="287" t="s">
        <v>223</v>
      </c>
      <c r="O12" s="181" t="s">
        <v>21</v>
      </c>
      <c r="P12" s="181" t="s">
        <v>24</v>
      </c>
      <c r="Q12" s="654" t="s">
        <v>25</v>
      </c>
      <c r="R12" s="655"/>
      <c r="S12" s="656"/>
    </row>
    <row r="13" spans="2:19" s="82" customFormat="1" ht="18" customHeight="1" x14ac:dyDescent="0.15">
      <c r="B13" s="675"/>
      <c r="C13" s="678"/>
      <c r="D13" s="683" t="s">
        <v>48</v>
      </c>
      <c r="E13" s="190" t="s">
        <v>146</v>
      </c>
      <c r="F13" s="184">
        <f>'６　固定資本装備と減価償却費'!L12*'７　葉ねぎ部門収支'!H13</f>
        <v>34000</v>
      </c>
      <c r="G13" s="409" t="s">
        <v>149</v>
      </c>
      <c r="H13" s="410">
        <v>0.01</v>
      </c>
      <c r="I13" s="626" t="s">
        <v>151</v>
      </c>
      <c r="J13" s="627"/>
      <c r="K13" s="629"/>
      <c r="L13" s="269" t="s">
        <v>254</v>
      </c>
      <c r="M13" s="286" t="s">
        <v>253</v>
      </c>
      <c r="N13" s="117">
        <v>15</v>
      </c>
      <c r="O13" s="117">
        <v>5000</v>
      </c>
      <c r="P13" s="117">
        <f>N13*O13</f>
        <v>75000</v>
      </c>
      <c r="Q13" s="647" t="s">
        <v>362</v>
      </c>
      <c r="R13" s="648"/>
      <c r="S13" s="649"/>
    </row>
    <row r="14" spans="2:19" s="82" customFormat="1" ht="18" customHeight="1" x14ac:dyDescent="0.15">
      <c r="B14" s="675"/>
      <c r="C14" s="678"/>
      <c r="D14" s="684"/>
      <c r="E14" s="190" t="s">
        <v>147</v>
      </c>
      <c r="F14" s="184">
        <f>'６　固定資本装備と減価償却費'!L30*'７　葉ねぎ部門収支'!H14</f>
        <v>163562.5</v>
      </c>
      <c r="G14" s="409" t="s">
        <v>149</v>
      </c>
      <c r="H14" s="410">
        <v>0.05</v>
      </c>
      <c r="I14" s="626" t="s">
        <v>151</v>
      </c>
      <c r="J14" s="627"/>
      <c r="K14" s="629"/>
      <c r="L14" s="182"/>
      <c r="M14" s="178"/>
      <c r="N14" s="117"/>
      <c r="O14" s="117"/>
      <c r="P14" s="117"/>
      <c r="Q14" s="647"/>
      <c r="R14" s="648"/>
      <c r="S14" s="649"/>
    </row>
    <row r="15" spans="2:19" s="82" customFormat="1" ht="18" customHeight="1" thickBot="1" x14ac:dyDescent="0.2">
      <c r="B15" s="675"/>
      <c r="C15" s="678"/>
      <c r="D15" s="683" t="s">
        <v>72</v>
      </c>
      <c r="E15" s="190" t="s">
        <v>146</v>
      </c>
      <c r="F15" s="184">
        <f>'６　固定資本装備と減価償却費'!P12</f>
        <v>242857.14285714287</v>
      </c>
      <c r="G15" s="617" t="s">
        <v>151</v>
      </c>
      <c r="H15" s="618"/>
      <c r="I15" s="618"/>
      <c r="J15" s="619"/>
      <c r="K15" s="629"/>
      <c r="L15" s="95" t="s">
        <v>26</v>
      </c>
      <c r="M15" s="94"/>
      <c r="N15" s="95"/>
      <c r="O15" s="95"/>
      <c r="P15" s="95">
        <f>SUM(P10:P14)</f>
        <v>86520</v>
      </c>
      <c r="Q15" s="635"/>
      <c r="R15" s="636"/>
      <c r="S15" s="637"/>
    </row>
    <row r="16" spans="2:19" s="82" customFormat="1" ht="18" customHeight="1" thickTop="1" x14ac:dyDescent="0.15">
      <c r="B16" s="675"/>
      <c r="C16" s="678"/>
      <c r="D16" s="685"/>
      <c r="E16" s="190" t="s">
        <v>147</v>
      </c>
      <c r="F16" s="184">
        <f>'６　固定資本装備と減価償却費'!P30</f>
        <v>320000.00000000006</v>
      </c>
      <c r="G16" s="617" t="s">
        <v>151</v>
      </c>
      <c r="H16" s="618"/>
      <c r="I16" s="618"/>
      <c r="J16" s="619"/>
      <c r="K16" s="629"/>
      <c r="L16" s="173" t="s">
        <v>124</v>
      </c>
      <c r="M16" s="174"/>
      <c r="N16" s="288" t="s">
        <v>223</v>
      </c>
      <c r="O16" s="175" t="s">
        <v>21</v>
      </c>
      <c r="P16" s="176" t="s">
        <v>24</v>
      </c>
      <c r="Q16" s="638" t="s">
        <v>25</v>
      </c>
      <c r="R16" s="639"/>
      <c r="S16" s="640"/>
    </row>
    <row r="17" spans="1:19" s="82" customFormat="1" ht="18" customHeight="1" x14ac:dyDescent="0.15">
      <c r="B17" s="675"/>
      <c r="C17" s="678"/>
      <c r="D17" s="684"/>
      <c r="E17" s="184" t="s">
        <v>49</v>
      </c>
      <c r="F17" s="184">
        <f>'６　固定資本装備と減価償却費'!P35</f>
        <v>0</v>
      </c>
      <c r="G17" s="617" t="s">
        <v>151</v>
      </c>
      <c r="H17" s="618"/>
      <c r="I17" s="618"/>
      <c r="J17" s="619"/>
      <c r="K17" s="629"/>
      <c r="L17" s="177" t="s">
        <v>257</v>
      </c>
      <c r="M17" s="178"/>
      <c r="N17" s="168" t="s">
        <v>355</v>
      </c>
      <c r="O17" s="170"/>
      <c r="P17" s="168">
        <f>'８　葉ねぎ水耕算出基礎'!G20</f>
        <v>260115.38333333336</v>
      </c>
      <c r="Q17" s="632"/>
      <c r="R17" s="633"/>
      <c r="S17" s="634"/>
    </row>
    <row r="18" spans="1:19" s="82" customFormat="1" ht="18" customHeight="1" x14ac:dyDescent="0.15">
      <c r="A18" s="81"/>
      <c r="B18" s="675"/>
      <c r="C18" s="678"/>
      <c r="D18" s="184" t="s">
        <v>50</v>
      </c>
      <c r="E18" s="187"/>
      <c r="F18" s="184">
        <f>3000*85/80</f>
        <v>3187.5</v>
      </c>
      <c r="G18" s="168" t="s">
        <v>378</v>
      </c>
      <c r="H18" s="166"/>
      <c r="I18" s="401" t="s">
        <v>379</v>
      </c>
      <c r="J18" s="189"/>
      <c r="K18" s="629"/>
      <c r="L18" s="177"/>
      <c r="M18" s="178"/>
      <c r="N18" s="157"/>
      <c r="O18" s="170"/>
      <c r="P18" s="168"/>
      <c r="Q18" s="632"/>
      <c r="R18" s="633"/>
      <c r="S18" s="634"/>
    </row>
    <row r="19" spans="1:19" s="82" customFormat="1" ht="18" customHeight="1" x14ac:dyDescent="0.15">
      <c r="A19" s="81"/>
      <c r="B19" s="675"/>
      <c r="C19" s="678"/>
      <c r="D19" s="184" t="s">
        <v>127</v>
      </c>
      <c r="E19" s="187"/>
      <c r="F19" s="184">
        <f>SUM(F6:F18)/99</f>
        <v>32930.528027898028</v>
      </c>
      <c r="G19" s="191" t="s">
        <v>162</v>
      </c>
      <c r="H19" s="201">
        <v>0.01</v>
      </c>
      <c r="I19" s="96"/>
      <c r="J19" s="6"/>
      <c r="K19" s="629"/>
      <c r="L19" s="157"/>
      <c r="M19" s="166"/>
      <c r="N19" s="157"/>
      <c r="O19" s="170"/>
      <c r="P19" s="168"/>
      <c r="Q19" s="632"/>
      <c r="R19" s="633"/>
      <c r="S19" s="634"/>
    </row>
    <row r="20" spans="1:19" s="82" customFormat="1" ht="18" customHeight="1" x14ac:dyDescent="0.15">
      <c r="A20" s="81"/>
      <c r="B20" s="675"/>
      <c r="C20" s="679"/>
      <c r="D20" s="672" t="s">
        <v>155</v>
      </c>
      <c r="E20" s="673"/>
      <c r="F20" s="115">
        <f>SUM(F6:F19)</f>
        <v>3293052.8027898031</v>
      </c>
      <c r="G20" s="163"/>
      <c r="H20" s="96"/>
      <c r="I20" s="96"/>
      <c r="J20" s="98"/>
      <c r="K20" s="629"/>
      <c r="L20" s="157"/>
      <c r="M20" s="166"/>
      <c r="N20" s="157"/>
      <c r="O20" s="170"/>
      <c r="P20" s="168"/>
      <c r="Q20" s="632"/>
      <c r="R20" s="633"/>
      <c r="S20" s="634"/>
    </row>
    <row r="21" spans="1:19" s="82" customFormat="1" ht="18" customHeight="1" x14ac:dyDescent="0.15">
      <c r="A21" s="81"/>
      <c r="B21" s="675"/>
      <c r="C21" s="680" t="s">
        <v>150</v>
      </c>
      <c r="D21" s="668" t="s">
        <v>51</v>
      </c>
      <c r="E21" s="20" t="s">
        <v>1</v>
      </c>
      <c r="F21" s="87">
        <f>P11*10*7</f>
        <v>739200</v>
      </c>
      <c r="G21" s="377" t="s">
        <v>352</v>
      </c>
      <c r="H21" s="166"/>
      <c r="I21" s="92"/>
      <c r="J21" s="189"/>
      <c r="K21" s="629"/>
      <c r="L21" s="157"/>
      <c r="M21" s="166"/>
      <c r="N21" s="157"/>
      <c r="O21" s="168"/>
      <c r="P21" s="168"/>
      <c r="Q21" s="632"/>
      <c r="R21" s="633"/>
      <c r="S21" s="634"/>
    </row>
    <row r="22" spans="1:19" s="82" customFormat="1" ht="18" customHeight="1" thickBot="1" x14ac:dyDescent="0.2">
      <c r="A22" s="81"/>
      <c r="B22" s="675"/>
      <c r="C22" s="681"/>
      <c r="D22" s="534"/>
      <c r="E22" s="20" t="s">
        <v>2</v>
      </c>
      <c r="F22" s="116">
        <f>P11*10*4.4</f>
        <v>464640.00000000006</v>
      </c>
      <c r="G22" s="377" t="s">
        <v>351</v>
      </c>
      <c r="H22" s="192"/>
      <c r="I22" s="192"/>
      <c r="J22" s="193"/>
      <c r="K22" s="629"/>
      <c r="L22" s="95" t="s">
        <v>26</v>
      </c>
      <c r="M22" s="94"/>
      <c r="N22" s="95"/>
      <c r="O22" s="95"/>
      <c r="P22" s="95">
        <f>SUM(P17:P21)</f>
        <v>260115.38333333336</v>
      </c>
      <c r="Q22" s="635"/>
      <c r="R22" s="636"/>
      <c r="S22" s="637"/>
    </row>
    <row r="23" spans="1:19" s="82" customFormat="1" ht="18" customHeight="1" thickTop="1" x14ac:dyDescent="0.15">
      <c r="A23" s="81"/>
      <c r="B23" s="675"/>
      <c r="C23" s="681"/>
      <c r="D23" s="669"/>
      <c r="E23" s="20" t="s">
        <v>6</v>
      </c>
      <c r="F23" s="87">
        <f>R11*0.115</f>
        <v>744954.36</v>
      </c>
      <c r="G23" s="377" t="s">
        <v>353</v>
      </c>
      <c r="H23" s="378"/>
      <c r="I23" s="192"/>
      <c r="J23" s="188"/>
      <c r="K23" s="629"/>
      <c r="L23" s="157" t="s">
        <v>125</v>
      </c>
      <c r="M23" s="166"/>
      <c r="N23" s="167" t="s">
        <v>23</v>
      </c>
      <c r="O23" s="167" t="s">
        <v>21</v>
      </c>
      <c r="P23" s="167" t="s">
        <v>24</v>
      </c>
      <c r="Q23" s="638" t="s">
        <v>25</v>
      </c>
      <c r="R23" s="639"/>
      <c r="S23" s="640"/>
    </row>
    <row r="24" spans="1:19" s="82" customFormat="1" ht="18" customHeight="1" x14ac:dyDescent="0.15">
      <c r="A24" s="81"/>
      <c r="B24" s="675"/>
      <c r="C24" s="681"/>
      <c r="D24" s="20" t="s">
        <v>225</v>
      </c>
      <c r="E24" s="21"/>
      <c r="F24" s="116">
        <v>0</v>
      </c>
      <c r="G24" s="377"/>
      <c r="H24" s="195"/>
      <c r="I24" s="196"/>
      <c r="J24" s="194"/>
      <c r="K24" s="629"/>
      <c r="L24" s="168" t="s">
        <v>285</v>
      </c>
      <c r="M24" s="166"/>
      <c r="N24" s="157" t="s">
        <v>386</v>
      </c>
      <c r="O24" s="168"/>
      <c r="P24" s="168">
        <f>'８　葉ねぎ水耕算出基礎'!G49</f>
        <v>15360</v>
      </c>
      <c r="Q24" s="632"/>
      <c r="R24" s="633"/>
      <c r="S24" s="634"/>
    </row>
    <row r="25" spans="1:19" s="82" customFormat="1" ht="18" customHeight="1" x14ac:dyDescent="0.15">
      <c r="A25" s="81"/>
      <c r="B25" s="675"/>
      <c r="C25" s="681"/>
      <c r="D25" s="20" t="s">
        <v>73</v>
      </c>
      <c r="E25" s="21"/>
      <c r="F25" s="116">
        <v>0</v>
      </c>
      <c r="G25" s="377"/>
      <c r="H25" s="197"/>
      <c r="I25" s="198"/>
      <c r="J25" s="199"/>
      <c r="K25" s="629"/>
      <c r="L25" s="168"/>
      <c r="M25" s="166"/>
      <c r="N25" s="157"/>
      <c r="O25" s="168"/>
      <c r="P25" s="168"/>
      <c r="Q25" s="632"/>
      <c r="R25" s="633"/>
      <c r="S25" s="634"/>
    </row>
    <row r="26" spans="1:19" s="82" customFormat="1" ht="18" customHeight="1" x14ac:dyDescent="0.15">
      <c r="A26" s="81"/>
      <c r="B26" s="675"/>
      <c r="C26" s="681"/>
      <c r="D26" s="20" t="s">
        <v>94</v>
      </c>
      <c r="E26" s="21"/>
      <c r="F26" s="116">
        <f>'８　葉ねぎ水耕算出基礎'!V57</f>
        <v>42158.75</v>
      </c>
      <c r="G26" s="617"/>
      <c r="H26" s="618"/>
      <c r="I26" s="618"/>
      <c r="J26" s="619"/>
      <c r="K26" s="629"/>
      <c r="L26" s="168"/>
      <c r="M26" s="166"/>
      <c r="N26" s="157"/>
      <c r="O26" s="168"/>
      <c r="P26" s="168"/>
      <c r="Q26" s="632"/>
      <c r="R26" s="633"/>
      <c r="S26" s="634"/>
    </row>
    <row r="27" spans="1:19" s="82" customFormat="1" ht="18" customHeight="1" x14ac:dyDescent="0.15">
      <c r="A27" s="81"/>
      <c r="B27" s="675"/>
      <c r="C27" s="681"/>
      <c r="D27" s="28" t="s">
        <v>321</v>
      </c>
      <c r="E27" s="29"/>
      <c r="F27" s="200">
        <v>0</v>
      </c>
      <c r="G27" s="168"/>
      <c r="H27" s="197"/>
      <c r="I27" s="198"/>
      <c r="J27" s="194"/>
      <c r="K27" s="629"/>
      <c r="L27" s="168"/>
      <c r="M27" s="166"/>
      <c r="N27" s="157"/>
      <c r="O27" s="168"/>
      <c r="P27" s="168"/>
      <c r="Q27" s="632"/>
      <c r="R27" s="633"/>
      <c r="S27" s="634"/>
    </row>
    <row r="28" spans="1:19" s="82" customFormat="1" ht="18" customHeight="1" thickBot="1" x14ac:dyDescent="0.2">
      <c r="A28" s="81"/>
      <c r="B28" s="675"/>
      <c r="C28" s="681"/>
      <c r="D28" s="20" t="s">
        <v>52</v>
      </c>
      <c r="E28" s="21"/>
      <c r="F28" s="116">
        <f>'８　葉ねぎ水耕算出基礎'!N57</f>
        <v>32047.5</v>
      </c>
      <c r="G28" s="617"/>
      <c r="H28" s="618"/>
      <c r="I28" s="618"/>
      <c r="J28" s="619"/>
      <c r="K28" s="629"/>
      <c r="L28" s="95" t="s">
        <v>26</v>
      </c>
      <c r="M28" s="94"/>
      <c r="N28" s="95"/>
      <c r="O28" s="95"/>
      <c r="P28" s="95">
        <f>SUM(P24:P27)</f>
        <v>15360</v>
      </c>
      <c r="Q28" s="635"/>
      <c r="R28" s="636"/>
      <c r="S28" s="637"/>
    </row>
    <row r="29" spans="1:19" s="82" customFormat="1" ht="18" customHeight="1" thickTop="1" x14ac:dyDescent="0.15">
      <c r="A29" s="81"/>
      <c r="B29" s="675"/>
      <c r="C29" s="681"/>
      <c r="D29" s="20" t="s">
        <v>226</v>
      </c>
      <c r="E29" s="27"/>
      <c r="F29" s="116">
        <f>SUM(F21:F28)/99</f>
        <v>20434.349595959593</v>
      </c>
      <c r="G29" s="309" t="s">
        <v>243</v>
      </c>
      <c r="H29" s="201">
        <v>0.01</v>
      </c>
      <c r="I29" s="165"/>
      <c r="J29" s="164"/>
      <c r="K29" s="629"/>
      <c r="L29" s="157" t="s">
        <v>126</v>
      </c>
      <c r="M29" s="166"/>
      <c r="N29" s="167" t="s">
        <v>23</v>
      </c>
      <c r="O29" s="167" t="s">
        <v>21</v>
      </c>
      <c r="P29" s="167" t="s">
        <v>24</v>
      </c>
      <c r="Q29" s="638" t="s">
        <v>25</v>
      </c>
      <c r="R29" s="639"/>
      <c r="S29" s="640"/>
    </row>
    <row r="30" spans="1:19" s="82" customFormat="1" ht="18" customHeight="1" thickBot="1" x14ac:dyDescent="0.2">
      <c r="A30" s="81"/>
      <c r="B30" s="676"/>
      <c r="C30" s="682"/>
      <c r="D30" s="670" t="s">
        <v>154</v>
      </c>
      <c r="E30" s="671"/>
      <c r="F30" s="158">
        <f>SUM(F21:F29)</f>
        <v>2043434.9595959594</v>
      </c>
      <c r="G30" s="159"/>
      <c r="H30" s="160"/>
      <c r="I30" s="161"/>
      <c r="J30" s="162"/>
      <c r="K30" s="629"/>
      <c r="L30" s="168" t="s">
        <v>116</v>
      </c>
      <c r="M30" s="169"/>
      <c r="N30" s="157"/>
      <c r="O30" s="170"/>
      <c r="P30" s="168">
        <f>'８　葉ねぎ水耕算出基礎'!N10</f>
        <v>0</v>
      </c>
      <c r="Q30" s="644"/>
      <c r="R30" s="645"/>
      <c r="S30" s="646"/>
    </row>
    <row r="31" spans="1:19" s="82" customFormat="1" ht="18" customHeight="1" x14ac:dyDescent="0.15">
      <c r="A31" s="81"/>
      <c r="B31" s="104"/>
      <c r="C31" s="100"/>
      <c r="D31" s="100"/>
      <c r="E31" s="100"/>
      <c r="F31" s="100"/>
      <c r="G31" s="100"/>
      <c r="H31" s="100"/>
      <c r="I31" s="100"/>
      <c r="J31" s="100"/>
      <c r="K31" s="629"/>
      <c r="L31" s="168" t="s">
        <v>117</v>
      </c>
      <c r="M31" s="169"/>
      <c r="N31" s="168" t="s">
        <v>356</v>
      </c>
      <c r="O31" s="170">
        <f>'８　葉ねぎ水耕算出基礎'!M11</f>
        <v>158.4</v>
      </c>
      <c r="P31" s="168">
        <f>'８　葉ねぎ水耕算出基礎'!N15</f>
        <v>95396.400000000009</v>
      </c>
      <c r="Q31" s="644"/>
      <c r="R31" s="645"/>
      <c r="S31" s="646"/>
    </row>
    <row r="32" spans="1:19" s="82" customFormat="1" ht="18" customHeight="1" x14ac:dyDescent="0.15">
      <c r="A32" s="81"/>
      <c r="B32" s="93"/>
      <c r="C32" s="110"/>
      <c r="D32" s="93"/>
      <c r="E32" s="93"/>
      <c r="F32" s="108"/>
      <c r="G32" s="108"/>
      <c r="H32" s="109"/>
      <c r="I32" s="100"/>
      <c r="J32" s="100"/>
      <c r="K32" s="629"/>
      <c r="L32" s="168" t="s">
        <v>119</v>
      </c>
      <c r="M32" s="166"/>
      <c r="N32" s="170"/>
      <c r="O32" s="170"/>
      <c r="P32" s="168">
        <f>SUM(P30:P31)*R32</f>
        <v>28618.920000000002</v>
      </c>
      <c r="Q32" s="171" t="s">
        <v>118</v>
      </c>
      <c r="R32" s="172">
        <v>0.3</v>
      </c>
      <c r="S32" s="97"/>
    </row>
    <row r="33" spans="1:23" ht="18" customHeight="1" x14ac:dyDescent="0.15">
      <c r="K33" s="629"/>
      <c r="L33" s="168" t="s">
        <v>120</v>
      </c>
      <c r="M33" s="169"/>
      <c r="N33" s="168"/>
      <c r="O33" s="170"/>
      <c r="P33" s="168">
        <f>'８　葉ねぎ水耕算出基礎'!N19</f>
        <v>0</v>
      </c>
      <c r="Q33" s="632"/>
      <c r="R33" s="633"/>
      <c r="S33" s="634"/>
    </row>
    <row r="34" spans="1:23" ht="18" customHeight="1" x14ac:dyDescent="0.15">
      <c r="K34" s="629"/>
      <c r="L34" s="168" t="s">
        <v>121</v>
      </c>
      <c r="M34" s="169"/>
      <c r="N34" s="168" t="s">
        <v>356</v>
      </c>
      <c r="O34" s="170">
        <f>'８　葉ねぎ水耕算出基礎'!M20</f>
        <v>102.1</v>
      </c>
      <c r="P34" s="168">
        <f>'８　葉ねぎ水耕算出基礎'!N23</f>
        <v>171528</v>
      </c>
      <c r="Q34" s="632"/>
      <c r="R34" s="633"/>
      <c r="S34" s="634"/>
    </row>
    <row r="35" spans="1:23" ht="18" customHeight="1" x14ac:dyDescent="0.15">
      <c r="K35" s="629"/>
      <c r="L35" s="168" t="s">
        <v>286</v>
      </c>
      <c r="M35" s="169"/>
      <c r="N35" s="168"/>
      <c r="O35" s="170"/>
      <c r="P35" s="168">
        <f>'８　葉ねぎ水耕算出基礎'!N27</f>
        <v>0</v>
      </c>
      <c r="Q35" s="292"/>
      <c r="R35" s="293"/>
      <c r="S35" s="294"/>
    </row>
    <row r="36" spans="1:23" ht="18" customHeight="1" x14ac:dyDescent="0.15">
      <c r="K36" s="629"/>
      <c r="L36" s="168" t="s">
        <v>122</v>
      </c>
      <c r="M36" s="166"/>
      <c r="N36" s="168" t="s">
        <v>356</v>
      </c>
      <c r="O36" s="170">
        <f>'８　葉ねぎ水耕算出基礎'!M28</f>
        <v>14</v>
      </c>
      <c r="P36" s="168">
        <f>'８　葉ねぎ水耕算出基礎'!N31</f>
        <v>232400</v>
      </c>
      <c r="Q36" s="632"/>
      <c r="R36" s="633"/>
      <c r="S36" s="634"/>
    </row>
    <row r="37" spans="1:23" ht="18" customHeight="1" thickBot="1" x14ac:dyDescent="0.2">
      <c r="K37" s="630"/>
      <c r="L37" s="106" t="s">
        <v>26</v>
      </c>
      <c r="M37" s="105"/>
      <c r="N37" s="106"/>
      <c r="O37" s="106"/>
      <c r="P37" s="106">
        <f>SUM(P30:P36)</f>
        <v>527943.32000000007</v>
      </c>
      <c r="Q37" s="641"/>
      <c r="R37" s="642"/>
      <c r="S37" s="643"/>
    </row>
    <row r="38" spans="1:23" s="99" customFormat="1" ht="18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</row>
    <row r="39" spans="1:23" s="99" customFormat="1" ht="18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T39" s="100"/>
    </row>
    <row r="40" spans="1:23" s="99" customFormat="1" ht="18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T40" s="82"/>
      <c r="U40" s="82"/>
      <c r="V40" s="82"/>
      <c r="W40" s="82"/>
    </row>
    <row r="41" spans="1:23" s="99" customFormat="1" ht="18" customHeight="1" x14ac:dyDescent="0.15">
      <c r="A41" s="81"/>
      <c r="B41" s="81"/>
      <c r="C41" s="81"/>
      <c r="D41" s="81"/>
      <c r="E41" s="81"/>
      <c r="F41" s="81"/>
      <c r="G41" s="81"/>
      <c r="H41" s="81"/>
      <c r="I41" s="81"/>
      <c r="J41" s="81"/>
      <c r="T41" s="101"/>
      <c r="U41" s="102"/>
      <c r="V41" s="103"/>
      <c r="W41" s="101"/>
    </row>
    <row r="42" spans="1:23" s="99" customFormat="1" ht="18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T42" s="82"/>
      <c r="U42" s="82"/>
      <c r="V42" s="82"/>
      <c r="W42" s="82"/>
    </row>
    <row r="43" spans="1:23" s="99" customFormat="1" ht="18" customHeight="1" x14ac:dyDescent="0.15">
      <c r="B43" s="81"/>
      <c r="C43" s="81"/>
      <c r="D43" s="81"/>
      <c r="E43" s="81"/>
      <c r="F43" s="81"/>
      <c r="G43" s="81"/>
      <c r="H43" s="81"/>
      <c r="I43" s="81"/>
      <c r="J43" s="81"/>
      <c r="T43" s="83"/>
      <c r="U43" s="100"/>
      <c r="V43" s="82"/>
      <c r="W43" s="101"/>
    </row>
    <row r="44" spans="1:23" s="99" customFormat="1" ht="18" customHeight="1" x14ac:dyDescent="0.15">
      <c r="B44" s="81"/>
      <c r="C44" s="81"/>
      <c r="D44" s="81"/>
      <c r="E44" s="81"/>
      <c r="F44" s="81"/>
      <c r="G44" s="81"/>
      <c r="H44" s="81"/>
      <c r="I44" s="81"/>
      <c r="J44" s="81"/>
      <c r="T44" s="83"/>
      <c r="U44" s="100"/>
      <c r="V44" s="82"/>
      <c r="W44" s="101"/>
    </row>
    <row r="45" spans="1:23" s="99" customFormat="1" ht="18" customHeight="1" x14ac:dyDescent="0.15">
      <c r="B45" s="81"/>
      <c r="C45" s="81"/>
      <c r="D45" s="81"/>
      <c r="E45" s="81"/>
      <c r="F45" s="81"/>
      <c r="G45" s="81"/>
      <c r="H45" s="81"/>
      <c r="I45" s="81"/>
      <c r="J45" s="81"/>
      <c r="T45" s="82"/>
      <c r="U45" s="82"/>
      <c r="V45" s="102"/>
      <c r="W45" s="82"/>
    </row>
    <row r="46" spans="1:23" s="99" customFormat="1" x14ac:dyDescent="0.15">
      <c r="B46" s="81"/>
      <c r="C46" s="81"/>
      <c r="D46" s="81"/>
      <c r="E46" s="81"/>
      <c r="F46" s="81"/>
      <c r="G46" s="81"/>
      <c r="H46" s="81"/>
      <c r="I46" s="81"/>
      <c r="J46" s="81"/>
      <c r="T46" s="83"/>
      <c r="U46" s="82"/>
      <c r="V46" s="82"/>
      <c r="W46" s="101"/>
    </row>
    <row r="47" spans="1:23" s="99" customFormat="1" x14ac:dyDescent="0.15">
      <c r="B47" s="81"/>
      <c r="C47" s="81"/>
      <c r="D47" s="81"/>
      <c r="E47" s="81"/>
      <c r="F47" s="81"/>
      <c r="G47" s="81"/>
      <c r="H47" s="81"/>
      <c r="I47" s="81"/>
      <c r="J47" s="81"/>
      <c r="T47" s="83"/>
      <c r="U47" s="82"/>
      <c r="V47" s="82"/>
      <c r="W47" s="101"/>
    </row>
    <row r="48" spans="1:23" s="99" customFormat="1" x14ac:dyDescent="0.15">
      <c r="B48" s="81"/>
      <c r="C48" s="81"/>
      <c r="D48" s="81"/>
      <c r="E48" s="81"/>
      <c r="F48" s="81"/>
      <c r="G48" s="81"/>
      <c r="H48" s="81"/>
      <c r="I48" s="81"/>
      <c r="J48" s="81"/>
      <c r="T48" s="83"/>
      <c r="U48" s="82"/>
      <c r="V48" s="82"/>
      <c r="W48" s="101"/>
    </row>
    <row r="49" spans="2:23" s="99" customFormat="1" x14ac:dyDescent="0.15">
      <c r="B49" s="81"/>
      <c r="C49" s="81"/>
      <c r="D49" s="81"/>
      <c r="E49" s="81"/>
      <c r="F49" s="81"/>
      <c r="G49" s="81"/>
      <c r="H49" s="81"/>
      <c r="I49" s="81"/>
      <c r="J49" s="81"/>
      <c r="T49" s="83"/>
      <c r="U49" s="82"/>
      <c r="V49" s="82"/>
      <c r="W49" s="101"/>
    </row>
    <row r="50" spans="2:23" s="99" customFormat="1" x14ac:dyDescent="0.15">
      <c r="B50" s="81"/>
      <c r="C50" s="81"/>
      <c r="D50" s="81"/>
      <c r="E50" s="81"/>
      <c r="F50" s="81"/>
      <c r="G50" s="81"/>
      <c r="H50" s="81"/>
      <c r="I50" s="81"/>
      <c r="J50" s="81"/>
      <c r="T50" s="83"/>
      <c r="U50" s="83"/>
      <c r="V50" s="83"/>
      <c r="W50" s="82"/>
    </row>
    <row r="51" spans="2:23" s="99" customFormat="1" ht="13.5" customHeight="1" x14ac:dyDescent="0.15">
      <c r="B51" s="81"/>
      <c r="C51" s="81"/>
      <c r="D51" s="81"/>
      <c r="E51" s="81"/>
      <c r="F51" s="81"/>
      <c r="G51" s="81"/>
      <c r="H51" s="81"/>
      <c r="I51" s="81"/>
      <c r="J51" s="81"/>
      <c r="T51" s="82"/>
      <c r="U51" s="82"/>
      <c r="V51" s="82"/>
      <c r="W51" s="102"/>
    </row>
    <row r="52" spans="2:23" s="99" customFormat="1" x14ac:dyDescent="0.15">
      <c r="B52" s="81"/>
      <c r="C52" s="81"/>
      <c r="D52" s="81"/>
      <c r="E52" s="81"/>
      <c r="F52" s="81"/>
      <c r="G52" s="81"/>
      <c r="H52" s="81"/>
      <c r="I52" s="81"/>
      <c r="J52" s="81"/>
      <c r="T52" s="101"/>
      <c r="U52" s="82"/>
      <c r="V52" s="102"/>
      <c r="W52" s="101"/>
    </row>
    <row r="53" spans="2:23" s="99" customFormat="1" x14ac:dyDescent="0.15">
      <c r="B53" s="81"/>
      <c r="C53" s="81"/>
      <c r="D53" s="81"/>
      <c r="E53" s="81"/>
      <c r="F53" s="81"/>
      <c r="G53" s="81"/>
      <c r="H53" s="81"/>
      <c r="I53" s="81"/>
      <c r="J53" s="81"/>
      <c r="T53" s="82"/>
      <c r="U53" s="82"/>
      <c r="V53" s="82"/>
      <c r="W53" s="82"/>
    </row>
    <row r="54" spans="2:23" s="99" customFormat="1" ht="13.5" customHeight="1" x14ac:dyDescent="0.15">
      <c r="B54" s="81"/>
      <c r="C54" s="81"/>
      <c r="D54" s="81"/>
      <c r="E54" s="81"/>
      <c r="F54" s="81"/>
      <c r="G54" s="81"/>
      <c r="H54" s="81"/>
      <c r="I54" s="81"/>
      <c r="J54" s="81"/>
      <c r="T54" s="83"/>
      <c r="U54" s="82"/>
      <c r="V54" s="83"/>
      <c r="W54" s="101"/>
    </row>
    <row r="55" spans="2:23" s="99" customFormat="1" x14ac:dyDescent="0.15">
      <c r="B55" s="81"/>
      <c r="C55" s="81"/>
      <c r="D55" s="81"/>
      <c r="E55" s="81"/>
      <c r="F55" s="81"/>
      <c r="G55" s="81"/>
      <c r="H55" s="81"/>
      <c r="I55" s="81"/>
      <c r="J55" s="81"/>
      <c r="T55" s="111"/>
      <c r="U55" s="82"/>
      <c r="V55" s="82"/>
      <c r="W55" s="101"/>
    </row>
    <row r="56" spans="2:23" s="99" customFormat="1" x14ac:dyDescent="0.15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83"/>
      <c r="V56" s="82"/>
      <c r="W56" s="82"/>
    </row>
    <row r="57" spans="2:23" s="99" customFormat="1" x14ac:dyDescent="0.15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100"/>
      <c r="U57" s="100"/>
      <c r="V57" s="100"/>
      <c r="W57" s="100"/>
    </row>
    <row r="58" spans="2:23" s="99" customFormat="1" x14ac:dyDescent="0.15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100"/>
    </row>
    <row r="59" spans="2:23" s="99" customFormat="1" x14ac:dyDescent="0.15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100"/>
    </row>
    <row r="60" spans="2:23" s="99" customFormat="1" x14ac:dyDescent="0.15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100"/>
    </row>
    <row r="61" spans="2:23" s="99" customFormat="1" x14ac:dyDescent="0.15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2:23" s="99" customFormat="1" x14ac:dyDescent="0.15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</row>
    <row r="63" spans="2:23" s="99" customFormat="1" ht="13.5" customHeight="1" x14ac:dyDescent="0.15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</row>
    <row r="64" spans="2:23" s="99" customFormat="1" ht="13.5" customHeight="1" x14ac:dyDescent="0.15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</row>
    <row r="65" spans="2:19" s="99" customFormat="1" x14ac:dyDescent="0.15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</row>
    <row r="66" spans="2:19" s="99" customFormat="1" x14ac:dyDescent="0.15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</row>
    <row r="67" spans="2:19" s="99" customFormat="1" x14ac:dyDescent="0.15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</row>
    <row r="68" spans="2:19" s="99" customFormat="1" ht="13.5" customHeight="1" x14ac:dyDescent="0.1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</row>
    <row r="69" spans="2:19" s="99" customFormat="1" x14ac:dyDescent="0.15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</row>
    <row r="70" spans="2:19" s="99" customFormat="1" x14ac:dyDescent="0.15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</row>
    <row r="71" spans="2:19" s="99" customFormat="1" x14ac:dyDescent="0.15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</row>
    <row r="72" spans="2:19" s="99" customFormat="1" x14ac:dyDescent="0.15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</row>
    <row r="73" spans="2:19" s="99" customFormat="1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</row>
    <row r="74" spans="2:19" s="99" customFormat="1" ht="13.5" customHeight="1" x14ac:dyDescent="0.15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</row>
    <row r="75" spans="2:19" s="99" customFormat="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</row>
    <row r="76" spans="2:19" s="99" customFormat="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</row>
    <row r="77" spans="2:19" s="99" customFormat="1" x14ac:dyDescent="0.15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</row>
    <row r="78" spans="2:19" s="99" customFormat="1" x14ac:dyDescent="0.15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</row>
    <row r="79" spans="2:19" s="99" customFormat="1" x14ac:dyDescent="0.15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</row>
    <row r="80" spans="2:19" s="99" customFormat="1" x14ac:dyDescent="0.15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</row>
    <row r="81" spans="1:19" s="99" customFormat="1" x14ac:dyDescent="0.15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</row>
    <row r="82" spans="1:19" s="99" customFormat="1" x14ac:dyDescent="0.1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</row>
    <row r="83" spans="1:19" s="99" customFormat="1" x14ac:dyDescent="0.1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</row>
    <row r="84" spans="1:19" s="99" customFormat="1" x14ac:dyDescent="0.1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</row>
    <row r="85" spans="1:19" s="99" customFormat="1" x14ac:dyDescent="0.1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</row>
    <row r="86" spans="1:19" s="99" customFormat="1" ht="13.5" customHeight="1" x14ac:dyDescent="0.1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</row>
    <row r="87" spans="1:19" s="99" customFormat="1" x14ac:dyDescent="0.15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</row>
    <row r="88" spans="1:19" s="99" customFormat="1" x14ac:dyDescent="0.15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</row>
    <row r="89" spans="1:19" s="99" customFormat="1" ht="13.5" customHeight="1" x14ac:dyDescent="0.15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</row>
    <row r="90" spans="1:19" s="99" customFormat="1" x14ac:dyDescent="0.15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</row>
    <row r="91" spans="1:19" s="99" customFormat="1" x14ac:dyDescent="0.15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</row>
    <row r="92" spans="1:19" s="99" customFormat="1" x14ac:dyDescent="0.15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</row>
    <row r="93" spans="1:19" s="99" customFormat="1" x14ac:dyDescent="0.15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</row>
    <row r="94" spans="1:19" s="99" customFormat="1" x14ac:dyDescent="0.15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</row>
    <row r="95" spans="1:19" x14ac:dyDescent="0.15">
      <c r="A95" s="99"/>
    </row>
    <row r="96" spans="1:19" x14ac:dyDescent="0.15">
      <c r="A96" s="99"/>
    </row>
    <row r="97" spans="1:1" x14ac:dyDescent="0.15">
      <c r="A97" s="99"/>
    </row>
    <row r="98" spans="1:1" x14ac:dyDescent="0.15">
      <c r="A98" s="99"/>
    </row>
    <row r="99" spans="1:1" x14ac:dyDescent="0.15">
      <c r="A99" s="99"/>
    </row>
  </sheetData>
  <mergeCells count="58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G7:J7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18:S18"/>
    <mergeCell ref="Q19:S19"/>
    <mergeCell ref="R10:S10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Q13:S13"/>
    <mergeCell ref="Q17:S17"/>
    <mergeCell ref="G17:J17"/>
    <mergeCell ref="G26:J26"/>
    <mergeCell ref="G28:J28"/>
    <mergeCell ref="G8:J8"/>
    <mergeCell ref="G9:J9"/>
    <mergeCell ref="G12:J12"/>
    <mergeCell ref="G15:J15"/>
    <mergeCell ref="G16:J16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91"/>
  <sheetViews>
    <sheetView showZeros="0" zoomScale="75" zoomScaleNormal="75" zoomScaleSheetLayoutView="75" workbookViewId="0"/>
  </sheetViews>
  <sheetFormatPr defaultRowHeight="13.5" x14ac:dyDescent="0.15"/>
  <cols>
    <col min="1" max="1" width="1.625" style="31" customWidth="1"/>
    <col min="2" max="2" width="3.625" style="31" customWidth="1"/>
    <col min="3" max="3" width="15.625" style="31" customWidth="1"/>
    <col min="4" max="4" width="15.125" style="31" customWidth="1"/>
    <col min="5" max="7" width="8.625" style="31" customWidth="1"/>
    <col min="8" max="8" width="1.625" style="146" customWidth="1"/>
    <col min="9" max="9" width="3.625" style="31" customWidth="1"/>
    <col min="10" max="10" width="15.625" style="31" customWidth="1"/>
    <col min="11" max="14" width="8.625" style="31" customWidth="1"/>
    <col min="15" max="15" width="3.5" style="31" customWidth="1"/>
    <col min="16" max="16" width="20.375" style="112" customWidth="1"/>
    <col min="17" max="17" width="8.625" style="31" customWidth="1"/>
    <col min="18" max="18" width="8.625" style="32" customWidth="1"/>
    <col min="19" max="21" width="8.625" style="31" customWidth="1"/>
    <col min="22" max="22" width="10.625" style="32" customWidth="1"/>
    <col min="23" max="23" width="9" style="31"/>
    <col min="24" max="24" width="0" style="31" hidden="1" customWidth="1"/>
    <col min="25" max="25" width="20.5" style="31" hidden="1" customWidth="1"/>
    <col min="26" max="31" width="0" style="31" hidden="1" customWidth="1"/>
    <col min="32" max="32" width="17" style="31" hidden="1" customWidth="1"/>
    <col min="33" max="35" width="0" style="31" hidden="1" customWidth="1"/>
    <col min="36" max="36" width="9.75" style="31" hidden="1" customWidth="1"/>
    <col min="37" max="38" width="0" style="31" hidden="1" customWidth="1"/>
    <col min="39" max="244" width="9" style="31"/>
    <col min="245" max="245" width="1.375" style="31" customWidth="1"/>
    <col min="246" max="246" width="3.5" style="31" customWidth="1"/>
    <col min="247" max="247" width="22.125" style="31" customWidth="1"/>
    <col min="248" max="248" width="9.75" style="31" customWidth="1"/>
    <col min="249" max="249" width="7.375" style="31" customWidth="1"/>
    <col min="250" max="250" width="9" style="31"/>
    <col min="251" max="251" width="9.25" style="31" customWidth="1"/>
    <col min="252" max="252" width="3.5" style="31" customWidth="1"/>
    <col min="253" max="254" width="12.625" style="31" customWidth="1"/>
    <col min="255" max="255" width="9" style="31"/>
    <col min="256" max="256" width="7.75" style="31" customWidth="1"/>
    <col min="257" max="257" width="13.125" style="31" customWidth="1"/>
    <col min="258" max="258" width="6.125" style="31" customWidth="1"/>
    <col min="259" max="259" width="9.75" style="31" customWidth="1"/>
    <col min="260" max="260" width="1.375" style="31" customWidth="1"/>
    <col min="261" max="500" width="9" style="31"/>
    <col min="501" max="501" width="1.375" style="31" customWidth="1"/>
    <col min="502" max="502" width="3.5" style="31" customWidth="1"/>
    <col min="503" max="503" width="22.125" style="31" customWidth="1"/>
    <col min="504" max="504" width="9.75" style="31" customWidth="1"/>
    <col min="505" max="505" width="7.375" style="31" customWidth="1"/>
    <col min="506" max="506" width="9" style="31"/>
    <col min="507" max="507" width="9.25" style="31" customWidth="1"/>
    <col min="508" max="508" width="3.5" style="31" customWidth="1"/>
    <col min="509" max="510" width="12.625" style="31" customWidth="1"/>
    <col min="511" max="511" width="9" style="31"/>
    <col min="512" max="512" width="7.75" style="31" customWidth="1"/>
    <col min="513" max="513" width="13.125" style="31" customWidth="1"/>
    <col min="514" max="514" width="6.125" style="31" customWidth="1"/>
    <col min="515" max="515" width="9.75" style="31" customWidth="1"/>
    <col min="516" max="516" width="1.375" style="31" customWidth="1"/>
    <col min="517" max="756" width="9" style="31"/>
    <col min="757" max="757" width="1.375" style="31" customWidth="1"/>
    <col min="758" max="758" width="3.5" style="31" customWidth="1"/>
    <col min="759" max="759" width="22.125" style="31" customWidth="1"/>
    <col min="760" max="760" width="9.75" style="31" customWidth="1"/>
    <col min="761" max="761" width="7.375" style="31" customWidth="1"/>
    <col min="762" max="762" width="9" style="31"/>
    <col min="763" max="763" width="9.25" style="31" customWidth="1"/>
    <col min="764" max="764" width="3.5" style="31" customWidth="1"/>
    <col min="765" max="766" width="12.625" style="31" customWidth="1"/>
    <col min="767" max="767" width="9" style="31"/>
    <col min="768" max="768" width="7.75" style="31" customWidth="1"/>
    <col min="769" max="769" width="13.125" style="31" customWidth="1"/>
    <col min="770" max="770" width="6.125" style="31" customWidth="1"/>
    <col min="771" max="771" width="9.75" style="31" customWidth="1"/>
    <col min="772" max="772" width="1.375" style="31" customWidth="1"/>
    <col min="773" max="1012" width="9" style="31"/>
    <col min="1013" max="1013" width="1.375" style="31" customWidth="1"/>
    <col min="1014" max="1014" width="3.5" style="31" customWidth="1"/>
    <col min="1015" max="1015" width="22.125" style="31" customWidth="1"/>
    <col min="1016" max="1016" width="9.75" style="31" customWidth="1"/>
    <col min="1017" max="1017" width="7.375" style="31" customWidth="1"/>
    <col min="1018" max="1018" width="9" style="31"/>
    <col min="1019" max="1019" width="9.25" style="31" customWidth="1"/>
    <col min="1020" max="1020" width="3.5" style="31" customWidth="1"/>
    <col min="1021" max="1022" width="12.625" style="31" customWidth="1"/>
    <col min="1023" max="1023" width="9" style="31"/>
    <col min="1024" max="1024" width="7.75" style="31" customWidth="1"/>
    <col min="1025" max="1025" width="13.125" style="31" customWidth="1"/>
    <col min="1026" max="1026" width="6.125" style="31" customWidth="1"/>
    <col min="1027" max="1027" width="9.75" style="31" customWidth="1"/>
    <col min="1028" max="1028" width="1.375" style="31" customWidth="1"/>
    <col min="1029" max="1268" width="9" style="31"/>
    <col min="1269" max="1269" width="1.375" style="31" customWidth="1"/>
    <col min="1270" max="1270" width="3.5" style="31" customWidth="1"/>
    <col min="1271" max="1271" width="22.125" style="31" customWidth="1"/>
    <col min="1272" max="1272" width="9.75" style="31" customWidth="1"/>
    <col min="1273" max="1273" width="7.375" style="31" customWidth="1"/>
    <col min="1274" max="1274" width="9" style="31"/>
    <col min="1275" max="1275" width="9.25" style="31" customWidth="1"/>
    <col min="1276" max="1276" width="3.5" style="31" customWidth="1"/>
    <col min="1277" max="1278" width="12.625" style="31" customWidth="1"/>
    <col min="1279" max="1279" width="9" style="31"/>
    <col min="1280" max="1280" width="7.75" style="31" customWidth="1"/>
    <col min="1281" max="1281" width="13.125" style="31" customWidth="1"/>
    <col min="1282" max="1282" width="6.125" style="31" customWidth="1"/>
    <col min="1283" max="1283" width="9.75" style="31" customWidth="1"/>
    <col min="1284" max="1284" width="1.375" style="31" customWidth="1"/>
    <col min="1285" max="1524" width="9" style="31"/>
    <col min="1525" max="1525" width="1.375" style="31" customWidth="1"/>
    <col min="1526" max="1526" width="3.5" style="31" customWidth="1"/>
    <col min="1527" max="1527" width="22.125" style="31" customWidth="1"/>
    <col min="1528" max="1528" width="9.75" style="31" customWidth="1"/>
    <col min="1529" max="1529" width="7.375" style="31" customWidth="1"/>
    <col min="1530" max="1530" width="9" style="31"/>
    <col min="1531" max="1531" width="9.25" style="31" customWidth="1"/>
    <col min="1532" max="1532" width="3.5" style="31" customWidth="1"/>
    <col min="1533" max="1534" width="12.625" style="31" customWidth="1"/>
    <col min="1535" max="1535" width="9" style="31"/>
    <col min="1536" max="1536" width="7.75" style="31" customWidth="1"/>
    <col min="1537" max="1537" width="13.125" style="31" customWidth="1"/>
    <col min="1538" max="1538" width="6.125" style="31" customWidth="1"/>
    <col min="1539" max="1539" width="9.75" style="31" customWidth="1"/>
    <col min="1540" max="1540" width="1.375" style="31" customWidth="1"/>
    <col min="1541" max="1780" width="9" style="31"/>
    <col min="1781" max="1781" width="1.375" style="31" customWidth="1"/>
    <col min="1782" max="1782" width="3.5" style="31" customWidth="1"/>
    <col min="1783" max="1783" width="22.125" style="31" customWidth="1"/>
    <col min="1784" max="1784" width="9.75" style="31" customWidth="1"/>
    <col min="1785" max="1785" width="7.375" style="31" customWidth="1"/>
    <col min="1786" max="1786" width="9" style="31"/>
    <col min="1787" max="1787" width="9.25" style="31" customWidth="1"/>
    <col min="1788" max="1788" width="3.5" style="31" customWidth="1"/>
    <col min="1789" max="1790" width="12.625" style="31" customWidth="1"/>
    <col min="1791" max="1791" width="9" style="31"/>
    <col min="1792" max="1792" width="7.75" style="31" customWidth="1"/>
    <col min="1793" max="1793" width="13.125" style="31" customWidth="1"/>
    <col min="1794" max="1794" width="6.125" style="31" customWidth="1"/>
    <col min="1795" max="1795" width="9.75" style="31" customWidth="1"/>
    <col min="1796" max="1796" width="1.375" style="31" customWidth="1"/>
    <col min="1797" max="2036" width="9" style="31"/>
    <col min="2037" max="2037" width="1.375" style="31" customWidth="1"/>
    <col min="2038" max="2038" width="3.5" style="31" customWidth="1"/>
    <col min="2039" max="2039" width="22.125" style="31" customWidth="1"/>
    <col min="2040" max="2040" width="9.75" style="31" customWidth="1"/>
    <col min="2041" max="2041" width="7.375" style="31" customWidth="1"/>
    <col min="2042" max="2042" width="9" style="31"/>
    <col min="2043" max="2043" width="9.25" style="31" customWidth="1"/>
    <col min="2044" max="2044" width="3.5" style="31" customWidth="1"/>
    <col min="2045" max="2046" width="12.625" style="31" customWidth="1"/>
    <col min="2047" max="2047" width="9" style="31"/>
    <col min="2048" max="2048" width="7.75" style="31" customWidth="1"/>
    <col min="2049" max="2049" width="13.125" style="31" customWidth="1"/>
    <col min="2050" max="2050" width="6.125" style="31" customWidth="1"/>
    <col min="2051" max="2051" width="9.75" style="31" customWidth="1"/>
    <col min="2052" max="2052" width="1.375" style="31" customWidth="1"/>
    <col min="2053" max="2292" width="9" style="31"/>
    <col min="2293" max="2293" width="1.375" style="31" customWidth="1"/>
    <col min="2294" max="2294" width="3.5" style="31" customWidth="1"/>
    <col min="2295" max="2295" width="22.125" style="31" customWidth="1"/>
    <col min="2296" max="2296" width="9.75" style="31" customWidth="1"/>
    <col min="2297" max="2297" width="7.375" style="31" customWidth="1"/>
    <col min="2298" max="2298" width="9" style="31"/>
    <col min="2299" max="2299" width="9.25" style="31" customWidth="1"/>
    <col min="2300" max="2300" width="3.5" style="31" customWidth="1"/>
    <col min="2301" max="2302" width="12.625" style="31" customWidth="1"/>
    <col min="2303" max="2303" width="9" style="31"/>
    <col min="2304" max="2304" width="7.75" style="31" customWidth="1"/>
    <col min="2305" max="2305" width="13.125" style="31" customWidth="1"/>
    <col min="2306" max="2306" width="6.125" style="31" customWidth="1"/>
    <col min="2307" max="2307" width="9.75" style="31" customWidth="1"/>
    <col min="2308" max="2308" width="1.375" style="31" customWidth="1"/>
    <col min="2309" max="2548" width="9" style="31"/>
    <col min="2549" max="2549" width="1.375" style="31" customWidth="1"/>
    <col min="2550" max="2550" width="3.5" style="31" customWidth="1"/>
    <col min="2551" max="2551" width="22.125" style="31" customWidth="1"/>
    <col min="2552" max="2552" width="9.75" style="31" customWidth="1"/>
    <col min="2553" max="2553" width="7.375" style="31" customWidth="1"/>
    <col min="2554" max="2554" width="9" style="31"/>
    <col min="2555" max="2555" width="9.25" style="31" customWidth="1"/>
    <col min="2556" max="2556" width="3.5" style="31" customWidth="1"/>
    <col min="2557" max="2558" width="12.625" style="31" customWidth="1"/>
    <col min="2559" max="2559" width="9" style="31"/>
    <col min="2560" max="2560" width="7.75" style="31" customWidth="1"/>
    <col min="2561" max="2561" width="13.125" style="31" customWidth="1"/>
    <col min="2562" max="2562" width="6.125" style="31" customWidth="1"/>
    <col min="2563" max="2563" width="9.75" style="31" customWidth="1"/>
    <col min="2564" max="2564" width="1.375" style="31" customWidth="1"/>
    <col min="2565" max="2804" width="9" style="31"/>
    <col min="2805" max="2805" width="1.375" style="31" customWidth="1"/>
    <col min="2806" max="2806" width="3.5" style="31" customWidth="1"/>
    <col min="2807" max="2807" width="22.125" style="31" customWidth="1"/>
    <col min="2808" max="2808" width="9.75" style="31" customWidth="1"/>
    <col min="2809" max="2809" width="7.375" style="31" customWidth="1"/>
    <col min="2810" max="2810" width="9" style="31"/>
    <col min="2811" max="2811" width="9.25" style="31" customWidth="1"/>
    <col min="2812" max="2812" width="3.5" style="31" customWidth="1"/>
    <col min="2813" max="2814" width="12.625" style="31" customWidth="1"/>
    <col min="2815" max="2815" width="9" style="31"/>
    <col min="2816" max="2816" width="7.75" style="31" customWidth="1"/>
    <col min="2817" max="2817" width="13.125" style="31" customWidth="1"/>
    <col min="2818" max="2818" width="6.125" style="31" customWidth="1"/>
    <col min="2819" max="2819" width="9.75" style="31" customWidth="1"/>
    <col min="2820" max="2820" width="1.375" style="31" customWidth="1"/>
    <col min="2821" max="3060" width="9" style="31"/>
    <col min="3061" max="3061" width="1.375" style="31" customWidth="1"/>
    <col min="3062" max="3062" width="3.5" style="31" customWidth="1"/>
    <col min="3063" max="3063" width="22.125" style="31" customWidth="1"/>
    <col min="3064" max="3064" width="9.75" style="31" customWidth="1"/>
    <col min="3065" max="3065" width="7.375" style="31" customWidth="1"/>
    <col min="3066" max="3066" width="9" style="31"/>
    <col min="3067" max="3067" width="9.25" style="31" customWidth="1"/>
    <col min="3068" max="3068" width="3.5" style="31" customWidth="1"/>
    <col min="3069" max="3070" width="12.625" style="31" customWidth="1"/>
    <col min="3071" max="3071" width="9" style="31"/>
    <col min="3072" max="3072" width="7.75" style="31" customWidth="1"/>
    <col min="3073" max="3073" width="13.125" style="31" customWidth="1"/>
    <col min="3074" max="3074" width="6.125" style="31" customWidth="1"/>
    <col min="3075" max="3075" width="9.75" style="31" customWidth="1"/>
    <col min="3076" max="3076" width="1.375" style="31" customWidth="1"/>
    <col min="3077" max="3316" width="9" style="31"/>
    <col min="3317" max="3317" width="1.375" style="31" customWidth="1"/>
    <col min="3318" max="3318" width="3.5" style="31" customWidth="1"/>
    <col min="3319" max="3319" width="22.125" style="31" customWidth="1"/>
    <col min="3320" max="3320" width="9.75" style="31" customWidth="1"/>
    <col min="3321" max="3321" width="7.375" style="31" customWidth="1"/>
    <col min="3322" max="3322" width="9" style="31"/>
    <col min="3323" max="3323" width="9.25" style="31" customWidth="1"/>
    <col min="3324" max="3324" width="3.5" style="31" customWidth="1"/>
    <col min="3325" max="3326" width="12.625" style="31" customWidth="1"/>
    <col min="3327" max="3327" width="9" style="31"/>
    <col min="3328" max="3328" width="7.75" style="31" customWidth="1"/>
    <col min="3329" max="3329" width="13.125" style="31" customWidth="1"/>
    <col min="3330" max="3330" width="6.125" style="31" customWidth="1"/>
    <col min="3331" max="3331" width="9.75" style="31" customWidth="1"/>
    <col min="3332" max="3332" width="1.375" style="31" customWidth="1"/>
    <col min="3333" max="3572" width="9" style="31"/>
    <col min="3573" max="3573" width="1.375" style="31" customWidth="1"/>
    <col min="3574" max="3574" width="3.5" style="31" customWidth="1"/>
    <col min="3575" max="3575" width="22.125" style="31" customWidth="1"/>
    <col min="3576" max="3576" width="9.75" style="31" customWidth="1"/>
    <col min="3577" max="3577" width="7.375" style="31" customWidth="1"/>
    <col min="3578" max="3578" width="9" style="31"/>
    <col min="3579" max="3579" width="9.25" style="31" customWidth="1"/>
    <col min="3580" max="3580" width="3.5" style="31" customWidth="1"/>
    <col min="3581" max="3582" width="12.625" style="31" customWidth="1"/>
    <col min="3583" max="3583" width="9" style="31"/>
    <col min="3584" max="3584" width="7.75" style="31" customWidth="1"/>
    <col min="3585" max="3585" width="13.125" style="31" customWidth="1"/>
    <col min="3586" max="3586" width="6.125" style="31" customWidth="1"/>
    <col min="3587" max="3587" width="9.75" style="31" customWidth="1"/>
    <col min="3588" max="3588" width="1.375" style="31" customWidth="1"/>
    <col min="3589" max="3828" width="9" style="31"/>
    <col min="3829" max="3829" width="1.375" style="31" customWidth="1"/>
    <col min="3830" max="3830" width="3.5" style="31" customWidth="1"/>
    <col min="3831" max="3831" width="22.125" style="31" customWidth="1"/>
    <col min="3832" max="3832" width="9.75" style="31" customWidth="1"/>
    <col min="3833" max="3833" width="7.375" style="31" customWidth="1"/>
    <col min="3834" max="3834" width="9" style="31"/>
    <col min="3835" max="3835" width="9.25" style="31" customWidth="1"/>
    <col min="3836" max="3836" width="3.5" style="31" customWidth="1"/>
    <col min="3837" max="3838" width="12.625" style="31" customWidth="1"/>
    <col min="3839" max="3839" width="9" style="31"/>
    <col min="3840" max="3840" width="7.75" style="31" customWidth="1"/>
    <col min="3841" max="3841" width="13.125" style="31" customWidth="1"/>
    <col min="3842" max="3842" width="6.125" style="31" customWidth="1"/>
    <col min="3843" max="3843" width="9.75" style="31" customWidth="1"/>
    <col min="3844" max="3844" width="1.375" style="31" customWidth="1"/>
    <col min="3845" max="4084" width="9" style="31"/>
    <col min="4085" max="4085" width="1.375" style="31" customWidth="1"/>
    <col min="4086" max="4086" width="3.5" style="31" customWidth="1"/>
    <col min="4087" max="4087" width="22.125" style="31" customWidth="1"/>
    <col min="4088" max="4088" width="9.75" style="31" customWidth="1"/>
    <col min="4089" max="4089" width="7.375" style="31" customWidth="1"/>
    <col min="4090" max="4090" width="9" style="31"/>
    <col min="4091" max="4091" width="9.25" style="31" customWidth="1"/>
    <col min="4092" max="4092" width="3.5" style="31" customWidth="1"/>
    <col min="4093" max="4094" width="12.625" style="31" customWidth="1"/>
    <col min="4095" max="4095" width="9" style="31"/>
    <col min="4096" max="4096" width="7.75" style="31" customWidth="1"/>
    <col min="4097" max="4097" width="13.125" style="31" customWidth="1"/>
    <col min="4098" max="4098" width="6.125" style="31" customWidth="1"/>
    <col min="4099" max="4099" width="9.75" style="31" customWidth="1"/>
    <col min="4100" max="4100" width="1.375" style="31" customWidth="1"/>
    <col min="4101" max="4340" width="9" style="31"/>
    <col min="4341" max="4341" width="1.375" style="31" customWidth="1"/>
    <col min="4342" max="4342" width="3.5" style="31" customWidth="1"/>
    <col min="4343" max="4343" width="22.125" style="31" customWidth="1"/>
    <col min="4344" max="4344" width="9.75" style="31" customWidth="1"/>
    <col min="4345" max="4345" width="7.375" style="31" customWidth="1"/>
    <col min="4346" max="4346" width="9" style="31"/>
    <col min="4347" max="4347" width="9.25" style="31" customWidth="1"/>
    <col min="4348" max="4348" width="3.5" style="31" customWidth="1"/>
    <col min="4349" max="4350" width="12.625" style="31" customWidth="1"/>
    <col min="4351" max="4351" width="9" style="31"/>
    <col min="4352" max="4352" width="7.75" style="31" customWidth="1"/>
    <col min="4353" max="4353" width="13.125" style="31" customWidth="1"/>
    <col min="4354" max="4354" width="6.125" style="31" customWidth="1"/>
    <col min="4355" max="4355" width="9.75" style="31" customWidth="1"/>
    <col min="4356" max="4356" width="1.375" style="31" customWidth="1"/>
    <col min="4357" max="4596" width="9" style="31"/>
    <col min="4597" max="4597" width="1.375" style="31" customWidth="1"/>
    <col min="4598" max="4598" width="3.5" style="31" customWidth="1"/>
    <col min="4599" max="4599" width="22.125" style="31" customWidth="1"/>
    <col min="4600" max="4600" width="9.75" style="31" customWidth="1"/>
    <col min="4601" max="4601" width="7.375" style="31" customWidth="1"/>
    <col min="4602" max="4602" width="9" style="31"/>
    <col min="4603" max="4603" width="9.25" style="31" customWidth="1"/>
    <col min="4604" max="4604" width="3.5" style="31" customWidth="1"/>
    <col min="4605" max="4606" width="12.625" style="31" customWidth="1"/>
    <col min="4607" max="4607" width="9" style="31"/>
    <col min="4608" max="4608" width="7.75" style="31" customWidth="1"/>
    <col min="4609" max="4609" width="13.125" style="31" customWidth="1"/>
    <col min="4610" max="4610" width="6.125" style="31" customWidth="1"/>
    <col min="4611" max="4611" width="9.75" style="31" customWidth="1"/>
    <col min="4612" max="4612" width="1.375" style="31" customWidth="1"/>
    <col min="4613" max="4852" width="9" style="31"/>
    <col min="4853" max="4853" width="1.375" style="31" customWidth="1"/>
    <col min="4854" max="4854" width="3.5" style="31" customWidth="1"/>
    <col min="4855" max="4855" width="22.125" style="31" customWidth="1"/>
    <col min="4856" max="4856" width="9.75" style="31" customWidth="1"/>
    <col min="4857" max="4857" width="7.375" style="31" customWidth="1"/>
    <col min="4858" max="4858" width="9" style="31"/>
    <col min="4859" max="4859" width="9.25" style="31" customWidth="1"/>
    <col min="4860" max="4860" width="3.5" style="31" customWidth="1"/>
    <col min="4861" max="4862" width="12.625" style="31" customWidth="1"/>
    <col min="4863" max="4863" width="9" style="31"/>
    <col min="4864" max="4864" width="7.75" style="31" customWidth="1"/>
    <col min="4865" max="4865" width="13.125" style="31" customWidth="1"/>
    <col min="4866" max="4866" width="6.125" style="31" customWidth="1"/>
    <col min="4867" max="4867" width="9.75" style="31" customWidth="1"/>
    <col min="4868" max="4868" width="1.375" style="31" customWidth="1"/>
    <col min="4869" max="5108" width="9" style="31"/>
    <col min="5109" max="5109" width="1.375" style="31" customWidth="1"/>
    <col min="5110" max="5110" width="3.5" style="31" customWidth="1"/>
    <col min="5111" max="5111" width="22.125" style="31" customWidth="1"/>
    <col min="5112" max="5112" width="9.75" style="31" customWidth="1"/>
    <col min="5113" max="5113" width="7.375" style="31" customWidth="1"/>
    <col min="5114" max="5114" width="9" style="31"/>
    <col min="5115" max="5115" width="9.25" style="31" customWidth="1"/>
    <col min="5116" max="5116" width="3.5" style="31" customWidth="1"/>
    <col min="5117" max="5118" width="12.625" style="31" customWidth="1"/>
    <col min="5119" max="5119" width="9" style="31"/>
    <col min="5120" max="5120" width="7.75" style="31" customWidth="1"/>
    <col min="5121" max="5121" width="13.125" style="31" customWidth="1"/>
    <col min="5122" max="5122" width="6.125" style="31" customWidth="1"/>
    <col min="5123" max="5123" width="9.75" style="31" customWidth="1"/>
    <col min="5124" max="5124" width="1.375" style="31" customWidth="1"/>
    <col min="5125" max="5364" width="9" style="31"/>
    <col min="5365" max="5365" width="1.375" style="31" customWidth="1"/>
    <col min="5366" max="5366" width="3.5" style="31" customWidth="1"/>
    <col min="5367" max="5367" width="22.125" style="31" customWidth="1"/>
    <col min="5368" max="5368" width="9.75" style="31" customWidth="1"/>
    <col min="5369" max="5369" width="7.375" style="31" customWidth="1"/>
    <col min="5370" max="5370" width="9" style="31"/>
    <col min="5371" max="5371" width="9.25" style="31" customWidth="1"/>
    <col min="5372" max="5372" width="3.5" style="31" customWidth="1"/>
    <col min="5373" max="5374" width="12.625" style="31" customWidth="1"/>
    <col min="5375" max="5375" width="9" style="31"/>
    <col min="5376" max="5376" width="7.75" style="31" customWidth="1"/>
    <col min="5377" max="5377" width="13.125" style="31" customWidth="1"/>
    <col min="5378" max="5378" width="6.125" style="31" customWidth="1"/>
    <col min="5379" max="5379" width="9.75" style="31" customWidth="1"/>
    <col min="5380" max="5380" width="1.375" style="31" customWidth="1"/>
    <col min="5381" max="5620" width="9" style="31"/>
    <col min="5621" max="5621" width="1.375" style="31" customWidth="1"/>
    <col min="5622" max="5622" width="3.5" style="31" customWidth="1"/>
    <col min="5623" max="5623" width="22.125" style="31" customWidth="1"/>
    <col min="5624" max="5624" width="9.75" style="31" customWidth="1"/>
    <col min="5625" max="5625" width="7.375" style="31" customWidth="1"/>
    <col min="5626" max="5626" width="9" style="31"/>
    <col min="5627" max="5627" width="9.25" style="31" customWidth="1"/>
    <col min="5628" max="5628" width="3.5" style="31" customWidth="1"/>
    <col min="5629" max="5630" width="12.625" style="31" customWidth="1"/>
    <col min="5631" max="5631" width="9" style="31"/>
    <col min="5632" max="5632" width="7.75" style="31" customWidth="1"/>
    <col min="5633" max="5633" width="13.125" style="31" customWidth="1"/>
    <col min="5634" max="5634" width="6.125" style="31" customWidth="1"/>
    <col min="5635" max="5635" width="9.75" style="31" customWidth="1"/>
    <col min="5636" max="5636" width="1.375" style="31" customWidth="1"/>
    <col min="5637" max="5876" width="9" style="31"/>
    <col min="5877" max="5877" width="1.375" style="31" customWidth="1"/>
    <col min="5878" max="5878" width="3.5" style="31" customWidth="1"/>
    <col min="5879" max="5879" width="22.125" style="31" customWidth="1"/>
    <col min="5880" max="5880" width="9.75" style="31" customWidth="1"/>
    <col min="5881" max="5881" width="7.375" style="31" customWidth="1"/>
    <col min="5882" max="5882" width="9" style="31"/>
    <col min="5883" max="5883" width="9.25" style="31" customWidth="1"/>
    <col min="5884" max="5884" width="3.5" style="31" customWidth="1"/>
    <col min="5885" max="5886" width="12.625" style="31" customWidth="1"/>
    <col min="5887" max="5887" width="9" style="31"/>
    <col min="5888" max="5888" width="7.75" style="31" customWidth="1"/>
    <col min="5889" max="5889" width="13.125" style="31" customWidth="1"/>
    <col min="5890" max="5890" width="6.125" style="31" customWidth="1"/>
    <col min="5891" max="5891" width="9.75" style="31" customWidth="1"/>
    <col min="5892" max="5892" width="1.375" style="31" customWidth="1"/>
    <col min="5893" max="6132" width="9" style="31"/>
    <col min="6133" max="6133" width="1.375" style="31" customWidth="1"/>
    <col min="6134" max="6134" width="3.5" style="31" customWidth="1"/>
    <col min="6135" max="6135" width="22.125" style="31" customWidth="1"/>
    <col min="6136" max="6136" width="9.75" style="31" customWidth="1"/>
    <col min="6137" max="6137" width="7.375" style="31" customWidth="1"/>
    <col min="6138" max="6138" width="9" style="31"/>
    <col min="6139" max="6139" width="9.25" style="31" customWidth="1"/>
    <col min="6140" max="6140" width="3.5" style="31" customWidth="1"/>
    <col min="6141" max="6142" width="12.625" style="31" customWidth="1"/>
    <col min="6143" max="6143" width="9" style="31"/>
    <col min="6144" max="6144" width="7.75" style="31" customWidth="1"/>
    <col min="6145" max="6145" width="13.125" style="31" customWidth="1"/>
    <col min="6146" max="6146" width="6.125" style="31" customWidth="1"/>
    <col min="6147" max="6147" width="9.75" style="31" customWidth="1"/>
    <col min="6148" max="6148" width="1.375" style="31" customWidth="1"/>
    <col min="6149" max="6388" width="9" style="31"/>
    <col min="6389" max="6389" width="1.375" style="31" customWidth="1"/>
    <col min="6390" max="6390" width="3.5" style="31" customWidth="1"/>
    <col min="6391" max="6391" width="22.125" style="31" customWidth="1"/>
    <col min="6392" max="6392" width="9.75" style="31" customWidth="1"/>
    <col min="6393" max="6393" width="7.375" style="31" customWidth="1"/>
    <col min="6394" max="6394" width="9" style="31"/>
    <col min="6395" max="6395" width="9.25" style="31" customWidth="1"/>
    <col min="6396" max="6396" width="3.5" style="31" customWidth="1"/>
    <col min="6397" max="6398" width="12.625" style="31" customWidth="1"/>
    <col min="6399" max="6399" width="9" style="31"/>
    <col min="6400" max="6400" width="7.75" style="31" customWidth="1"/>
    <col min="6401" max="6401" width="13.125" style="31" customWidth="1"/>
    <col min="6402" max="6402" width="6.125" style="31" customWidth="1"/>
    <col min="6403" max="6403" width="9.75" style="31" customWidth="1"/>
    <col min="6404" max="6404" width="1.375" style="31" customWidth="1"/>
    <col min="6405" max="6644" width="9" style="31"/>
    <col min="6645" max="6645" width="1.375" style="31" customWidth="1"/>
    <col min="6646" max="6646" width="3.5" style="31" customWidth="1"/>
    <col min="6647" max="6647" width="22.125" style="31" customWidth="1"/>
    <col min="6648" max="6648" width="9.75" style="31" customWidth="1"/>
    <col min="6649" max="6649" width="7.375" style="31" customWidth="1"/>
    <col min="6650" max="6650" width="9" style="31"/>
    <col min="6651" max="6651" width="9.25" style="31" customWidth="1"/>
    <col min="6652" max="6652" width="3.5" style="31" customWidth="1"/>
    <col min="6653" max="6654" width="12.625" style="31" customWidth="1"/>
    <col min="6655" max="6655" width="9" style="31"/>
    <col min="6656" max="6656" width="7.75" style="31" customWidth="1"/>
    <col min="6657" max="6657" width="13.125" style="31" customWidth="1"/>
    <col min="6658" max="6658" width="6.125" style="31" customWidth="1"/>
    <col min="6659" max="6659" width="9.75" style="31" customWidth="1"/>
    <col min="6660" max="6660" width="1.375" style="31" customWidth="1"/>
    <col min="6661" max="6900" width="9" style="31"/>
    <col min="6901" max="6901" width="1.375" style="31" customWidth="1"/>
    <col min="6902" max="6902" width="3.5" style="31" customWidth="1"/>
    <col min="6903" max="6903" width="22.125" style="31" customWidth="1"/>
    <col min="6904" max="6904" width="9.75" style="31" customWidth="1"/>
    <col min="6905" max="6905" width="7.375" style="31" customWidth="1"/>
    <col min="6906" max="6906" width="9" style="31"/>
    <col min="6907" max="6907" width="9.25" style="31" customWidth="1"/>
    <col min="6908" max="6908" width="3.5" style="31" customWidth="1"/>
    <col min="6909" max="6910" width="12.625" style="31" customWidth="1"/>
    <col min="6911" max="6911" width="9" style="31"/>
    <col min="6912" max="6912" width="7.75" style="31" customWidth="1"/>
    <col min="6913" max="6913" width="13.125" style="31" customWidth="1"/>
    <col min="6914" max="6914" width="6.125" style="31" customWidth="1"/>
    <col min="6915" max="6915" width="9.75" style="31" customWidth="1"/>
    <col min="6916" max="6916" width="1.375" style="31" customWidth="1"/>
    <col min="6917" max="7156" width="9" style="31"/>
    <col min="7157" max="7157" width="1.375" style="31" customWidth="1"/>
    <col min="7158" max="7158" width="3.5" style="31" customWidth="1"/>
    <col min="7159" max="7159" width="22.125" style="31" customWidth="1"/>
    <col min="7160" max="7160" width="9.75" style="31" customWidth="1"/>
    <col min="7161" max="7161" width="7.375" style="31" customWidth="1"/>
    <col min="7162" max="7162" width="9" style="31"/>
    <col min="7163" max="7163" width="9.25" style="31" customWidth="1"/>
    <col min="7164" max="7164" width="3.5" style="31" customWidth="1"/>
    <col min="7165" max="7166" width="12.625" style="31" customWidth="1"/>
    <col min="7167" max="7167" width="9" style="31"/>
    <col min="7168" max="7168" width="7.75" style="31" customWidth="1"/>
    <col min="7169" max="7169" width="13.125" style="31" customWidth="1"/>
    <col min="7170" max="7170" width="6.125" style="31" customWidth="1"/>
    <col min="7171" max="7171" width="9.75" style="31" customWidth="1"/>
    <col min="7172" max="7172" width="1.375" style="31" customWidth="1"/>
    <col min="7173" max="7412" width="9" style="31"/>
    <col min="7413" max="7413" width="1.375" style="31" customWidth="1"/>
    <col min="7414" max="7414" width="3.5" style="31" customWidth="1"/>
    <col min="7415" max="7415" width="22.125" style="31" customWidth="1"/>
    <col min="7416" max="7416" width="9.75" style="31" customWidth="1"/>
    <col min="7417" max="7417" width="7.375" style="31" customWidth="1"/>
    <col min="7418" max="7418" width="9" style="31"/>
    <col min="7419" max="7419" width="9.25" style="31" customWidth="1"/>
    <col min="7420" max="7420" width="3.5" style="31" customWidth="1"/>
    <col min="7421" max="7422" width="12.625" style="31" customWidth="1"/>
    <col min="7423" max="7423" width="9" style="31"/>
    <col min="7424" max="7424" width="7.75" style="31" customWidth="1"/>
    <col min="7425" max="7425" width="13.125" style="31" customWidth="1"/>
    <col min="7426" max="7426" width="6.125" style="31" customWidth="1"/>
    <col min="7427" max="7427" width="9.75" style="31" customWidth="1"/>
    <col min="7428" max="7428" width="1.375" style="31" customWidth="1"/>
    <col min="7429" max="7668" width="9" style="31"/>
    <col min="7669" max="7669" width="1.375" style="31" customWidth="1"/>
    <col min="7670" max="7670" width="3.5" style="31" customWidth="1"/>
    <col min="7671" max="7671" width="22.125" style="31" customWidth="1"/>
    <col min="7672" max="7672" width="9.75" style="31" customWidth="1"/>
    <col min="7673" max="7673" width="7.375" style="31" customWidth="1"/>
    <col min="7674" max="7674" width="9" style="31"/>
    <col min="7675" max="7675" width="9.25" style="31" customWidth="1"/>
    <col min="7676" max="7676" width="3.5" style="31" customWidth="1"/>
    <col min="7677" max="7678" width="12.625" style="31" customWidth="1"/>
    <col min="7679" max="7679" width="9" style="31"/>
    <col min="7680" max="7680" width="7.75" style="31" customWidth="1"/>
    <col min="7681" max="7681" width="13.125" style="31" customWidth="1"/>
    <col min="7682" max="7682" width="6.125" style="31" customWidth="1"/>
    <col min="7683" max="7683" width="9.75" style="31" customWidth="1"/>
    <col min="7684" max="7684" width="1.375" style="31" customWidth="1"/>
    <col min="7685" max="7924" width="9" style="31"/>
    <col min="7925" max="7925" width="1.375" style="31" customWidth="1"/>
    <col min="7926" max="7926" width="3.5" style="31" customWidth="1"/>
    <col min="7927" max="7927" width="22.125" style="31" customWidth="1"/>
    <col min="7928" max="7928" width="9.75" style="31" customWidth="1"/>
    <col min="7929" max="7929" width="7.375" style="31" customWidth="1"/>
    <col min="7930" max="7930" width="9" style="31"/>
    <col min="7931" max="7931" width="9.25" style="31" customWidth="1"/>
    <col min="7932" max="7932" width="3.5" style="31" customWidth="1"/>
    <col min="7933" max="7934" width="12.625" style="31" customWidth="1"/>
    <col min="7935" max="7935" width="9" style="31"/>
    <col min="7936" max="7936" width="7.75" style="31" customWidth="1"/>
    <col min="7937" max="7937" width="13.125" style="31" customWidth="1"/>
    <col min="7938" max="7938" width="6.125" style="31" customWidth="1"/>
    <col min="7939" max="7939" width="9.75" style="31" customWidth="1"/>
    <col min="7940" max="7940" width="1.375" style="31" customWidth="1"/>
    <col min="7941" max="8180" width="9" style="31"/>
    <col min="8181" max="8181" width="1.375" style="31" customWidth="1"/>
    <col min="8182" max="8182" width="3.5" style="31" customWidth="1"/>
    <col min="8183" max="8183" width="22.125" style="31" customWidth="1"/>
    <col min="8184" max="8184" width="9.75" style="31" customWidth="1"/>
    <col min="8185" max="8185" width="7.375" style="31" customWidth="1"/>
    <col min="8186" max="8186" width="9" style="31"/>
    <col min="8187" max="8187" width="9.25" style="31" customWidth="1"/>
    <col min="8188" max="8188" width="3.5" style="31" customWidth="1"/>
    <col min="8189" max="8190" width="12.625" style="31" customWidth="1"/>
    <col min="8191" max="8191" width="9" style="31"/>
    <col min="8192" max="8192" width="7.75" style="31" customWidth="1"/>
    <col min="8193" max="8193" width="13.125" style="31" customWidth="1"/>
    <col min="8194" max="8194" width="6.125" style="31" customWidth="1"/>
    <col min="8195" max="8195" width="9.75" style="31" customWidth="1"/>
    <col min="8196" max="8196" width="1.375" style="31" customWidth="1"/>
    <col min="8197" max="8436" width="9" style="31"/>
    <col min="8437" max="8437" width="1.375" style="31" customWidth="1"/>
    <col min="8438" max="8438" width="3.5" style="31" customWidth="1"/>
    <col min="8439" max="8439" width="22.125" style="31" customWidth="1"/>
    <col min="8440" max="8440" width="9.75" style="31" customWidth="1"/>
    <col min="8441" max="8441" width="7.375" style="31" customWidth="1"/>
    <col min="8442" max="8442" width="9" style="31"/>
    <col min="8443" max="8443" width="9.25" style="31" customWidth="1"/>
    <col min="8444" max="8444" width="3.5" style="31" customWidth="1"/>
    <col min="8445" max="8446" width="12.625" style="31" customWidth="1"/>
    <col min="8447" max="8447" width="9" style="31"/>
    <col min="8448" max="8448" width="7.75" style="31" customWidth="1"/>
    <col min="8449" max="8449" width="13.125" style="31" customWidth="1"/>
    <col min="8450" max="8450" width="6.125" style="31" customWidth="1"/>
    <col min="8451" max="8451" width="9.75" style="31" customWidth="1"/>
    <col min="8452" max="8452" width="1.375" style="31" customWidth="1"/>
    <col min="8453" max="8692" width="9" style="31"/>
    <col min="8693" max="8693" width="1.375" style="31" customWidth="1"/>
    <col min="8694" max="8694" width="3.5" style="31" customWidth="1"/>
    <col min="8695" max="8695" width="22.125" style="31" customWidth="1"/>
    <col min="8696" max="8696" width="9.75" style="31" customWidth="1"/>
    <col min="8697" max="8697" width="7.375" style="31" customWidth="1"/>
    <col min="8698" max="8698" width="9" style="31"/>
    <col min="8699" max="8699" width="9.25" style="31" customWidth="1"/>
    <col min="8700" max="8700" width="3.5" style="31" customWidth="1"/>
    <col min="8701" max="8702" width="12.625" style="31" customWidth="1"/>
    <col min="8703" max="8703" width="9" style="31"/>
    <col min="8704" max="8704" width="7.75" style="31" customWidth="1"/>
    <col min="8705" max="8705" width="13.125" style="31" customWidth="1"/>
    <col min="8706" max="8706" width="6.125" style="31" customWidth="1"/>
    <col min="8707" max="8707" width="9.75" style="31" customWidth="1"/>
    <col min="8708" max="8708" width="1.375" style="31" customWidth="1"/>
    <col min="8709" max="8948" width="9" style="31"/>
    <col min="8949" max="8949" width="1.375" style="31" customWidth="1"/>
    <col min="8950" max="8950" width="3.5" style="31" customWidth="1"/>
    <col min="8951" max="8951" width="22.125" style="31" customWidth="1"/>
    <col min="8952" max="8952" width="9.75" style="31" customWidth="1"/>
    <col min="8953" max="8953" width="7.375" style="31" customWidth="1"/>
    <col min="8954" max="8954" width="9" style="31"/>
    <col min="8955" max="8955" width="9.25" style="31" customWidth="1"/>
    <col min="8956" max="8956" width="3.5" style="31" customWidth="1"/>
    <col min="8957" max="8958" width="12.625" style="31" customWidth="1"/>
    <col min="8959" max="8959" width="9" style="31"/>
    <col min="8960" max="8960" width="7.75" style="31" customWidth="1"/>
    <col min="8961" max="8961" width="13.125" style="31" customWidth="1"/>
    <col min="8962" max="8962" width="6.125" style="31" customWidth="1"/>
    <col min="8963" max="8963" width="9.75" style="31" customWidth="1"/>
    <col min="8964" max="8964" width="1.375" style="31" customWidth="1"/>
    <col min="8965" max="9204" width="9" style="31"/>
    <col min="9205" max="9205" width="1.375" style="31" customWidth="1"/>
    <col min="9206" max="9206" width="3.5" style="31" customWidth="1"/>
    <col min="9207" max="9207" width="22.125" style="31" customWidth="1"/>
    <col min="9208" max="9208" width="9.75" style="31" customWidth="1"/>
    <col min="9209" max="9209" width="7.375" style="31" customWidth="1"/>
    <col min="9210" max="9210" width="9" style="31"/>
    <col min="9211" max="9211" width="9.25" style="31" customWidth="1"/>
    <col min="9212" max="9212" width="3.5" style="31" customWidth="1"/>
    <col min="9213" max="9214" width="12.625" style="31" customWidth="1"/>
    <col min="9215" max="9215" width="9" style="31"/>
    <col min="9216" max="9216" width="7.75" style="31" customWidth="1"/>
    <col min="9217" max="9217" width="13.125" style="31" customWidth="1"/>
    <col min="9218" max="9218" width="6.125" style="31" customWidth="1"/>
    <col min="9219" max="9219" width="9.75" style="31" customWidth="1"/>
    <col min="9220" max="9220" width="1.375" style="31" customWidth="1"/>
    <col min="9221" max="9460" width="9" style="31"/>
    <col min="9461" max="9461" width="1.375" style="31" customWidth="1"/>
    <col min="9462" max="9462" width="3.5" style="31" customWidth="1"/>
    <col min="9463" max="9463" width="22.125" style="31" customWidth="1"/>
    <col min="9464" max="9464" width="9.75" style="31" customWidth="1"/>
    <col min="9465" max="9465" width="7.375" style="31" customWidth="1"/>
    <col min="9466" max="9466" width="9" style="31"/>
    <col min="9467" max="9467" width="9.25" style="31" customWidth="1"/>
    <col min="9468" max="9468" width="3.5" style="31" customWidth="1"/>
    <col min="9469" max="9470" width="12.625" style="31" customWidth="1"/>
    <col min="9471" max="9471" width="9" style="31"/>
    <col min="9472" max="9472" width="7.75" style="31" customWidth="1"/>
    <col min="9473" max="9473" width="13.125" style="31" customWidth="1"/>
    <col min="9474" max="9474" width="6.125" style="31" customWidth="1"/>
    <col min="9475" max="9475" width="9.75" style="31" customWidth="1"/>
    <col min="9476" max="9476" width="1.375" style="31" customWidth="1"/>
    <col min="9477" max="9716" width="9" style="31"/>
    <col min="9717" max="9717" width="1.375" style="31" customWidth="1"/>
    <col min="9718" max="9718" width="3.5" style="31" customWidth="1"/>
    <col min="9719" max="9719" width="22.125" style="31" customWidth="1"/>
    <col min="9720" max="9720" width="9.75" style="31" customWidth="1"/>
    <col min="9721" max="9721" width="7.375" style="31" customWidth="1"/>
    <col min="9722" max="9722" width="9" style="31"/>
    <col min="9723" max="9723" width="9.25" style="31" customWidth="1"/>
    <col min="9724" max="9724" width="3.5" style="31" customWidth="1"/>
    <col min="9725" max="9726" width="12.625" style="31" customWidth="1"/>
    <col min="9727" max="9727" width="9" style="31"/>
    <col min="9728" max="9728" width="7.75" style="31" customWidth="1"/>
    <col min="9729" max="9729" width="13.125" style="31" customWidth="1"/>
    <col min="9730" max="9730" width="6.125" style="31" customWidth="1"/>
    <col min="9731" max="9731" width="9.75" style="31" customWidth="1"/>
    <col min="9732" max="9732" width="1.375" style="31" customWidth="1"/>
    <col min="9733" max="9972" width="9" style="31"/>
    <col min="9973" max="9973" width="1.375" style="31" customWidth="1"/>
    <col min="9974" max="9974" width="3.5" style="31" customWidth="1"/>
    <col min="9975" max="9975" width="22.125" style="31" customWidth="1"/>
    <col min="9976" max="9976" width="9.75" style="31" customWidth="1"/>
    <col min="9977" max="9977" width="7.375" style="31" customWidth="1"/>
    <col min="9978" max="9978" width="9" style="31"/>
    <col min="9979" max="9979" width="9.25" style="31" customWidth="1"/>
    <col min="9980" max="9980" width="3.5" style="31" customWidth="1"/>
    <col min="9981" max="9982" width="12.625" style="31" customWidth="1"/>
    <col min="9983" max="9983" width="9" style="31"/>
    <col min="9984" max="9984" width="7.75" style="31" customWidth="1"/>
    <col min="9985" max="9985" width="13.125" style="31" customWidth="1"/>
    <col min="9986" max="9986" width="6.125" style="31" customWidth="1"/>
    <col min="9987" max="9987" width="9.75" style="31" customWidth="1"/>
    <col min="9988" max="9988" width="1.375" style="31" customWidth="1"/>
    <col min="9989" max="10228" width="9" style="31"/>
    <col min="10229" max="10229" width="1.375" style="31" customWidth="1"/>
    <col min="10230" max="10230" width="3.5" style="31" customWidth="1"/>
    <col min="10231" max="10231" width="22.125" style="31" customWidth="1"/>
    <col min="10232" max="10232" width="9.75" style="31" customWidth="1"/>
    <col min="10233" max="10233" width="7.375" style="31" customWidth="1"/>
    <col min="10234" max="10234" width="9" style="31"/>
    <col min="10235" max="10235" width="9.25" style="31" customWidth="1"/>
    <col min="10236" max="10236" width="3.5" style="31" customWidth="1"/>
    <col min="10237" max="10238" width="12.625" style="31" customWidth="1"/>
    <col min="10239" max="10239" width="9" style="31"/>
    <col min="10240" max="10240" width="7.75" style="31" customWidth="1"/>
    <col min="10241" max="10241" width="13.125" style="31" customWidth="1"/>
    <col min="10242" max="10242" width="6.125" style="31" customWidth="1"/>
    <col min="10243" max="10243" width="9.75" style="31" customWidth="1"/>
    <col min="10244" max="10244" width="1.375" style="31" customWidth="1"/>
    <col min="10245" max="10484" width="9" style="31"/>
    <col min="10485" max="10485" width="1.375" style="31" customWidth="1"/>
    <col min="10486" max="10486" width="3.5" style="31" customWidth="1"/>
    <col min="10487" max="10487" width="22.125" style="31" customWidth="1"/>
    <col min="10488" max="10488" width="9.75" style="31" customWidth="1"/>
    <col min="10489" max="10489" width="7.375" style="31" customWidth="1"/>
    <col min="10490" max="10490" width="9" style="31"/>
    <col min="10491" max="10491" width="9.25" style="31" customWidth="1"/>
    <col min="10492" max="10492" width="3.5" style="31" customWidth="1"/>
    <col min="10493" max="10494" width="12.625" style="31" customWidth="1"/>
    <col min="10495" max="10495" width="9" style="31"/>
    <col min="10496" max="10496" width="7.75" style="31" customWidth="1"/>
    <col min="10497" max="10497" width="13.125" style="31" customWidth="1"/>
    <col min="10498" max="10498" width="6.125" style="31" customWidth="1"/>
    <col min="10499" max="10499" width="9.75" style="31" customWidth="1"/>
    <col min="10500" max="10500" width="1.375" style="31" customWidth="1"/>
    <col min="10501" max="10740" width="9" style="31"/>
    <col min="10741" max="10741" width="1.375" style="31" customWidth="1"/>
    <col min="10742" max="10742" width="3.5" style="31" customWidth="1"/>
    <col min="10743" max="10743" width="22.125" style="31" customWidth="1"/>
    <col min="10744" max="10744" width="9.75" style="31" customWidth="1"/>
    <col min="10745" max="10745" width="7.375" style="31" customWidth="1"/>
    <col min="10746" max="10746" width="9" style="31"/>
    <col min="10747" max="10747" width="9.25" style="31" customWidth="1"/>
    <col min="10748" max="10748" width="3.5" style="31" customWidth="1"/>
    <col min="10749" max="10750" width="12.625" style="31" customWidth="1"/>
    <col min="10751" max="10751" width="9" style="31"/>
    <col min="10752" max="10752" width="7.75" style="31" customWidth="1"/>
    <col min="10753" max="10753" width="13.125" style="31" customWidth="1"/>
    <col min="10754" max="10754" width="6.125" style="31" customWidth="1"/>
    <col min="10755" max="10755" width="9.75" style="31" customWidth="1"/>
    <col min="10756" max="10756" width="1.375" style="31" customWidth="1"/>
    <col min="10757" max="10996" width="9" style="31"/>
    <col min="10997" max="10997" width="1.375" style="31" customWidth="1"/>
    <col min="10998" max="10998" width="3.5" style="31" customWidth="1"/>
    <col min="10999" max="10999" width="22.125" style="31" customWidth="1"/>
    <col min="11000" max="11000" width="9.75" style="31" customWidth="1"/>
    <col min="11001" max="11001" width="7.375" style="31" customWidth="1"/>
    <col min="11002" max="11002" width="9" style="31"/>
    <col min="11003" max="11003" width="9.25" style="31" customWidth="1"/>
    <col min="11004" max="11004" width="3.5" style="31" customWidth="1"/>
    <col min="11005" max="11006" width="12.625" style="31" customWidth="1"/>
    <col min="11007" max="11007" width="9" style="31"/>
    <col min="11008" max="11008" width="7.75" style="31" customWidth="1"/>
    <col min="11009" max="11009" width="13.125" style="31" customWidth="1"/>
    <col min="11010" max="11010" width="6.125" style="31" customWidth="1"/>
    <col min="11011" max="11011" width="9.75" style="31" customWidth="1"/>
    <col min="11012" max="11012" width="1.375" style="31" customWidth="1"/>
    <col min="11013" max="11252" width="9" style="31"/>
    <col min="11253" max="11253" width="1.375" style="31" customWidth="1"/>
    <col min="11254" max="11254" width="3.5" style="31" customWidth="1"/>
    <col min="11255" max="11255" width="22.125" style="31" customWidth="1"/>
    <col min="11256" max="11256" width="9.75" style="31" customWidth="1"/>
    <col min="11257" max="11257" width="7.375" style="31" customWidth="1"/>
    <col min="11258" max="11258" width="9" style="31"/>
    <col min="11259" max="11259" width="9.25" style="31" customWidth="1"/>
    <col min="11260" max="11260" width="3.5" style="31" customWidth="1"/>
    <col min="11261" max="11262" width="12.625" style="31" customWidth="1"/>
    <col min="11263" max="11263" width="9" style="31"/>
    <col min="11264" max="11264" width="7.75" style="31" customWidth="1"/>
    <col min="11265" max="11265" width="13.125" style="31" customWidth="1"/>
    <col min="11266" max="11266" width="6.125" style="31" customWidth="1"/>
    <col min="11267" max="11267" width="9.75" style="31" customWidth="1"/>
    <col min="11268" max="11268" width="1.375" style="31" customWidth="1"/>
    <col min="11269" max="11508" width="9" style="31"/>
    <col min="11509" max="11509" width="1.375" style="31" customWidth="1"/>
    <col min="11510" max="11510" width="3.5" style="31" customWidth="1"/>
    <col min="11511" max="11511" width="22.125" style="31" customWidth="1"/>
    <col min="11512" max="11512" width="9.75" style="31" customWidth="1"/>
    <col min="11513" max="11513" width="7.375" style="31" customWidth="1"/>
    <col min="11514" max="11514" width="9" style="31"/>
    <col min="11515" max="11515" width="9.25" style="31" customWidth="1"/>
    <col min="11516" max="11516" width="3.5" style="31" customWidth="1"/>
    <col min="11517" max="11518" width="12.625" style="31" customWidth="1"/>
    <col min="11519" max="11519" width="9" style="31"/>
    <col min="11520" max="11520" width="7.75" style="31" customWidth="1"/>
    <col min="11521" max="11521" width="13.125" style="31" customWidth="1"/>
    <col min="11522" max="11522" width="6.125" style="31" customWidth="1"/>
    <col min="11523" max="11523" width="9.75" style="31" customWidth="1"/>
    <col min="11524" max="11524" width="1.375" style="31" customWidth="1"/>
    <col min="11525" max="11764" width="9" style="31"/>
    <col min="11765" max="11765" width="1.375" style="31" customWidth="1"/>
    <col min="11766" max="11766" width="3.5" style="31" customWidth="1"/>
    <col min="11767" max="11767" width="22.125" style="31" customWidth="1"/>
    <col min="11768" max="11768" width="9.75" style="31" customWidth="1"/>
    <col min="11769" max="11769" width="7.375" style="31" customWidth="1"/>
    <col min="11770" max="11770" width="9" style="31"/>
    <col min="11771" max="11771" width="9.25" style="31" customWidth="1"/>
    <col min="11772" max="11772" width="3.5" style="31" customWidth="1"/>
    <col min="11773" max="11774" width="12.625" style="31" customWidth="1"/>
    <col min="11775" max="11775" width="9" style="31"/>
    <col min="11776" max="11776" width="7.75" style="31" customWidth="1"/>
    <col min="11777" max="11777" width="13.125" style="31" customWidth="1"/>
    <col min="11778" max="11778" width="6.125" style="31" customWidth="1"/>
    <col min="11779" max="11779" width="9.75" style="31" customWidth="1"/>
    <col min="11780" max="11780" width="1.375" style="31" customWidth="1"/>
    <col min="11781" max="12020" width="9" style="31"/>
    <col min="12021" max="12021" width="1.375" style="31" customWidth="1"/>
    <col min="12022" max="12022" width="3.5" style="31" customWidth="1"/>
    <col min="12023" max="12023" width="22.125" style="31" customWidth="1"/>
    <col min="12024" max="12024" width="9.75" style="31" customWidth="1"/>
    <col min="12025" max="12025" width="7.375" style="31" customWidth="1"/>
    <col min="12026" max="12026" width="9" style="31"/>
    <col min="12027" max="12027" width="9.25" style="31" customWidth="1"/>
    <col min="12028" max="12028" width="3.5" style="31" customWidth="1"/>
    <col min="12029" max="12030" width="12.625" style="31" customWidth="1"/>
    <col min="12031" max="12031" width="9" style="31"/>
    <col min="12032" max="12032" width="7.75" style="31" customWidth="1"/>
    <col min="12033" max="12033" width="13.125" style="31" customWidth="1"/>
    <col min="12034" max="12034" width="6.125" style="31" customWidth="1"/>
    <col min="12035" max="12035" width="9.75" style="31" customWidth="1"/>
    <col min="12036" max="12036" width="1.375" style="31" customWidth="1"/>
    <col min="12037" max="12276" width="9" style="31"/>
    <col min="12277" max="12277" width="1.375" style="31" customWidth="1"/>
    <col min="12278" max="12278" width="3.5" style="31" customWidth="1"/>
    <col min="12279" max="12279" width="22.125" style="31" customWidth="1"/>
    <col min="12280" max="12280" width="9.75" style="31" customWidth="1"/>
    <col min="12281" max="12281" width="7.375" style="31" customWidth="1"/>
    <col min="12282" max="12282" width="9" style="31"/>
    <col min="12283" max="12283" width="9.25" style="31" customWidth="1"/>
    <col min="12284" max="12284" width="3.5" style="31" customWidth="1"/>
    <col min="12285" max="12286" width="12.625" style="31" customWidth="1"/>
    <col min="12287" max="12287" width="9" style="31"/>
    <col min="12288" max="12288" width="7.75" style="31" customWidth="1"/>
    <col min="12289" max="12289" width="13.125" style="31" customWidth="1"/>
    <col min="12290" max="12290" width="6.125" style="31" customWidth="1"/>
    <col min="12291" max="12291" width="9.75" style="31" customWidth="1"/>
    <col min="12292" max="12292" width="1.375" style="31" customWidth="1"/>
    <col min="12293" max="12532" width="9" style="31"/>
    <col min="12533" max="12533" width="1.375" style="31" customWidth="1"/>
    <col min="12534" max="12534" width="3.5" style="31" customWidth="1"/>
    <col min="12535" max="12535" width="22.125" style="31" customWidth="1"/>
    <col min="12536" max="12536" width="9.75" style="31" customWidth="1"/>
    <col min="12537" max="12537" width="7.375" style="31" customWidth="1"/>
    <col min="12538" max="12538" width="9" style="31"/>
    <col min="12539" max="12539" width="9.25" style="31" customWidth="1"/>
    <col min="12540" max="12540" width="3.5" style="31" customWidth="1"/>
    <col min="12541" max="12542" width="12.625" style="31" customWidth="1"/>
    <col min="12543" max="12543" width="9" style="31"/>
    <col min="12544" max="12544" width="7.75" style="31" customWidth="1"/>
    <col min="12545" max="12545" width="13.125" style="31" customWidth="1"/>
    <col min="12546" max="12546" width="6.125" style="31" customWidth="1"/>
    <col min="12547" max="12547" width="9.75" style="31" customWidth="1"/>
    <col min="12548" max="12548" width="1.375" style="31" customWidth="1"/>
    <col min="12549" max="12788" width="9" style="31"/>
    <col min="12789" max="12789" width="1.375" style="31" customWidth="1"/>
    <col min="12790" max="12790" width="3.5" style="31" customWidth="1"/>
    <col min="12791" max="12791" width="22.125" style="31" customWidth="1"/>
    <col min="12792" max="12792" width="9.75" style="31" customWidth="1"/>
    <col min="12793" max="12793" width="7.375" style="31" customWidth="1"/>
    <col min="12794" max="12794" width="9" style="31"/>
    <col min="12795" max="12795" width="9.25" style="31" customWidth="1"/>
    <col min="12796" max="12796" width="3.5" style="31" customWidth="1"/>
    <col min="12797" max="12798" width="12.625" style="31" customWidth="1"/>
    <col min="12799" max="12799" width="9" style="31"/>
    <col min="12800" max="12800" width="7.75" style="31" customWidth="1"/>
    <col min="12801" max="12801" width="13.125" style="31" customWidth="1"/>
    <col min="12802" max="12802" width="6.125" style="31" customWidth="1"/>
    <col min="12803" max="12803" width="9.75" style="31" customWidth="1"/>
    <col min="12804" max="12804" width="1.375" style="31" customWidth="1"/>
    <col min="12805" max="13044" width="9" style="31"/>
    <col min="13045" max="13045" width="1.375" style="31" customWidth="1"/>
    <col min="13046" max="13046" width="3.5" style="31" customWidth="1"/>
    <col min="13047" max="13047" width="22.125" style="31" customWidth="1"/>
    <col min="13048" max="13048" width="9.75" style="31" customWidth="1"/>
    <col min="13049" max="13049" width="7.375" style="31" customWidth="1"/>
    <col min="13050" max="13050" width="9" style="31"/>
    <col min="13051" max="13051" width="9.25" style="31" customWidth="1"/>
    <col min="13052" max="13052" width="3.5" style="31" customWidth="1"/>
    <col min="13053" max="13054" width="12.625" style="31" customWidth="1"/>
    <col min="13055" max="13055" width="9" style="31"/>
    <col min="13056" max="13056" width="7.75" style="31" customWidth="1"/>
    <col min="13057" max="13057" width="13.125" style="31" customWidth="1"/>
    <col min="13058" max="13058" width="6.125" style="31" customWidth="1"/>
    <col min="13059" max="13059" width="9.75" style="31" customWidth="1"/>
    <col min="13060" max="13060" width="1.375" style="31" customWidth="1"/>
    <col min="13061" max="13300" width="9" style="31"/>
    <col min="13301" max="13301" width="1.375" style="31" customWidth="1"/>
    <col min="13302" max="13302" width="3.5" style="31" customWidth="1"/>
    <col min="13303" max="13303" width="22.125" style="31" customWidth="1"/>
    <col min="13304" max="13304" width="9.75" style="31" customWidth="1"/>
    <col min="13305" max="13305" width="7.375" style="31" customWidth="1"/>
    <col min="13306" max="13306" width="9" style="31"/>
    <col min="13307" max="13307" width="9.25" style="31" customWidth="1"/>
    <col min="13308" max="13308" width="3.5" style="31" customWidth="1"/>
    <col min="13309" max="13310" width="12.625" style="31" customWidth="1"/>
    <col min="13311" max="13311" width="9" style="31"/>
    <col min="13312" max="13312" width="7.75" style="31" customWidth="1"/>
    <col min="13313" max="13313" width="13.125" style="31" customWidth="1"/>
    <col min="13314" max="13314" width="6.125" style="31" customWidth="1"/>
    <col min="13315" max="13315" width="9.75" style="31" customWidth="1"/>
    <col min="13316" max="13316" width="1.375" style="31" customWidth="1"/>
    <col min="13317" max="13556" width="9" style="31"/>
    <col min="13557" max="13557" width="1.375" style="31" customWidth="1"/>
    <col min="13558" max="13558" width="3.5" style="31" customWidth="1"/>
    <col min="13559" max="13559" width="22.125" style="31" customWidth="1"/>
    <col min="13560" max="13560" width="9.75" style="31" customWidth="1"/>
    <col min="13561" max="13561" width="7.375" style="31" customWidth="1"/>
    <col min="13562" max="13562" width="9" style="31"/>
    <col min="13563" max="13563" width="9.25" style="31" customWidth="1"/>
    <col min="13564" max="13564" width="3.5" style="31" customWidth="1"/>
    <col min="13565" max="13566" width="12.625" style="31" customWidth="1"/>
    <col min="13567" max="13567" width="9" style="31"/>
    <col min="13568" max="13568" width="7.75" style="31" customWidth="1"/>
    <col min="13569" max="13569" width="13.125" style="31" customWidth="1"/>
    <col min="13570" max="13570" width="6.125" style="31" customWidth="1"/>
    <col min="13571" max="13571" width="9.75" style="31" customWidth="1"/>
    <col min="13572" max="13572" width="1.375" style="31" customWidth="1"/>
    <col min="13573" max="13812" width="9" style="31"/>
    <col min="13813" max="13813" width="1.375" style="31" customWidth="1"/>
    <col min="13814" max="13814" width="3.5" style="31" customWidth="1"/>
    <col min="13815" max="13815" width="22.125" style="31" customWidth="1"/>
    <col min="13816" max="13816" width="9.75" style="31" customWidth="1"/>
    <col min="13817" max="13817" width="7.375" style="31" customWidth="1"/>
    <col min="13818" max="13818" width="9" style="31"/>
    <col min="13819" max="13819" width="9.25" style="31" customWidth="1"/>
    <col min="13820" max="13820" width="3.5" style="31" customWidth="1"/>
    <col min="13821" max="13822" width="12.625" style="31" customWidth="1"/>
    <col min="13823" max="13823" width="9" style="31"/>
    <col min="13824" max="13824" width="7.75" style="31" customWidth="1"/>
    <col min="13825" max="13825" width="13.125" style="31" customWidth="1"/>
    <col min="13826" max="13826" width="6.125" style="31" customWidth="1"/>
    <col min="13827" max="13827" width="9.75" style="31" customWidth="1"/>
    <col min="13828" max="13828" width="1.375" style="31" customWidth="1"/>
    <col min="13829" max="14068" width="9" style="31"/>
    <col min="14069" max="14069" width="1.375" style="31" customWidth="1"/>
    <col min="14070" max="14070" width="3.5" style="31" customWidth="1"/>
    <col min="14071" max="14071" width="22.125" style="31" customWidth="1"/>
    <col min="14072" max="14072" width="9.75" style="31" customWidth="1"/>
    <col min="14073" max="14073" width="7.375" style="31" customWidth="1"/>
    <col min="14074" max="14074" width="9" style="31"/>
    <col min="14075" max="14075" width="9.25" style="31" customWidth="1"/>
    <col min="14076" max="14076" width="3.5" style="31" customWidth="1"/>
    <col min="14077" max="14078" width="12.625" style="31" customWidth="1"/>
    <col min="14079" max="14079" width="9" style="31"/>
    <col min="14080" max="14080" width="7.75" style="31" customWidth="1"/>
    <col min="14081" max="14081" width="13.125" style="31" customWidth="1"/>
    <col min="14082" max="14082" width="6.125" style="31" customWidth="1"/>
    <col min="14083" max="14083" width="9.75" style="31" customWidth="1"/>
    <col min="14084" max="14084" width="1.375" style="31" customWidth="1"/>
    <col min="14085" max="14324" width="9" style="31"/>
    <col min="14325" max="14325" width="1.375" style="31" customWidth="1"/>
    <col min="14326" max="14326" width="3.5" style="31" customWidth="1"/>
    <col min="14327" max="14327" width="22.125" style="31" customWidth="1"/>
    <col min="14328" max="14328" width="9.75" style="31" customWidth="1"/>
    <col min="14329" max="14329" width="7.375" style="31" customWidth="1"/>
    <col min="14330" max="14330" width="9" style="31"/>
    <col min="14331" max="14331" width="9.25" style="31" customWidth="1"/>
    <col min="14332" max="14332" width="3.5" style="31" customWidth="1"/>
    <col min="14333" max="14334" width="12.625" style="31" customWidth="1"/>
    <col min="14335" max="14335" width="9" style="31"/>
    <col min="14336" max="14336" width="7.75" style="31" customWidth="1"/>
    <col min="14337" max="14337" width="13.125" style="31" customWidth="1"/>
    <col min="14338" max="14338" width="6.125" style="31" customWidth="1"/>
    <col min="14339" max="14339" width="9.75" style="31" customWidth="1"/>
    <col min="14340" max="14340" width="1.375" style="31" customWidth="1"/>
    <col min="14341" max="14580" width="9" style="31"/>
    <col min="14581" max="14581" width="1.375" style="31" customWidth="1"/>
    <col min="14582" max="14582" width="3.5" style="31" customWidth="1"/>
    <col min="14583" max="14583" width="22.125" style="31" customWidth="1"/>
    <col min="14584" max="14584" width="9.75" style="31" customWidth="1"/>
    <col min="14585" max="14585" width="7.375" style="31" customWidth="1"/>
    <col min="14586" max="14586" width="9" style="31"/>
    <col min="14587" max="14587" width="9.25" style="31" customWidth="1"/>
    <col min="14588" max="14588" width="3.5" style="31" customWidth="1"/>
    <col min="14589" max="14590" width="12.625" style="31" customWidth="1"/>
    <col min="14591" max="14591" width="9" style="31"/>
    <col min="14592" max="14592" width="7.75" style="31" customWidth="1"/>
    <col min="14593" max="14593" width="13.125" style="31" customWidth="1"/>
    <col min="14594" max="14594" width="6.125" style="31" customWidth="1"/>
    <col min="14595" max="14595" width="9.75" style="31" customWidth="1"/>
    <col min="14596" max="14596" width="1.375" style="31" customWidth="1"/>
    <col min="14597" max="14836" width="9" style="31"/>
    <col min="14837" max="14837" width="1.375" style="31" customWidth="1"/>
    <col min="14838" max="14838" width="3.5" style="31" customWidth="1"/>
    <col min="14839" max="14839" width="22.125" style="31" customWidth="1"/>
    <col min="14840" max="14840" width="9.75" style="31" customWidth="1"/>
    <col min="14841" max="14841" width="7.375" style="31" customWidth="1"/>
    <col min="14842" max="14842" width="9" style="31"/>
    <col min="14843" max="14843" width="9.25" style="31" customWidth="1"/>
    <col min="14844" max="14844" width="3.5" style="31" customWidth="1"/>
    <col min="14845" max="14846" width="12.625" style="31" customWidth="1"/>
    <col min="14847" max="14847" width="9" style="31"/>
    <col min="14848" max="14848" width="7.75" style="31" customWidth="1"/>
    <col min="14849" max="14849" width="13.125" style="31" customWidth="1"/>
    <col min="14850" max="14850" width="6.125" style="31" customWidth="1"/>
    <col min="14851" max="14851" width="9.75" style="31" customWidth="1"/>
    <col min="14852" max="14852" width="1.375" style="31" customWidth="1"/>
    <col min="14853" max="15092" width="9" style="31"/>
    <col min="15093" max="15093" width="1.375" style="31" customWidth="1"/>
    <col min="15094" max="15094" width="3.5" style="31" customWidth="1"/>
    <col min="15095" max="15095" width="22.125" style="31" customWidth="1"/>
    <col min="15096" max="15096" width="9.75" style="31" customWidth="1"/>
    <col min="15097" max="15097" width="7.375" style="31" customWidth="1"/>
    <col min="15098" max="15098" width="9" style="31"/>
    <col min="15099" max="15099" width="9.25" style="31" customWidth="1"/>
    <col min="15100" max="15100" width="3.5" style="31" customWidth="1"/>
    <col min="15101" max="15102" width="12.625" style="31" customWidth="1"/>
    <col min="15103" max="15103" width="9" style="31"/>
    <col min="15104" max="15104" width="7.75" style="31" customWidth="1"/>
    <col min="15105" max="15105" width="13.125" style="31" customWidth="1"/>
    <col min="15106" max="15106" width="6.125" style="31" customWidth="1"/>
    <col min="15107" max="15107" width="9.75" style="31" customWidth="1"/>
    <col min="15108" max="15108" width="1.375" style="31" customWidth="1"/>
    <col min="15109" max="15348" width="9" style="31"/>
    <col min="15349" max="15349" width="1.375" style="31" customWidth="1"/>
    <col min="15350" max="15350" width="3.5" style="31" customWidth="1"/>
    <col min="15351" max="15351" width="22.125" style="31" customWidth="1"/>
    <col min="15352" max="15352" width="9.75" style="31" customWidth="1"/>
    <col min="15353" max="15353" width="7.375" style="31" customWidth="1"/>
    <col min="15354" max="15354" width="9" style="31"/>
    <col min="15355" max="15355" width="9.25" style="31" customWidth="1"/>
    <col min="15356" max="15356" width="3.5" style="31" customWidth="1"/>
    <col min="15357" max="15358" width="12.625" style="31" customWidth="1"/>
    <col min="15359" max="15359" width="9" style="31"/>
    <col min="15360" max="15360" width="7.75" style="31" customWidth="1"/>
    <col min="15361" max="15361" width="13.125" style="31" customWidth="1"/>
    <col min="15362" max="15362" width="6.125" style="31" customWidth="1"/>
    <col min="15363" max="15363" width="9.75" style="31" customWidth="1"/>
    <col min="15364" max="15364" width="1.375" style="31" customWidth="1"/>
    <col min="15365" max="15604" width="9" style="31"/>
    <col min="15605" max="15605" width="1.375" style="31" customWidth="1"/>
    <col min="15606" max="15606" width="3.5" style="31" customWidth="1"/>
    <col min="15607" max="15607" width="22.125" style="31" customWidth="1"/>
    <col min="15608" max="15608" width="9.75" style="31" customWidth="1"/>
    <col min="15609" max="15609" width="7.375" style="31" customWidth="1"/>
    <col min="15610" max="15610" width="9" style="31"/>
    <col min="15611" max="15611" width="9.25" style="31" customWidth="1"/>
    <col min="15612" max="15612" width="3.5" style="31" customWidth="1"/>
    <col min="15613" max="15614" width="12.625" style="31" customWidth="1"/>
    <col min="15615" max="15615" width="9" style="31"/>
    <col min="15616" max="15616" width="7.75" style="31" customWidth="1"/>
    <col min="15617" max="15617" width="13.125" style="31" customWidth="1"/>
    <col min="15618" max="15618" width="6.125" style="31" customWidth="1"/>
    <col min="15619" max="15619" width="9.75" style="31" customWidth="1"/>
    <col min="15620" max="15620" width="1.375" style="31" customWidth="1"/>
    <col min="15621" max="15860" width="9" style="31"/>
    <col min="15861" max="15861" width="1.375" style="31" customWidth="1"/>
    <col min="15862" max="15862" width="3.5" style="31" customWidth="1"/>
    <col min="15863" max="15863" width="22.125" style="31" customWidth="1"/>
    <col min="15864" max="15864" width="9.75" style="31" customWidth="1"/>
    <col min="15865" max="15865" width="7.375" style="31" customWidth="1"/>
    <col min="15866" max="15866" width="9" style="31"/>
    <col min="15867" max="15867" width="9.25" style="31" customWidth="1"/>
    <col min="15868" max="15868" width="3.5" style="31" customWidth="1"/>
    <col min="15869" max="15870" width="12.625" style="31" customWidth="1"/>
    <col min="15871" max="15871" width="9" style="31"/>
    <col min="15872" max="15872" width="7.75" style="31" customWidth="1"/>
    <col min="15873" max="15873" width="13.125" style="31" customWidth="1"/>
    <col min="15874" max="15874" width="6.125" style="31" customWidth="1"/>
    <col min="15875" max="15875" width="9.75" style="31" customWidth="1"/>
    <col min="15876" max="15876" width="1.375" style="31" customWidth="1"/>
    <col min="15877" max="16116" width="9" style="31"/>
    <col min="16117" max="16117" width="1.375" style="31" customWidth="1"/>
    <col min="16118" max="16118" width="3.5" style="31" customWidth="1"/>
    <col min="16119" max="16119" width="22.125" style="31" customWidth="1"/>
    <col min="16120" max="16120" width="9.75" style="31" customWidth="1"/>
    <col min="16121" max="16121" width="7.375" style="31" customWidth="1"/>
    <col min="16122" max="16122" width="9" style="31"/>
    <col min="16123" max="16123" width="9.25" style="31" customWidth="1"/>
    <col min="16124" max="16124" width="3.5" style="31" customWidth="1"/>
    <col min="16125" max="16126" width="12.625" style="31" customWidth="1"/>
    <col min="16127" max="16127" width="9" style="31"/>
    <col min="16128" max="16128" width="7.75" style="31" customWidth="1"/>
    <col min="16129" max="16129" width="13.125" style="31" customWidth="1"/>
    <col min="16130" max="16130" width="6.125" style="31" customWidth="1"/>
    <col min="16131" max="16131" width="9.75" style="31" customWidth="1"/>
    <col min="16132" max="16132" width="1.375" style="31" customWidth="1"/>
    <col min="16133" max="16384" width="9" style="31"/>
  </cols>
  <sheetData>
    <row r="1" spans="2:30" ht="9.9499999999999993" customHeight="1" x14ac:dyDescent="0.15"/>
    <row r="2" spans="2:30" ht="24.95" customHeight="1" x14ac:dyDescent="0.15">
      <c r="B2" s="31" t="s">
        <v>375</v>
      </c>
      <c r="C2" s="33"/>
      <c r="D2" s="5"/>
      <c r="E2" s="5"/>
      <c r="F2" s="33"/>
      <c r="G2" s="82"/>
      <c r="H2" s="92"/>
      <c r="I2" s="82"/>
      <c r="J2" s="82"/>
      <c r="K2" s="82"/>
      <c r="L2" s="82"/>
      <c r="M2" s="82"/>
      <c r="N2" s="82"/>
      <c r="O2" s="5"/>
    </row>
    <row r="3" spans="2:30" ht="15" customHeight="1" thickBot="1" x14ac:dyDescent="0.2">
      <c r="B3" s="31" t="s">
        <v>157</v>
      </c>
      <c r="I3" s="5" t="s">
        <v>158</v>
      </c>
      <c r="P3" s="146" t="s">
        <v>178</v>
      </c>
    </row>
    <row r="4" spans="2:30" ht="15" customHeight="1" thickBot="1" x14ac:dyDescent="0.2">
      <c r="B4" s="223" t="s">
        <v>69</v>
      </c>
      <c r="C4" s="132" t="s">
        <v>132</v>
      </c>
      <c r="D4" s="132" t="s">
        <v>106</v>
      </c>
      <c r="E4" s="132" t="s">
        <v>282</v>
      </c>
      <c r="F4" s="132" t="s">
        <v>21</v>
      </c>
      <c r="G4" s="120" t="s">
        <v>108</v>
      </c>
      <c r="H4" s="133"/>
      <c r="I4" s="705" t="s">
        <v>69</v>
      </c>
      <c r="J4" s="701" t="s">
        <v>135</v>
      </c>
      <c r="K4" s="138" t="s">
        <v>258</v>
      </c>
      <c r="L4" s="138" t="s">
        <v>109</v>
      </c>
      <c r="M4" s="701" t="s">
        <v>21</v>
      </c>
      <c r="N4" s="703" t="s">
        <v>108</v>
      </c>
      <c r="O4" s="156"/>
      <c r="P4" s="224" t="s">
        <v>138</v>
      </c>
      <c r="Q4" s="225" t="s">
        <v>139</v>
      </c>
      <c r="R4" s="225" t="s">
        <v>140</v>
      </c>
      <c r="S4" s="225" t="s">
        <v>141</v>
      </c>
      <c r="T4" s="707" t="s">
        <v>142</v>
      </c>
      <c r="U4" s="661"/>
      <c r="V4" s="226" t="s">
        <v>143</v>
      </c>
      <c r="X4" s="31" t="s">
        <v>281</v>
      </c>
    </row>
    <row r="5" spans="2:30" ht="15" customHeight="1" x14ac:dyDescent="0.15">
      <c r="B5" s="688" t="s">
        <v>128</v>
      </c>
      <c r="C5" s="338" t="s">
        <v>418</v>
      </c>
      <c r="D5" s="338">
        <f t="shared" ref="D5:D11" si="0">Z6*1000</f>
        <v>11</v>
      </c>
      <c r="E5" s="339">
        <v>20</v>
      </c>
      <c r="F5" s="338">
        <v>3574</v>
      </c>
      <c r="G5" s="340">
        <f>D5*F5/E5</f>
        <v>1965.7</v>
      </c>
      <c r="H5" s="134"/>
      <c r="I5" s="706"/>
      <c r="J5" s="702"/>
      <c r="K5" s="140" t="s">
        <v>111</v>
      </c>
      <c r="L5" s="140" t="s">
        <v>308</v>
      </c>
      <c r="M5" s="702"/>
      <c r="N5" s="704"/>
      <c r="O5" s="156"/>
      <c r="P5" s="227" t="s">
        <v>363</v>
      </c>
      <c r="Q5" s="364">
        <f>400000/S5</f>
        <v>1250</v>
      </c>
      <c r="R5" s="356" t="s">
        <v>144</v>
      </c>
      <c r="S5" s="118">
        <f>8000/25</f>
        <v>320</v>
      </c>
      <c r="T5" s="686">
        <v>1</v>
      </c>
      <c r="U5" s="687"/>
      <c r="V5" s="149">
        <f t="shared" ref="V5:V7" si="1">Q5*S5/T5</f>
        <v>400000</v>
      </c>
      <c r="X5" s="223" t="s">
        <v>69</v>
      </c>
      <c r="Y5" s="132" t="s">
        <v>132</v>
      </c>
      <c r="Z5" s="132" t="s">
        <v>106</v>
      </c>
      <c r="AA5" s="132" t="s">
        <v>282</v>
      </c>
      <c r="AB5" s="132" t="s">
        <v>21</v>
      </c>
      <c r="AC5" s="120" t="s">
        <v>283</v>
      </c>
    </row>
    <row r="6" spans="2:30" ht="15" customHeight="1" x14ac:dyDescent="0.15">
      <c r="B6" s="689"/>
      <c r="C6" s="338" t="s">
        <v>419</v>
      </c>
      <c r="D6" s="338">
        <f t="shared" si="0"/>
        <v>58</v>
      </c>
      <c r="E6" s="339">
        <v>20</v>
      </c>
      <c r="F6" s="338">
        <v>3934</v>
      </c>
      <c r="G6" s="340">
        <f t="shared" ref="G6:G11" si="2">D6*F6/E6</f>
        <v>11408.6</v>
      </c>
      <c r="H6" s="134"/>
      <c r="I6" s="708" t="s">
        <v>134</v>
      </c>
      <c r="J6" s="30"/>
      <c r="K6" s="141"/>
      <c r="L6" s="141"/>
      <c r="M6" s="141"/>
      <c r="N6" s="122"/>
      <c r="O6" s="156"/>
      <c r="P6" s="227" t="s">
        <v>364</v>
      </c>
      <c r="Q6" s="364">
        <v>60</v>
      </c>
      <c r="R6" s="368" t="s">
        <v>222</v>
      </c>
      <c r="S6" s="118">
        <v>950</v>
      </c>
      <c r="T6" s="686">
        <v>5</v>
      </c>
      <c r="U6" s="687"/>
      <c r="V6" s="149">
        <f t="shared" si="1"/>
        <v>11400</v>
      </c>
      <c r="X6" s="688" t="s">
        <v>128</v>
      </c>
      <c r="Y6" s="350" t="s">
        <v>261</v>
      </c>
      <c r="Z6" s="352">
        <v>1.0999999999999999E-2</v>
      </c>
      <c r="AA6" s="351">
        <v>20</v>
      </c>
      <c r="AB6" s="350">
        <v>3574</v>
      </c>
      <c r="AC6" s="340">
        <f t="shared" ref="AC6:AC12" si="3">Z6*AB6/AA6</f>
        <v>1.9657</v>
      </c>
    </row>
    <row r="7" spans="2:30" ht="15" customHeight="1" x14ac:dyDescent="0.15">
      <c r="B7" s="689"/>
      <c r="C7" s="338" t="s">
        <v>420</v>
      </c>
      <c r="D7" s="338">
        <f t="shared" si="0"/>
        <v>169</v>
      </c>
      <c r="E7" s="339">
        <v>20</v>
      </c>
      <c r="F7" s="338">
        <v>1043</v>
      </c>
      <c r="G7" s="340">
        <f t="shared" si="2"/>
        <v>8813.35</v>
      </c>
      <c r="H7" s="134"/>
      <c r="I7" s="609"/>
      <c r="J7" s="30"/>
      <c r="K7" s="141"/>
      <c r="L7" s="141"/>
      <c r="M7" s="141"/>
      <c r="N7" s="122">
        <f t="shared" ref="N7:N9" si="4">K7*L7*M7</f>
        <v>0</v>
      </c>
      <c r="O7" s="156"/>
      <c r="P7" s="227" t="s">
        <v>365</v>
      </c>
      <c r="Q7" s="364">
        <v>33</v>
      </c>
      <c r="R7" s="368" t="s">
        <v>181</v>
      </c>
      <c r="S7" s="118">
        <v>8000</v>
      </c>
      <c r="T7" s="686">
        <v>2</v>
      </c>
      <c r="U7" s="687"/>
      <c r="V7" s="149">
        <f t="shared" si="1"/>
        <v>132000</v>
      </c>
      <c r="X7" s="689"/>
      <c r="Y7" s="350" t="s">
        <v>262</v>
      </c>
      <c r="Z7" s="352">
        <v>5.8000000000000003E-2</v>
      </c>
      <c r="AA7" s="351">
        <v>20</v>
      </c>
      <c r="AB7" s="350">
        <v>3934</v>
      </c>
      <c r="AC7" s="340">
        <f t="shared" si="3"/>
        <v>11.408600000000002</v>
      </c>
    </row>
    <row r="8" spans="2:30" ht="15" customHeight="1" x14ac:dyDescent="0.15">
      <c r="B8" s="689"/>
      <c r="C8" s="338" t="s">
        <v>421</v>
      </c>
      <c r="D8" s="338">
        <f t="shared" si="0"/>
        <v>374</v>
      </c>
      <c r="E8" s="339">
        <v>20</v>
      </c>
      <c r="F8" s="338">
        <v>3124</v>
      </c>
      <c r="G8" s="340">
        <f t="shared" si="2"/>
        <v>58418.8</v>
      </c>
      <c r="H8" s="134"/>
      <c r="I8" s="609"/>
      <c r="J8" s="30"/>
      <c r="K8" s="141"/>
      <c r="L8" s="141"/>
      <c r="M8" s="141"/>
      <c r="N8" s="122">
        <f t="shared" si="4"/>
        <v>0</v>
      </c>
      <c r="O8" s="156"/>
      <c r="P8" s="227"/>
      <c r="Q8" s="364"/>
      <c r="R8" s="356"/>
      <c r="S8" s="118"/>
      <c r="T8" s="686"/>
      <c r="U8" s="687"/>
      <c r="V8" s="149"/>
      <c r="X8" s="689"/>
      <c r="Y8" s="350" t="s">
        <v>263</v>
      </c>
      <c r="Z8" s="352">
        <v>0.16900000000000001</v>
      </c>
      <c r="AA8" s="351">
        <v>20</v>
      </c>
      <c r="AB8" s="350">
        <v>1043</v>
      </c>
      <c r="AC8" s="340">
        <f t="shared" si="3"/>
        <v>8.8133500000000016</v>
      </c>
    </row>
    <row r="9" spans="2:30" ht="15" customHeight="1" x14ac:dyDescent="0.15">
      <c r="B9" s="689"/>
      <c r="C9" s="338" t="s">
        <v>422</v>
      </c>
      <c r="D9" s="338">
        <f t="shared" si="0"/>
        <v>217</v>
      </c>
      <c r="E9" s="339">
        <v>30</v>
      </c>
      <c r="F9" s="338">
        <v>9064</v>
      </c>
      <c r="G9" s="340">
        <f t="shared" si="2"/>
        <v>65562.933333333334</v>
      </c>
      <c r="H9" s="134"/>
      <c r="I9" s="609"/>
      <c r="J9" s="30"/>
      <c r="K9" s="141"/>
      <c r="L9" s="141"/>
      <c r="M9" s="141"/>
      <c r="N9" s="122">
        <f t="shared" si="4"/>
        <v>0</v>
      </c>
      <c r="O9" s="156"/>
      <c r="P9" s="227"/>
      <c r="Q9" s="118"/>
      <c r="R9" s="356"/>
      <c r="S9" s="118"/>
      <c r="T9" s="686"/>
      <c r="U9" s="687"/>
      <c r="V9" s="149"/>
      <c r="X9" s="689"/>
      <c r="Y9" s="350" t="s">
        <v>264</v>
      </c>
      <c r="Z9" s="352">
        <v>0.374</v>
      </c>
      <c r="AA9" s="351">
        <v>20</v>
      </c>
      <c r="AB9" s="350">
        <v>3124</v>
      </c>
      <c r="AC9" s="340">
        <f t="shared" si="3"/>
        <v>58.418799999999997</v>
      </c>
    </row>
    <row r="10" spans="2:30" ht="15" customHeight="1" thickBot="1" x14ac:dyDescent="0.2">
      <c r="B10" s="689"/>
      <c r="C10" s="338" t="s">
        <v>423</v>
      </c>
      <c r="D10" s="338">
        <f t="shared" si="0"/>
        <v>374</v>
      </c>
      <c r="E10" s="339">
        <v>20</v>
      </c>
      <c r="F10" s="338">
        <v>1344</v>
      </c>
      <c r="G10" s="340">
        <f t="shared" si="2"/>
        <v>25132.799999999999</v>
      </c>
      <c r="H10" s="134"/>
      <c r="I10" s="709"/>
      <c r="J10" s="228" t="s">
        <v>182</v>
      </c>
      <c r="K10" s="142">
        <f t="shared" ref="K10:L10" si="5">SUM(K6:K9)</f>
        <v>0</v>
      </c>
      <c r="L10" s="142">
        <f t="shared" si="5"/>
        <v>0</v>
      </c>
      <c r="M10" s="142"/>
      <c r="N10" s="137">
        <f>SUM(N6:N9)</f>
        <v>0</v>
      </c>
      <c r="O10" s="156"/>
      <c r="P10" s="227"/>
      <c r="Q10" s="118"/>
      <c r="R10" s="356"/>
      <c r="S10" s="118"/>
      <c r="T10" s="686"/>
      <c r="U10" s="687"/>
      <c r="V10" s="149"/>
      <c r="X10" s="689"/>
      <c r="Y10" s="350" t="s">
        <v>278</v>
      </c>
      <c r="Z10" s="352">
        <v>0.217</v>
      </c>
      <c r="AA10" s="351">
        <v>30</v>
      </c>
      <c r="AB10" s="350">
        <v>9064</v>
      </c>
      <c r="AC10" s="340">
        <f t="shared" si="3"/>
        <v>65.562933333333334</v>
      </c>
    </row>
    <row r="11" spans="2:30" ht="15" customHeight="1" thickTop="1" x14ac:dyDescent="0.15">
      <c r="B11" s="689"/>
      <c r="C11" s="338" t="s">
        <v>424</v>
      </c>
      <c r="D11" s="338">
        <f t="shared" si="0"/>
        <v>18</v>
      </c>
      <c r="E11" s="339">
        <v>10</v>
      </c>
      <c r="F11" s="338">
        <v>12674</v>
      </c>
      <c r="G11" s="340">
        <f t="shared" si="2"/>
        <v>22813.200000000001</v>
      </c>
      <c r="H11" s="134"/>
      <c r="I11" s="710" t="s">
        <v>183</v>
      </c>
      <c r="J11" s="30" t="s">
        <v>309</v>
      </c>
      <c r="K11" s="141">
        <f>1*365*0.33</f>
        <v>120.45</v>
      </c>
      <c r="L11" s="141">
        <v>5</v>
      </c>
      <c r="M11" s="141">
        <v>158.4</v>
      </c>
      <c r="N11" s="122">
        <f>K11*L11*M11</f>
        <v>95396.400000000009</v>
      </c>
      <c r="O11" s="156"/>
      <c r="P11" s="227"/>
      <c r="Q11" s="118"/>
      <c r="R11" s="154"/>
      <c r="S11" s="118"/>
      <c r="T11" s="686"/>
      <c r="U11" s="687"/>
      <c r="V11" s="149"/>
      <c r="X11" s="689"/>
      <c r="Y11" s="350" t="s">
        <v>266</v>
      </c>
      <c r="Z11" s="352">
        <v>0.374</v>
      </c>
      <c r="AA11" s="351">
        <v>20</v>
      </c>
      <c r="AB11" s="350">
        <v>1344</v>
      </c>
      <c r="AC11" s="340">
        <f t="shared" si="3"/>
        <v>25.1328</v>
      </c>
    </row>
    <row r="12" spans="2:30" ht="15" customHeight="1" x14ac:dyDescent="0.15">
      <c r="B12" s="689"/>
      <c r="C12" s="338" t="s">
        <v>425</v>
      </c>
      <c r="D12" s="375" t="s">
        <v>369</v>
      </c>
      <c r="E12" s="375" t="s">
        <v>369</v>
      </c>
      <c r="F12" s="375" t="s">
        <v>369</v>
      </c>
      <c r="G12" s="340">
        <f>66*1000</f>
        <v>66000</v>
      </c>
      <c r="H12" s="134"/>
      <c r="I12" s="609"/>
      <c r="J12" s="30"/>
      <c r="K12" s="141"/>
      <c r="L12" s="141"/>
      <c r="M12" s="141"/>
      <c r="N12" s="122">
        <f t="shared" ref="N12:N14" si="6">K12*L12*M12</f>
        <v>0</v>
      </c>
      <c r="O12" s="156"/>
      <c r="P12" s="227"/>
      <c r="Q12" s="118"/>
      <c r="R12" s="154"/>
      <c r="S12" s="118"/>
      <c r="T12" s="686"/>
      <c r="U12" s="687"/>
      <c r="V12" s="149"/>
      <c r="X12" s="689"/>
      <c r="Y12" s="350" t="s">
        <v>279</v>
      </c>
      <c r="Z12" s="352">
        <v>1.7999999999999999E-2</v>
      </c>
      <c r="AA12" s="351">
        <v>10</v>
      </c>
      <c r="AB12" s="350">
        <v>12674</v>
      </c>
      <c r="AC12" s="340">
        <f t="shared" si="3"/>
        <v>22.813199999999998</v>
      </c>
    </row>
    <row r="13" spans="2:30" ht="15" customHeight="1" x14ac:dyDescent="0.15">
      <c r="B13" s="689"/>
      <c r="C13" s="338"/>
      <c r="D13" s="338"/>
      <c r="E13" s="339"/>
      <c r="F13" s="338"/>
      <c r="G13" s="340">
        <f t="shared" ref="G13:G16" si="7">D13*F13</f>
        <v>0</v>
      </c>
      <c r="H13" s="134"/>
      <c r="I13" s="609"/>
      <c r="J13" s="30"/>
      <c r="K13" s="141"/>
      <c r="L13" s="141"/>
      <c r="M13" s="141"/>
      <c r="N13" s="122">
        <f t="shared" si="6"/>
        <v>0</v>
      </c>
      <c r="O13" s="156"/>
      <c r="P13" s="227"/>
      <c r="Q13" s="118"/>
      <c r="R13" s="154"/>
      <c r="S13" s="118"/>
      <c r="T13" s="686"/>
      <c r="U13" s="687"/>
      <c r="V13" s="149"/>
      <c r="X13" s="689"/>
      <c r="Y13" s="338" t="s">
        <v>284</v>
      </c>
      <c r="Z13" s="345"/>
      <c r="AA13" s="339"/>
      <c r="AB13" s="338"/>
      <c r="AC13" s="340">
        <f>260-194</f>
        <v>66</v>
      </c>
      <c r="AD13" s="31">
        <f>SUM(AJ25:AJ32)</f>
        <v>2011.19</v>
      </c>
    </row>
    <row r="14" spans="2:30" ht="15" customHeight="1" x14ac:dyDescent="0.15">
      <c r="B14" s="689"/>
      <c r="C14" s="338"/>
      <c r="D14" s="338"/>
      <c r="E14" s="339"/>
      <c r="F14" s="338"/>
      <c r="G14" s="340">
        <f t="shared" si="7"/>
        <v>0</v>
      </c>
      <c r="H14" s="134"/>
      <c r="I14" s="609"/>
      <c r="J14" s="30"/>
      <c r="K14" s="141"/>
      <c r="L14" s="141"/>
      <c r="M14" s="141"/>
      <c r="N14" s="122">
        <f t="shared" si="6"/>
        <v>0</v>
      </c>
      <c r="O14" s="156"/>
      <c r="P14" s="227"/>
      <c r="Q14" s="118"/>
      <c r="R14" s="154"/>
      <c r="S14" s="118"/>
      <c r="T14" s="686"/>
      <c r="U14" s="687"/>
      <c r="V14" s="149"/>
      <c r="X14" s="689"/>
      <c r="Y14" s="338"/>
      <c r="Z14" s="345"/>
      <c r="AA14" s="339"/>
      <c r="AB14" s="338"/>
      <c r="AC14" s="340">
        <f t="shared" ref="AC14:AC20" si="8">Z14*AB14</f>
        <v>0</v>
      </c>
    </row>
    <row r="15" spans="2:30" ht="15" customHeight="1" thickBot="1" x14ac:dyDescent="0.2">
      <c r="B15" s="689"/>
      <c r="C15" s="338"/>
      <c r="D15" s="338"/>
      <c r="E15" s="339"/>
      <c r="F15" s="338"/>
      <c r="G15" s="340">
        <f t="shared" si="7"/>
        <v>0</v>
      </c>
      <c r="H15" s="134"/>
      <c r="I15" s="709"/>
      <c r="J15" s="228" t="s">
        <v>182</v>
      </c>
      <c r="K15" s="142">
        <f t="shared" ref="K15" si="9">SUM(K11:K14)</f>
        <v>120.45</v>
      </c>
      <c r="L15" s="142">
        <f t="shared" ref="L15" si="10">SUM(L11:L14)</f>
        <v>5</v>
      </c>
      <c r="M15" s="142"/>
      <c r="N15" s="137">
        <f>SUM(N11:N14)</f>
        <v>95396.400000000009</v>
      </c>
      <c r="O15" s="156"/>
      <c r="P15" s="227"/>
      <c r="Q15" s="118"/>
      <c r="R15" s="154"/>
      <c r="S15" s="118"/>
      <c r="T15" s="686"/>
      <c r="U15" s="687"/>
      <c r="V15" s="149"/>
      <c r="X15" s="689"/>
      <c r="Y15" s="338"/>
      <c r="Z15" s="345"/>
      <c r="AA15" s="339"/>
      <c r="AB15" s="338"/>
      <c r="AC15" s="340">
        <f t="shared" si="8"/>
        <v>0</v>
      </c>
    </row>
    <row r="16" spans="2:30" ht="15" customHeight="1" thickTop="1" x14ac:dyDescent="0.15">
      <c r="B16" s="689"/>
      <c r="C16" s="350"/>
      <c r="D16" s="350"/>
      <c r="E16" s="350"/>
      <c r="F16" s="350"/>
      <c r="G16" s="353">
        <f t="shared" si="7"/>
        <v>0</v>
      </c>
      <c r="H16" s="134"/>
      <c r="I16" s="710" t="s">
        <v>136</v>
      </c>
      <c r="J16" s="30"/>
      <c r="K16" s="141"/>
      <c r="L16" s="141"/>
      <c r="M16" s="141"/>
      <c r="N16" s="122">
        <f>K16*L16*M16</f>
        <v>0</v>
      </c>
      <c r="O16" s="156"/>
      <c r="P16" s="227"/>
      <c r="Q16" s="118"/>
      <c r="R16" s="291"/>
      <c r="S16" s="118"/>
      <c r="T16" s="686"/>
      <c r="U16" s="687"/>
      <c r="V16" s="149"/>
      <c r="X16" s="689"/>
      <c r="Y16" s="338"/>
      <c r="Z16" s="345"/>
      <c r="AA16" s="339"/>
      <c r="AB16" s="338"/>
      <c r="AC16" s="340">
        <f t="shared" si="8"/>
        <v>0</v>
      </c>
    </row>
    <row r="17" spans="2:36" ht="15" customHeight="1" x14ac:dyDescent="0.15">
      <c r="B17" s="689"/>
      <c r="C17" s="350"/>
      <c r="D17" s="350"/>
      <c r="E17" s="351"/>
      <c r="F17" s="350"/>
      <c r="G17" s="353">
        <f t="shared" ref="G17" si="11">D17*F17</f>
        <v>0</v>
      </c>
      <c r="H17" s="134"/>
      <c r="I17" s="609"/>
      <c r="J17" s="30"/>
      <c r="K17" s="141"/>
      <c r="L17" s="141"/>
      <c r="M17" s="141"/>
      <c r="N17" s="122">
        <f t="shared" ref="N17:N18" si="12">K17*L17*M17</f>
        <v>0</v>
      </c>
      <c r="O17" s="156"/>
      <c r="P17" s="227"/>
      <c r="Q17" s="118"/>
      <c r="R17" s="291"/>
      <c r="S17" s="118"/>
      <c r="T17" s="686"/>
      <c r="U17" s="687"/>
      <c r="V17" s="149"/>
      <c r="X17" s="689"/>
      <c r="Y17" s="338"/>
      <c r="Z17" s="345"/>
      <c r="AA17" s="339"/>
      <c r="AB17" s="338"/>
      <c r="AC17" s="340">
        <f t="shared" si="8"/>
        <v>0</v>
      </c>
    </row>
    <row r="18" spans="2:36" ht="15" customHeight="1" x14ac:dyDescent="0.15">
      <c r="B18" s="689"/>
      <c r="C18" s="350"/>
      <c r="D18" s="350"/>
      <c r="E18" s="351"/>
      <c r="F18" s="350"/>
      <c r="G18" s="353">
        <f>D18*F18</f>
        <v>0</v>
      </c>
      <c r="H18" s="134"/>
      <c r="I18" s="609"/>
      <c r="J18" s="30"/>
      <c r="K18" s="141"/>
      <c r="L18" s="141"/>
      <c r="M18" s="141"/>
      <c r="N18" s="122">
        <f t="shared" si="12"/>
        <v>0</v>
      </c>
      <c r="O18" s="156"/>
      <c r="P18" s="227"/>
      <c r="Q18" s="118"/>
      <c r="R18" s="154"/>
      <c r="S18" s="118"/>
      <c r="T18" s="686"/>
      <c r="U18" s="687"/>
      <c r="V18" s="149"/>
      <c r="X18" s="689"/>
      <c r="Y18" s="338"/>
      <c r="Z18" s="345"/>
      <c r="AA18" s="339"/>
      <c r="AB18" s="338"/>
      <c r="AC18" s="340">
        <f t="shared" si="8"/>
        <v>0</v>
      </c>
      <c r="AD18" s="31">
        <f>SUM(AJ33:AJ37)</f>
        <v>458</v>
      </c>
    </row>
    <row r="19" spans="2:36" ht="15" customHeight="1" thickBot="1" x14ac:dyDescent="0.2">
      <c r="B19" s="689"/>
      <c r="C19" s="350"/>
      <c r="D19" s="350"/>
      <c r="E19" s="350"/>
      <c r="F19" s="350"/>
      <c r="G19" s="353">
        <f t="shared" ref="G19" si="13">D19*F19</f>
        <v>0</v>
      </c>
      <c r="H19" s="134"/>
      <c r="I19" s="709"/>
      <c r="J19" s="228" t="s">
        <v>184</v>
      </c>
      <c r="K19" s="142">
        <f>SUM(K16:K18)</f>
        <v>0</v>
      </c>
      <c r="L19" s="143">
        <f>SUM(L16:L18)</f>
        <v>0</v>
      </c>
      <c r="M19" s="144"/>
      <c r="N19" s="137">
        <f>SUM(N16:N18)</f>
        <v>0</v>
      </c>
      <c r="O19" s="156"/>
      <c r="P19" s="227"/>
      <c r="Q19" s="118"/>
      <c r="R19" s="154"/>
      <c r="S19" s="118"/>
      <c r="T19" s="686"/>
      <c r="U19" s="687"/>
      <c r="V19" s="149"/>
      <c r="X19" s="689"/>
      <c r="Y19" s="338"/>
      <c r="Z19" s="338"/>
      <c r="AA19" s="339"/>
      <c r="AB19" s="338"/>
      <c r="AC19" s="340">
        <f t="shared" si="8"/>
        <v>0</v>
      </c>
    </row>
    <row r="20" spans="2:36" ht="15" customHeight="1" thickTop="1" thickBot="1" x14ac:dyDescent="0.2">
      <c r="B20" s="690"/>
      <c r="C20" s="354" t="s">
        <v>113</v>
      </c>
      <c r="D20" s="355"/>
      <c r="E20" s="355"/>
      <c r="F20" s="355"/>
      <c r="G20" s="344">
        <f>SUM(G5:G19)</f>
        <v>260115.38333333336</v>
      </c>
      <c r="H20" s="134"/>
      <c r="I20" s="710" t="s">
        <v>137</v>
      </c>
      <c r="J20" s="30" t="s">
        <v>307</v>
      </c>
      <c r="K20" s="141">
        <v>2400</v>
      </c>
      <c r="L20" s="141">
        <v>0.7</v>
      </c>
      <c r="M20" s="141">
        <v>102.1</v>
      </c>
      <c r="N20" s="122">
        <f>K20*L20*M20</f>
        <v>171528</v>
      </c>
      <c r="O20" s="156"/>
      <c r="P20" s="150" t="s">
        <v>26</v>
      </c>
      <c r="Q20" s="151"/>
      <c r="R20" s="151"/>
      <c r="S20" s="151"/>
      <c r="T20" s="712"/>
      <c r="U20" s="713"/>
      <c r="V20" s="152">
        <f>SUM(V5:V19)</f>
        <v>543400</v>
      </c>
      <c r="X20" s="689"/>
      <c r="Y20" s="338"/>
      <c r="Z20" s="338"/>
      <c r="AA20" s="338"/>
      <c r="AB20" s="338"/>
      <c r="AC20" s="340">
        <f t="shared" si="8"/>
        <v>0</v>
      </c>
    </row>
    <row r="21" spans="2:36" ht="15" customHeight="1" x14ac:dyDescent="0.15">
      <c r="B21" s="609" t="s">
        <v>129</v>
      </c>
      <c r="C21" s="296"/>
      <c r="D21" s="296"/>
      <c r="E21" s="341" t="s">
        <v>114</v>
      </c>
      <c r="F21" s="296"/>
      <c r="G21" s="122">
        <f>D21*F21</f>
        <v>0</v>
      </c>
      <c r="H21" s="134"/>
      <c r="I21" s="609"/>
      <c r="J21" s="30"/>
      <c r="K21" s="141"/>
      <c r="L21" s="141"/>
      <c r="M21" s="141"/>
      <c r="N21" s="122"/>
      <c r="O21" s="156"/>
      <c r="X21" s="690"/>
      <c r="Y21" s="342" t="s">
        <v>113</v>
      </c>
      <c r="Z21" s="343"/>
      <c r="AA21" s="343"/>
      <c r="AB21" s="343"/>
      <c r="AC21" s="344">
        <f>SUM(AC6:AC20)</f>
        <v>260.11538333333328</v>
      </c>
    </row>
    <row r="22" spans="2:36" ht="15" customHeight="1" thickBot="1" x14ac:dyDescent="0.2">
      <c r="B22" s="609"/>
      <c r="C22" s="30"/>
      <c r="D22" s="30"/>
      <c r="E22" s="37" t="s">
        <v>114</v>
      </c>
      <c r="F22" s="30"/>
      <c r="G22" s="122">
        <f>D22*F22</f>
        <v>0</v>
      </c>
      <c r="H22" s="134"/>
      <c r="I22" s="609"/>
      <c r="J22" s="30"/>
      <c r="K22" s="141"/>
      <c r="L22" s="141"/>
      <c r="M22" s="141"/>
      <c r="N22" s="122">
        <f t="shared" ref="N22" si="14">K22*L22*M22</f>
        <v>0</v>
      </c>
      <c r="O22" s="156"/>
      <c r="P22" s="146" t="s">
        <v>179</v>
      </c>
    </row>
    <row r="23" spans="2:36" ht="15" customHeight="1" thickBot="1" x14ac:dyDescent="0.2">
      <c r="B23" s="609"/>
      <c r="C23" s="30"/>
      <c r="D23" s="30"/>
      <c r="E23" s="37" t="s">
        <v>114</v>
      </c>
      <c r="F23" s="30"/>
      <c r="G23" s="122">
        <f>D23*F23</f>
        <v>0</v>
      </c>
      <c r="H23" s="134"/>
      <c r="I23" s="709"/>
      <c r="J23" s="228" t="s">
        <v>184</v>
      </c>
      <c r="K23" s="142">
        <f>SUM(K20:K22)</f>
        <v>2400</v>
      </c>
      <c r="L23" s="143">
        <f>SUM(L20:L22)</f>
        <v>0.7</v>
      </c>
      <c r="M23" s="144"/>
      <c r="N23" s="137">
        <f>SUM(N20:N22)</f>
        <v>171528</v>
      </c>
      <c r="O23" s="156"/>
      <c r="P23" s="224" t="s">
        <v>145</v>
      </c>
      <c r="Q23" s="225" t="s">
        <v>139</v>
      </c>
      <c r="R23" s="225" t="s">
        <v>140</v>
      </c>
      <c r="S23" s="225" t="s">
        <v>185</v>
      </c>
      <c r="T23" s="225" t="s">
        <v>142</v>
      </c>
      <c r="U23" s="282" t="s">
        <v>221</v>
      </c>
      <c r="V23" s="226" t="s">
        <v>143</v>
      </c>
      <c r="AE23" s="31" t="s">
        <v>280</v>
      </c>
    </row>
    <row r="24" spans="2:36" ht="15" customHeight="1" thickTop="1" thickBot="1" x14ac:dyDescent="0.2">
      <c r="B24" s="711"/>
      <c r="C24" s="128" t="s">
        <v>115</v>
      </c>
      <c r="D24" s="129"/>
      <c r="E24" s="129"/>
      <c r="F24" s="136"/>
      <c r="G24" s="130">
        <f>SUM(G21:G23)</f>
        <v>0</v>
      </c>
      <c r="I24" s="710" t="s">
        <v>224</v>
      </c>
      <c r="J24" s="30"/>
      <c r="K24" s="141"/>
      <c r="L24" s="141"/>
      <c r="M24" s="141"/>
      <c r="N24" s="122"/>
      <c r="O24" s="156"/>
      <c r="P24" s="227" t="s">
        <v>366</v>
      </c>
      <c r="Q24" s="118">
        <v>1</v>
      </c>
      <c r="R24" s="283" t="s">
        <v>222</v>
      </c>
      <c r="S24" s="118">
        <v>27000</v>
      </c>
      <c r="T24" s="118">
        <v>1</v>
      </c>
      <c r="U24" s="119">
        <v>80</v>
      </c>
      <c r="V24" s="149">
        <f>Q24*S24/T24/U24*10</f>
        <v>3375</v>
      </c>
      <c r="AE24" s="223" t="s">
        <v>69</v>
      </c>
      <c r="AF24" s="132" t="s">
        <v>132</v>
      </c>
      <c r="AG24" s="132" t="s">
        <v>106</v>
      </c>
      <c r="AH24" s="132" t="s">
        <v>107</v>
      </c>
      <c r="AI24" s="132" t="s">
        <v>21</v>
      </c>
      <c r="AJ24" s="120" t="s">
        <v>108</v>
      </c>
    </row>
    <row r="25" spans="2:36" ht="15" customHeight="1" x14ac:dyDescent="0.15">
      <c r="H25" s="135"/>
      <c r="I25" s="609"/>
      <c r="J25" s="30"/>
      <c r="K25" s="141"/>
      <c r="L25" s="141"/>
      <c r="M25" s="141"/>
      <c r="N25" s="122">
        <f t="shared" ref="N25:N26" si="15">K25*L25*M25</f>
        <v>0</v>
      </c>
      <c r="O25" s="156"/>
      <c r="P25" s="227" t="s">
        <v>367</v>
      </c>
      <c r="Q25" s="118">
        <v>8</v>
      </c>
      <c r="R25" s="154" t="s">
        <v>76</v>
      </c>
      <c r="S25" s="118">
        <v>76000</v>
      </c>
      <c r="T25" s="118">
        <v>7</v>
      </c>
      <c r="U25" s="119">
        <v>80</v>
      </c>
      <c r="V25" s="149">
        <f t="shared" ref="V25:V26" si="16">Q25*S25/T25/U25*10</f>
        <v>10857.142857142859</v>
      </c>
      <c r="AE25" s="688" t="s">
        <v>128</v>
      </c>
      <c r="AF25" s="338" t="s">
        <v>261</v>
      </c>
      <c r="AG25" s="346">
        <v>1.1100000000000001</v>
      </c>
      <c r="AH25" s="339" t="s">
        <v>255</v>
      </c>
      <c r="AI25" s="347">
        <v>143</v>
      </c>
      <c r="AJ25" s="340">
        <f t="shared" ref="AJ25:AJ37" si="17">AG25*AI25</f>
        <v>158.73000000000002</v>
      </c>
    </row>
    <row r="26" spans="2:36" ht="15" customHeight="1" thickBot="1" x14ac:dyDescent="0.2">
      <c r="B26" s="5" t="s">
        <v>186</v>
      </c>
      <c r="C26" s="5"/>
      <c r="D26" s="33"/>
      <c r="E26" s="5"/>
      <c r="F26" s="33"/>
      <c r="G26" s="34"/>
      <c r="H26" s="133"/>
      <c r="I26" s="609"/>
      <c r="J26" s="30"/>
      <c r="K26" s="141"/>
      <c r="L26" s="141"/>
      <c r="M26" s="141"/>
      <c r="N26" s="122">
        <f t="shared" si="15"/>
        <v>0</v>
      </c>
      <c r="O26" s="156"/>
      <c r="P26" s="227" t="s">
        <v>368</v>
      </c>
      <c r="Q26" s="118">
        <v>5</v>
      </c>
      <c r="R26" s="283" t="s">
        <v>76</v>
      </c>
      <c r="S26" s="118">
        <v>50000</v>
      </c>
      <c r="T26" s="118">
        <v>7</v>
      </c>
      <c r="U26" s="119">
        <v>80</v>
      </c>
      <c r="V26" s="149">
        <f t="shared" si="16"/>
        <v>4464.2857142857147</v>
      </c>
      <c r="AE26" s="689"/>
      <c r="AF26" s="338" t="s">
        <v>262</v>
      </c>
      <c r="AG26" s="345"/>
      <c r="AH26" s="339" t="s">
        <v>255</v>
      </c>
      <c r="AI26" s="338">
        <v>199</v>
      </c>
      <c r="AJ26" s="340">
        <f t="shared" si="17"/>
        <v>0</v>
      </c>
    </row>
    <row r="27" spans="2:36" ht="15" customHeight="1" thickBot="1" x14ac:dyDescent="0.2">
      <c r="B27" s="223" t="s">
        <v>69</v>
      </c>
      <c r="C27" s="132" t="s">
        <v>105</v>
      </c>
      <c r="D27" s="132" t="s">
        <v>106</v>
      </c>
      <c r="E27" s="132" t="s">
        <v>107</v>
      </c>
      <c r="F27" s="132" t="s">
        <v>21</v>
      </c>
      <c r="G27" s="120" t="s">
        <v>108</v>
      </c>
      <c r="H27" s="134"/>
      <c r="I27" s="709"/>
      <c r="J27" s="228" t="s">
        <v>182</v>
      </c>
      <c r="K27" s="142">
        <f>SUM(K24:K26)</f>
        <v>0</v>
      </c>
      <c r="L27" s="143">
        <f>SUM(L24:L26)</f>
        <v>0</v>
      </c>
      <c r="M27" s="144"/>
      <c r="N27" s="137">
        <f>SUM(N24:N26)</f>
        <v>0</v>
      </c>
      <c r="O27" s="156"/>
      <c r="P27" s="227"/>
      <c r="Q27" s="118"/>
      <c r="R27" s="283"/>
      <c r="S27" s="118"/>
      <c r="T27" s="118"/>
      <c r="U27" s="119"/>
      <c r="V27" s="149"/>
      <c r="AE27" s="689"/>
      <c r="AF27" s="338" t="s">
        <v>263</v>
      </c>
      <c r="AG27" s="346">
        <v>1.02</v>
      </c>
      <c r="AH27" s="339" t="s">
        <v>255</v>
      </c>
      <c r="AI27" s="347">
        <v>71</v>
      </c>
      <c r="AJ27" s="340">
        <f t="shared" si="17"/>
        <v>72.42</v>
      </c>
    </row>
    <row r="28" spans="2:36" ht="15" customHeight="1" thickTop="1" x14ac:dyDescent="0.15">
      <c r="B28" s="608" t="s">
        <v>27</v>
      </c>
      <c r="C28" s="348"/>
      <c r="D28" s="348"/>
      <c r="E28" s="37"/>
      <c r="F28" s="348"/>
      <c r="G28" s="349">
        <f t="shared" ref="G28:G37" si="18">D28*F28</f>
        <v>0</v>
      </c>
      <c r="H28" s="134"/>
      <c r="I28" s="710" t="s">
        <v>133</v>
      </c>
      <c r="J28" s="30" t="s">
        <v>310</v>
      </c>
      <c r="K28" s="141">
        <v>8300</v>
      </c>
      <c r="L28" s="141">
        <v>2</v>
      </c>
      <c r="M28" s="141">
        <v>14</v>
      </c>
      <c r="N28" s="122">
        <f>K28*L28*M28</f>
        <v>232400</v>
      </c>
      <c r="O28" s="156"/>
      <c r="P28" s="227"/>
      <c r="Q28" s="118"/>
      <c r="R28" s="283"/>
      <c r="S28" s="118"/>
      <c r="T28" s="118"/>
      <c r="U28" s="295"/>
      <c r="V28" s="149"/>
      <c r="Y28" s="31">
        <f>158+72+278+106+278+416+399+303</f>
        <v>2010</v>
      </c>
      <c r="AE28" s="689"/>
      <c r="AF28" s="338" t="s">
        <v>264</v>
      </c>
      <c r="AG28" s="346">
        <f>2.65*2</f>
        <v>5.3</v>
      </c>
      <c r="AH28" s="339" t="s">
        <v>255</v>
      </c>
      <c r="AI28" s="347">
        <v>105</v>
      </c>
      <c r="AJ28" s="340">
        <f t="shared" si="17"/>
        <v>556.5</v>
      </c>
    </row>
    <row r="29" spans="2:36" ht="15" customHeight="1" x14ac:dyDescent="0.15">
      <c r="B29" s="609"/>
      <c r="C29" s="30"/>
      <c r="D29" s="30"/>
      <c r="E29" s="37"/>
      <c r="F29" s="30"/>
      <c r="G29" s="122">
        <f t="shared" si="18"/>
        <v>0</v>
      </c>
      <c r="H29" s="134"/>
      <c r="I29" s="609"/>
      <c r="J29" s="30"/>
      <c r="K29" s="141"/>
      <c r="L29" s="141"/>
      <c r="M29" s="141"/>
      <c r="N29" s="122">
        <f t="shared" ref="N29:N30" si="19">K29*L29*M29</f>
        <v>0</v>
      </c>
      <c r="O29" s="32"/>
      <c r="P29" s="227"/>
      <c r="Q29" s="118"/>
      <c r="R29" s="283"/>
      <c r="S29" s="118"/>
      <c r="T29" s="118"/>
      <c r="U29" s="295"/>
      <c r="V29" s="149"/>
      <c r="Y29" s="31">
        <v>2565</v>
      </c>
      <c r="AE29" s="689"/>
      <c r="AF29" s="338" t="s">
        <v>265</v>
      </c>
      <c r="AG29" s="346">
        <v>0.18</v>
      </c>
      <c r="AH29" s="339" t="s">
        <v>272</v>
      </c>
      <c r="AI29" s="347">
        <v>600</v>
      </c>
      <c r="AJ29" s="340">
        <f t="shared" si="17"/>
        <v>108</v>
      </c>
    </row>
    <row r="30" spans="2:36" ht="15" customHeight="1" x14ac:dyDescent="0.15">
      <c r="B30" s="609"/>
      <c r="C30" s="30"/>
      <c r="D30" s="30"/>
      <c r="E30" s="37"/>
      <c r="F30" s="30"/>
      <c r="G30" s="122">
        <f t="shared" si="18"/>
        <v>0</v>
      </c>
      <c r="H30" s="134"/>
      <c r="I30" s="609"/>
      <c r="J30" s="30"/>
      <c r="K30" s="141"/>
      <c r="L30" s="141"/>
      <c r="M30" s="141"/>
      <c r="N30" s="122">
        <f t="shared" si="19"/>
        <v>0</v>
      </c>
      <c r="P30" s="227"/>
      <c r="Q30" s="118"/>
      <c r="R30" s="154"/>
      <c r="S30" s="118"/>
      <c r="T30" s="118"/>
      <c r="U30" s="119"/>
      <c r="V30" s="149"/>
      <c r="Y30" s="31">
        <f>Y29-Y28</f>
        <v>555</v>
      </c>
      <c r="AE30" s="689"/>
      <c r="AF30" s="338" t="s">
        <v>266</v>
      </c>
      <c r="AG30" s="346">
        <v>4.96</v>
      </c>
      <c r="AH30" s="339" t="s">
        <v>255</v>
      </c>
      <c r="AI30" s="347">
        <v>84</v>
      </c>
      <c r="AJ30" s="340">
        <f t="shared" si="17"/>
        <v>416.64</v>
      </c>
    </row>
    <row r="31" spans="2:36" ht="15" customHeight="1" thickBot="1" x14ac:dyDescent="0.2">
      <c r="B31" s="609"/>
      <c r="C31" s="30"/>
      <c r="D31" s="30"/>
      <c r="E31" s="37"/>
      <c r="F31" s="30"/>
      <c r="G31" s="122">
        <f t="shared" si="18"/>
        <v>0</v>
      </c>
      <c r="H31" s="134"/>
      <c r="I31" s="711"/>
      <c r="J31" s="229" t="s">
        <v>187</v>
      </c>
      <c r="K31" s="145">
        <f>SUM(K28:K30)</f>
        <v>8300</v>
      </c>
      <c r="L31" s="147">
        <f>SUM(L28:L30)</f>
        <v>2</v>
      </c>
      <c r="M31" s="148"/>
      <c r="N31" s="139">
        <f>SUM(N28:N30)</f>
        <v>232400</v>
      </c>
      <c r="P31" s="227"/>
      <c r="Q31" s="118"/>
      <c r="R31" s="154"/>
      <c r="S31" s="118"/>
      <c r="T31" s="118"/>
      <c r="U31" s="119"/>
      <c r="V31" s="149"/>
      <c r="AE31" s="689"/>
      <c r="AF31" s="338" t="s">
        <v>273</v>
      </c>
      <c r="AG31" s="345">
        <v>0.33</v>
      </c>
      <c r="AH31" s="339" t="s">
        <v>274</v>
      </c>
      <c r="AI31" s="338">
        <v>1200</v>
      </c>
      <c r="AJ31" s="340">
        <f t="shared" si="17"/>
        <v>396</v>
      </c>
    </row>
    <row r="32" spans="2:36" ht="15" customHeight="1" x14ac:dyDescent="0.15">
      <c r="B32" s="609"/>
      <c r="C32" s="296"/>
      <c r="D32" s="296"/>
      <c r="E32" s="37"/>
      <c r="F32" s="296"/>
      <c r="G32" s="122">
        <f t="shared" si="18"/>
        <v>0</v>
      </c>
      <c r="H32" s="134"/>
      <c r="I32" s="113"/>
      <c r="J32" s="113"/>
      <c r="K32" s="113"/>
      <c r="L32" s="113"/>
      <c r="M32" s="113"/>
      <c r="N32" s="113"/>
      <c r="P32" s="227"/>
      <c r="Q32" s="118"/>
      <c r="R32" s="154"/>
      <c r="S32" s="118"/>
      <c r="T32" s="118"/>
      <c r="U32" s="119"/>
      <c r="V32" s="149"/>
      <c r="AE32" s="689"/>
      <c r="AF32" s="338" t="s">
        <v>275</v>
      </c>
      <c r="AG32" s="345">
        <v>0.23300000000000001</v>
      </c>
      <c r="AH32" s="339" t="s">
        <v>255</v>
      </c>
      <c r="AI32" s="338">
        <v>1300</v>
      </c>
      <c r="AJ32" s="340">
        <f t="shared" si="17"/>
        <v>302.90000000000003</v>
      </c>
    </row>
    <row r="33" spans="2:36" ht="15" customHeight="1" thickBot="1" x14ac:dyDescent="0.2">
      <c r="B33" s="609"/>
      <c r="C33" s="296"/>
      <c r="D33" s="296"/>
      <c r="E33" s="37"/>
      <c r="F33" s="296"/>
      <c r="G33" s="122">
        <f t="shared" si="18"/>
        <v>0</v>
      </c>
      <c r="H33" s="134"/>
      <c r="I33" s="107" t="s">
        <v>177</v>
      </c>
      <c r="J33" s="100"/>
      <c r="K33" s="100"/>
      <c r="L33" s="100"/>
      <c r="M33" s="100"/>
      <c r="P33" s="227"/>
      <c r="Q33" s="118"/>
      <c r="R33" s="154"/>
      <c r="S33" s="118"/>
      <c r="T33" s="118"/>
      <c r="U33" s="119"/>
      <c r="V33" s="149"/>
      <c r="AE33" s="689"/>
      <c r="AF33" s="338" t="s">
        <v>267</v>
      </c>
      <c r="AG33" s="345">
        <v>0.54700000000000004</v>
      </c>
      <c r="AH33" s="339" t="s">
        <v>255</v>
      </c>
      <c r="AI33" s="338">
        <f>137/0.547</f>
        <v>250.45703839122484</v>
      </c>
      <c r="AJ33" s="340">
        <f t="shared" si="17"/>
        <v>137</v>
      </c>
    </row>
    <row r="34" spans="2:36" ht="15" customHeight="1" thickBot="1" x14ac:dyDescent="0.2">
      <c r="B34" s="609"/>
      <c r="C34" s="30"/>
      <c r="D34" s="30"/>
      <c r="E34" s="37"/>
      <c r="F34" s="30"/>
      <c r="G34" s="122">
        <f t="shared" si="18"/>
        <v>0</v>
      </c>
      <c r="H34" s="134"/>
      <c r="I34" s="203" t="s">
        <v>164</v>
      </c>
      <c r="J34" s="204" t="s">
        <v>3</v>
      </c>
      <c r="K34" s="724" t="s">
        <v>165</v>
      </c>
      <c r="L34" s="725"/>
      <c r="M34" s="285" t="s">
        <v>221</v>
      </c>
      <c r="N34" s="230" t="s">
        <v>188</v>
      </c>
      <c r="P34" s="231" t="s">
        <v>169</v>
      </c>
      <c r="Q34" s="151"/>
      <c r="R34" s="151"/>
      <c r="S34" s="151"/>
      <c r="T34" s="151"/>
      <c r="U34" s="153"/>
      <c r="V34" s="152">
        <f>SUM(V24:V33)</f>
        <v>18696.428571428572</v>
      </c>
      <c r="AE34" s="689"/>
      <c r="AF34" s="338" t="s">
        <v>268</v>
      </c>
      <c r="AG34" s="345">
        <v>0.182</v>
      </c>
      <c r="AH34" s="339" t="s">
        <v>255</v>
      </c>
      <c r="AI34" s="338">
        <f>45/0.182</f>
        <v>247.25274725274727</v>
      </c>
      <c r="AJ34" s="340">
        <f t="shared" si="17"/>
        <v>45</v>
      </c>
    </row>
    <row r="35" spans="2:36" ht="15" customHeight="1" x14ac:dyDescent="0.15">
      <c r="B35" s="609"/>
      <c r="C35" s="30"/>
      <c r="D35" s="30"/>
      <c r="E35" s="37"/>
      <c r="F35" s="30"/>
      <c r="G35" s="122">
        <f t="shared" si="18"/>
        <v>0</v>
      </c>
      <c r="H35" s="134"/>
      <c r="I35" s="716" t="s">
        <v>0</v>
      </c>
      <c r="J35" s="131" t="str">
        <f>'６　固定資本装備と減価償却費'!C5</f>
        <v>ハウス施設</v>
      </c>
      <c r="K35" s="715">
        <f>'６　固定資本装備と減価償却費'!G5</f>
        <v>54400000</v>
      </c>
      <c r="L35" s="715"/>
      <c r="M35" s="379">
        <v>80</v>
      </c>
      <c r="N35" s="217">
        <f>+K35/M35*10*0.014*0.3</f>
        <v>28560</v>
      </c>
      <c r="AE35" s="689"/>
      <c r="AF35" s="338" t="s">
        <v>269</v>
      </c>
      <c r="AG35" s="345">
        <v>0.73899999999999999</v>
      </c>
      <c r="AH35" s="339" t="s">
        <v>255</v>
      </c>
      <c r="AI35" s="338">
        <f>199/0.739</f>
        <v>269.28281461434369</v>
      </c>
      <c r="AJ35" s="340">
        <f t="shared" si="17"/>
        <v>199</v>
      </c>
    </row>
    <row r="36" spans="2:36" ht="15" customHeight="1" thickBot="1" x14ac:dyDescent="0.2">
      <c r="B36" s="609"/>
      <c r="C36" s="30"/>
      <c r="D36" s="30"/>
      <c r="E36" s="37"/>
      <c r="F36" s="30"/>
      <c r="G36" s="122">
        <f t="shared" si="18"/>
        <v>0</v>
      </c>
      <c r="H36" s="134"/>
      <c r="I36" s="717"/>
      <c r="J36" s="131"/>
      <c r="K36" s="715"/>
      <c r="L36" s="715"/>
      <c r="M36" s="202"/>
      <c r="N36" s="217"/>
      <c r="P36" s="107" t="s">
        <v>170</v>
      </c>
      <c r="Q36" s="100"/>
      <c r="R36" s="100"/>
      <c r="S36" s="100"/>
      <c r="T36" s="100"/>
      <c r="AE36" s="689"/>
      <c r="AF36" s="338" t="s">
        <v>270</v>
      </c>
      <c r="AG36" s="345">
        <v>2.4E-2</v>
      </c>
      <c r="AH36" s="339" t="s">
        <v>255</v>
      </c>
      <c r="AI36" s="338">
        <f>48/0.024</f>
        <v>2000</v>
      </c>
      <c r="AJ36" s="340">
        <f t="shared" si="17"/>
        <v>48</v>
      </c>
    </row>
    <row r="37" spans="2:36" ht="15" customHeight="1" x14ac:dyDescent="0.15">
      <c r="B37" s="609"/>
      <c r="C37" s="30"/>
      <c r="D37" s="30"/>
      <c r="E37" s="37"/>
      <c r="F37" s="30"/>
      <c r="G37" s="122">
        <f t="shared" si="18"/>
        <v>0</v>
      </c>
      <c r="H37" s="134"/>
      <c r="I37" s="717"/>
      <c r="J37" s="131"/>
      <c r="K37" s="715"/>
      <c r="L37" s="715"/>
      <c r="M37" s="202"/>
      <c r="N37" s="217"/>
      <c r="O37" s="146"/>
      <c r="P37" s="203" t="s">
        <v>163</v>
      </c>
      <c r="Q37" s="726" t="s">
        <v>171</v>
      </c>
      <c r="R37" s="726"/>
      <c r="S37" s="216" t="s">
        <v>174</v>
      </c>
      <c r="T37" s="216" t="s">
        <v>173</v>
      </c>
      <c r="U37" s="284" t="s">
        <v>221</v>
      </c>
      <c r="V37" s="232" t="s">
        <v>188</v>
      </c>
      <c r="Y37" s="31" t="s">
        <v>277</v>
      </c>
      <c r="AE37" s="689"/>
      <c r="AF37" s="338" t="s">
        <v>271</v>
      </c>
      <c r="AG37" s="345">
        <v>1.0999999999999999E-2</v>
      </c>
      <c r="AH37" s="339" t="s">
        <v>255</v>
      </c>
      <c r="AI37" s="338">
        <f>29/0.011</f>
        <v>2636.3636363636365</v>
      </c>
      <c r="AJ37" s="340">
        <f t="shared" si="17"/>
        <v>29</v>
      </c>
    </row>
    <row r="38" spans="2:36" ht="15" customHeight="1" thickBot="1" x14ac:dyDescent="0.2">
      <c r="B38" s="709"/>
      <c r="C38" s="123" t="s">
        <v>112</v>
      </c>
      <c r="D38" s="123"/>
      <c r="E38" s="123"/>
      <c r="F38" s="123"/>
      <c r="G38" s="124">
        <f>SUM(G28:G37)</f>
        <v>0</v>
      </c>
      <c r="H38" s="134"/>
      <c r="I38" s="717"/>
      <c r="J38" s="131"/>
      <c r="K38" s="715"/>
      <c r="L38" s="715"/>
      <c r="M38" s="202"/>
      <c r="N38" s="217"/>
      <c r="O38" s="146"/>
      <c r="P38" s="699" t="s">
        <v>172</v>
      </c>
      <c r="Q38" s="209" t="s">
        <v>176</v>
      </c>
      <c r="R38" s="235" t="s">
        <v>360</v>
      </c>
      <c r="S38" s="210">
        <f>V38*U38/10</f>
        <v>200000</v>
      </c>
      <c r="T38" s="236">
        <v>1</v>
      </c>
      <c r="U38" s="210">
        <v>80</v>
      </c>
      <c r="V38" s="217">
        <v>25000</v>
      </c>
      <c r="Y38" s="31" t="s">
        <v>276</v>
      </c>
      <c r="AE38" s="689"/>
      <c r="AF38" s="338"/>
      <c r="AG38" s="338"/>
      <c r="AH38" s="339"/>
      <c r="AI38" s="338"/>
      <c r="AJ38" s="340">
        <f>AG38*AI38</f>
        <v>0</v>
      </c>
    </row>
    <row r="39" spans="2:36" ht="15" customHeight="1" thickTop="1" x14ac:dyDescent="0.15">
      <c r="B39" s="710" t="s">
        <v>130</v>
      </c>
      <c r="C39" s="30" t="s">
        <v>415</v>
      </c>
      <c r="D39" s="62">
        <v>1</v>
      </c>
      <c r="E39" s="37" t="s">
        <v>110</v>
      </c>
      <c r="F39" s="30">
        <v>4576</v>
      </c>
      <c r="G39" s="122">
        <f>D39*F39</f>
        <v>4576</v>
      </c>
      <c r="H39" s="134"/>
      <c r="I39" s="717"/>
      <c r="J39" s="131"/>
      <c r="K39" s="715"/>
      <c r="L39" s="715"/>
      <c r="M39" s="202"/>
      <c r="N39" s="217"/>
      <c r="O39" s="146"/>
      <c r="P39" s="697"/>
      <c r="Q39" s="209"/>
      <c r="R39" s="235"/>
      <c r="S39" s="210"/>
      <c r="T39" s="236"/>
      <c r="U39" s="210"/>
      <c r="V39" s="217"/>
      <c r="AE39" s="689"/>
      <c r="AF39" s="338"/>
      <c r="AG39" s="338"/>
      <c r="AH39" s="338"/>
      <c r="AI39" s="338"/>
      <c r="AJ39" s="340">
        <f t="shared" ref="AJ39" si="20">AG39*AI39</f>
        <v>0</v>
      </c>
    </row>
    <row r="40" spans="2:36" ht="15" customHeight="1" x14ac:dyDescent="0.15">
      <c r="B40" s="609"/>
      <c r="C40" s="30" t="s">
        <v>416</v>
      </c>
      <c r="D40" s="62">
        <v>1</v>
      </c>
      <c r="E40" s="37" t="s">
        <v>110</v>
      </c>
      <c r="F40" s="30">
        <v>5220</v>
      </c>
      <c r="G40" s="122">
        <f>D40*F40</f>
        <v>5220</v>
      </c>
      <c r="H40" s="134"/>
      <c r="I40" s="717"/>
      <c r="J40" s="131"/>
      <c r="K40" s="715"/>
      <c r="L40" s="715"/>
      <c r="M40" s="202"/>
      <c r="N40" s="217"/>
      <c r="O40" s="146"/>
      <c r="P40" s="697"/>
      <c r="Q40" s="209"/>
      <c r="R40" s="235"/>
      <c r="S40" s="210"/>
      <c r="T40" s="236"/>
      <c r="U40" s="210"/>
      <c r="V40" s="217"/>
      <c r="AE40" s="690"/>
      <c r="AF40" s="342" t="s">
        <v>113</v>
      </c>
      <c r="AG40" s="343"/>
      <c r="AH40" s="343"/>
      <c r="AI40" s="343"/>
      <c r="AJ40" s="344">
        <f>SUM(AJ25:AJ39)</f>
        <v>2469.19</v>
      </c>
    </row>
    <row r="41" spans="2:36" ht="15" customHeight="1" x14ac:dyDescent="0.15">
      <c r="B41" s="609"/>
      <c r="C41" s="30" t="s">
        <v>417</v>
      </c>
      <c r="D41" s="62">
        <v>1</v>
      </c>
      <c r="E41" s="37" t="s">
        <v>110</v>
      </c>
      <c r="F41" s="30">
        <v>5564</v>
      </c>
      <c r="G41" s="122">
        <f t="shared" ref="G41:G47" si="21">D41*F41</f>
        <v>5564</v>
      </c>
      <c r="H41" s="134"/>
      <c r="I41" s="717"/>
      <c r="J41" s="131"/>
      <c r="K41" s="715"/>
      <c r="L41" s="715"/>
      <c r="M41" s="202"/>
      <c r="N41" s="217"/>
      <c r="O41" s="146"/>
      <c r="P41" s="697"/>
      <c r="Q41" s="209"/>
      <c r="R41" s="235"/>
      <c r="S41" s="210"/>
      <c r="T41" s="236"/>
      <c r="U41" s="210"/>
      <c r="V41" s="217"/>
    </row>
    <row r="42" spans="2:36" ht="15" customHeight="1" thickBot="1" x14ac:dyDescent="0.2">
      <c r="B42" s="609"/>
      <c r="C42" s="296"/>
      <c r="D42" s="258"/>
      <c r="E42" s="37"/>
      <c r="F42" s="296"/>
      <c r="G42" s="122"/>
      <c r="H42" s="134"/>
      <c r="I42" s="718"/>
      <c r="J42" s="205" t="s">
        <v>113</v>
      </c>
      <c r="K42" s="719"/>
      <c r="L42" s="720"/>
      <c r="M42" s="206"/>
      <c r="N42" s="213">
        <f>SUM(N35:N41)</f>
        <v>28560</v>
      </c>
      <c r="O42" s="146"/>
      <c r="P42" s="697"/>
      <c r="Q42" s="209"/>
      <c r="R42" s="235"/>
      <c r="S42" s="210"/>
      <c r="T42" s="236"/>
      <c r="U42" s="210"/>
      <c r="V42" s="217"/>
    </row>
    <row r="43" spans="2:36" ht="15" customHeight="1" thickTop="1" x14ac:dyDescent="0.15">
      <c r="B43" s="609"/>
      <c r="C43" s="296"/>
      <c r="D43" s="296"/>
      <c r="E43" s="37"/>
      <c r="F43" s="296"/>
      <c r="G43" s="122">
        <f t="shared" si="21"/>
        <v>0</v>
      </c>
      <c r="H43" s="134"/>
      <c r="I43" s="727" t="s">
        <v>166</v>
      </c>
      <c r="J43" s="207" t="s">
        <v>189</v>
      </c>
      <c r="K43" s="723">
        <v>16400</v>
      </c>
      <c r="L43" s="723"/>
      <c r="M43" s="208">
        <v>80</v>
      </c>
      <c r="N43" s="233">
        <f>+K43/M43*10</f>
        <v>2050</v>
      </c>
      <c r="O43" s="146"/>
      <c r="P43" s="697"/>
      <c r="Q43" s="209"/>
      <c r="R43" s="235"/>
      <c r="S43" s="210"/>
      <c r="T43" s="236"/>
      <c r="U43" s="210"/>
      <c r="V43" s="217"/>
    </row>
    <row r="44" spans="2:36" ht="15" customHeight="1" thickBot="1" x14ac:dyDescent="0.2">
      <c r="B44" s="609"/>
      <c r="C44" s="30"/>
      <c r="D44" s="30"/>
      <c r="E44" s="37"/>
      <c r="F44" s="30"/>
      <c r="G44" s="122">
        <f t="shared" si="21"/>
        <v>0</v>
      </c>
      <c r="H44" s="134"/>
      <c r="I44" s="728"/>
      <c r="J44" s="209"/>
      <c r="K44" s="715"/>
      <c r="L44" s="715"/>
      <c r="M44" s="202"/>
      <c r="N44" s="217"/>
      <c r="O44" s="146"/>
      <c r="P44" s="700"/>
      <c r="Q44" s="218" t="s">
        <v>175</v>
      </c>
      <c r="R44" s="219"/>
      <c r="S44" s="219"/>
      <c r="T44" s="219"/>
      <c r="U44" s="219"/>
      <c r="V44" s="220">
        <f>SUM(V38:V43)</f>
        <v>25000</v>
      </c>
      <c r="Z44" s="31" t="s">
        <v>304</v>
      </c>
      <c r="AA44" s="31" t="s">
        <v>305</v>
      </c>
    </row>
    <row r="45" spans="2:36" ht="15" customHeight="1" thickTop="1" x14ac:dyDescent="0.15">
      <c r="B45" s="609"/>
      <c r="C45" s="30"/>
      <c r="D45" s="30"/>
      <c r="E45" s="37"/>
      <c r="F45" s="30"/>
      <c r="G45" s="122">
        <f t="shared" si="21"/>
        <v>0</v>
      </c>
      <c r="H45" s="134"/>
      <c r="I45" s="728"/>
      <c r="J45" s="131"/>
      <c r="K45" s="715"/>
      <c r="L45" s="715"/>
      <c r="M45" s="202"/>
      <c r="N45" s="217"/>
      <c r="O45" s="146"/>
      <c r="P45" s="696" t="s">
        <v>180</v>
      </c>
      <c r="Q45" s="693" t="s">
        <v>190</v>
      </c>
      <c r="R45" s="237" t="s">
        <v>361</v>
      </c>
      <c r="S45" s="209">
        <v>17270</v>
      </c>
      <c r="T45" s="236">
        <v>1</v>
      </c>
      <c r="U45" s="209">
        <v>80</v>
      </c>
      <c r="V45" s="217">
        <f>+S45*T45/U45*10</f>
        <v>2158.75</v>
      </c>
      <c r="Y45" s="31" t="s">
        <v>300</v>
      </c>
      <c r="Z45" s="31">
        <v>266</v>
      </c>
      <c r="AA45" s="31">
        <f>Z45*1000</f>
        <v>266000</v>
      </c>
    </row>
    <row r="46" spans="2:36" ht="15" customHeight="1" thickBot="1" x14ac:dyDescent="0.2">
      <c r="B46" s="609"/>
      <c r="C46" s="30"/>
      <c r="D46" s="30"/>
      <c r="E46" s="30"/>
      <c r="F46" s="30"/>
      <c r="G46" s="122">
        <f t="shared" si="21"/>
        <v>0</v>
      </c>
      <c r="H46" s="134"/>
      <c r="I46" s="737"/>
      <c r="J46" s="205" t="s">
        <v>113</v>
      </c>
      <c r="K46" s="719"/>
      <c r="L46" s="720"/>
      <c r="M46" s="206"/>
      <c r="N46" s="213">
        <f>SUM(N43:N45)</f>
        <v>2050</v>
      </c>
      <c r="O46" s="146"/>
      <c r="P46" s="697"/>
      <c r="Q46" s="694"/>
      <c r="R46" s="237"/>
      <c r="S46" s="209"/>
      <c r="T46" s="236"/>
      <c r="U46" s="209"/>
      <c r="V46" s="217"/>
      <c r="Y46" s="31" t="s">
        <v>301</v>
      </c>
      <c r="Z46" s="31">
        <v>102</v>
      </c>
      <c r="AA46" s="31">
        <f t="shared" ref="AA46:AA48" si="22">Z46*1000</f>
        <v>102000</v>
      </c>
    </row>
    <row r="47" spans="2:36" ht="15" customHeight="1" thickTop="1" x14ac:dyDescent="0.15">
      <c r="B47" s="609"/>
      <c r="C47" s="30"/>
      <c r="D47" s="30"/>
      <c r="E47" s="30"/>
      <c r="F47" s="30"/>
      <c r="G47" s="122">
        <f t="shared" si="21"/>
        <v>0</v>
      </c>
      <c r="H47" s="134"/>
      <c r="I47" s="727" t="s">
        <v>167</v>
      </c>
      <c r="J47" s="207" t="s">
        <v>361</v>
      </c>
      <c r="K47" s="723">
        <v>11500</v>
      </c>
      <c r="L47" s="723"/>
      <c r="M47" s="208">
        <v>80</v>
      </c>
      <c r="N47" s="233">
        <f>+K47/M47*10</f>
        <v>1437.5</v>
      </c>
      <c r="O47" s="146"/>
      <c r="P47" s="697"/>
      <c r="Q47" s="694"/>
      <c r="R47" s="237"/>
      <c r="S47" s="209"/>
      <c r="T47" s="209"/>
      <c r="U47" s="131"/>
      <c r="V47" s="238"/>
      <c r="Y47" s="31" t="s">
        <v>302</v>
      </c>
      <c r="Z47" s="31">
        <v>187</v>
      </c>
      <c r="AA47" s="31">
        <f t="shared" si="22"/>
        <v>187000</v>
      </c>
    </row>
    <row r="48" spans="2:36" ht="15" customHeight="1" x14ac:dyDescent="0.15">
      <c r="B48" s="609"/>
      <c r="C48" s="30"/>
      <c r="D48" s="30"/>
      <c r="E48" s="30"/>
      <c r="F48" s="30"/>
      <c r="G48" s="122">
        <f t="shared" ref="G48:G52" si="23">D48*F48</f>
        <v>0</v>
      </c>
      <c r="H48" s="134"/>
      <c r="I48" s="728"/>
      <c r="J48" s="209"/>
      <c r="K48" s="715"/>
      <c r="L48" s="715"/>
      <c r="M48" s="202"/>
      <c r="N48" s="217"/>
      <c r="O48" s="146"/>
      <c r="P48" s="697"/>
      <c r="Q48" s="694"/>
      <c r="R48" s="237"/>
      <c r="S48" s="209"/>
      <c r="T48" s="236"/>
      <c r="U48" s="209"/>
      <c r="V48" s="217"/>
      <c r="Y48" s="31" t="s">
        <v>303</v>
      </c>
      <c r="Z48" s="31">
        <v>42</v>
      </c>
      <c r="AA48" s="31">
        <f t="shared" si="22"/>
        <v>42000</v>
      </c>
    </row>
    <row r="49" spans="2:27" ht="15" customHeight="1" thickBot="1" x14ac:dyDescent="0.2">
      <c r="B49" s="709"/>
      <c r="C49" s="125" t="s">
        <v>113</v>
      </c>
      <c r="D49" s="126"/>
      <c r="E49" s="126"/>
      <c r="F49" s="126"/>
      <c r="G49" s="127">
        <f>SUM(G39:G48)</f>
        <v>15360</v>
      </c>
      <c r="H49" s="134"/>
      <c r="I49" s="728"/>
      <c r="J49" s="131"/>
      <c r="K49" s="715"/>
      <c r="L49" s="715"/>
      <c r="M49" s="202"/>
      <c r="N49" s="217"/>
      <c r="O49" s="146"/>
      <c r="P49" s="697"/>
      <c r="Q49" s="695"/>
      <c r="R49" s="237"/>
      <c r="S49" s="209"/>
      <c r="T49" s="209"/>
      <c r="U49" s="131"/>
      <c r="V49" s="238"/>
      <c r="Y49" s="31" t="s">
        <v>306</v>
      </c>
      <c r="Z49" s="31">
        <f>SUM(Z45:Z48)</f>
        <v>597</v>
      </c>
      <c r="AA49" s="31">
        <f>SUM(AA45:AA48)</f>
        <v>597000</v>
      </c>
    </row>
    <row r="50" spans="2:27" ht="15" customHeight="1" thickTop="1" thickBot="1" x14ac:dyDescent="0.2">
      <c r="B50" s="710" t="s">
        <v>28</v>
      </c>
      <c r="C50" s="30"/>
      <c r="D50" s="30"/>
      <c r="E50" s="37"/>
      <c r="F50" s="30"/>
      <c r="G50" s="122">
        <f t="shared" si="23"/>
        <v>0</v>
      </c>
      <c r="H50" s="134"/>
      <c r="I50" s="737"/>
      <c r="J50" s="205" t="s">
        <v>113</v>
      </c>
      <c r="K50" s="719"/>
      <c r="L50" s="720"/>
      <c r="M50" s="206"/>
      <c r="N50" s="213">
        <f>SUM(N47:N49)</f>
        <v>1437.5</v>
      </c>
      <c r="O50" s="146"/>
      <c r="P50" s="697"/>
      <c r="Q50" s="218" t="s">
        <v>175</v>
      </c>
      <c r="R50" s="219"/>
      <c r="S50" s="219"/>
      <c r="T50" s="219"/>
      <c r="U50" s="219"/>
      <c r="V50" s="220">
        <f>SUM(V45:V49)</f>
        <v>2158.75</v>
      </c>
    </row>
    <row r="51" spans="2:27" ht="15" customHeight="1" thickTop="1" x14ac:dyDescent="0.15">
      <c r="B51" s="609"/>
      <c r="C51" s="30"/>
      <c r="D51" s="30"/>
      <c r="E51" s="30"/>
      <c r="F51" s="30"/>
      <c r="G51" s="122">
        <f t="shared" si="23"/>
        <v>0</v>
      </c>
      <c r="H51" s="134"/>
      <c r="I51" s="727" t="s">
        <v>168</v>
      </c>
      <c r="J51" s="207"/>
      <c r="K51" s="729"/>
      <c r="L51" s="730"/>
      <c r="M51" s="221"/>
      <c r="N51" s="233"/>
      <c r="O51" s="146"/>
      <c r="P51" s="697"/>
      <c r="Q51" s="693" t="s">
        <v>191</v>
      </c>
      <c r="R51" s="392" t="s">
        <v>361</v>
      </c>
      <c r="S51" s="393">
        <v>120000</v>
      </c>
      <c r="T51" s="394">
        <v>1</v>
      </c>
      <c r="U51" s="393">
        <v>80</v>
      </c>
      <c r="V51" s="395">
        <f>S51/U51*10</f>
        <v>15000</v>
      </c>
    </row>
    <row r="52" spans="2:27" ht="15" customHeight="1" x14ac:dyDescent="0.15">
      <c r="B52" s="609"/>
      <c r="C52" s="30"/>
      <c r="D52" s="30"/>
      <c r="E52" s="30"/>
      <c r="F52" s="30"/>
      <c r="G52" s="122">
        <f t="shared" si="23"/>
        <v>0</v>
      </c>
      <c r="H52" s="134"/>
      <c r="I52" s="728"/>
      <c r="J52" s="209"/>
      <c r="K52" s="731"/>
      <c r="L52" s="732"/>
      <c r="M52" s="222"/>
      <c r="N52" s="217"/>
      <c r="O52" s="146"/>
      <c r="P52" s="697"/>
      <c r="Q52" s="694"/>
      <c r="R52" s="237"/>
      <c r="S52" s="209"/>
      <c r="T52" s="236"/>
      <c r="U52" s="209"/>
      <c r="V52" s="217"/>
    </row>
    <row r="53" spans="2:27" ht="14.25" thickBot="1" x14ac:dyDescent="0.2">
      <c r="B53" s="709"/>
      <c r="C53" s="125" t="s">
        <v>113</v>
      </c>
      <c r="D53" s="126"/>
      <c r="E53" s="126"/>
      <c r="F53" s="126"/>
      <c r="G53" s="127">
        <f>SUM(G50:G52)</f>
        <v>0</v>
      </c>
      <c r="I53" s="728"/>
      <c r="J53" s="209"/>
      <c r="K53" s="731"/>
      <c r="L53" s="732"/>
      <c r="M53" s="222"/>
      <c r="N53" s="217"/>
      <c r="O53" s="146"/>
      <c r="P53" s="697"/>
      <c r="Q53" s="694"/>
      <c r="R53" s="237"/>
      <c r="S53" s="209"/>
      <c r="T53" s="209"/>
      <c r="U53" s="131"/>
      <c r="V53" s="238"/>
    </row>
    <row r="54" spans="2:27" ht="14.25" thickTop="1" x14ac:dyDescent="0.15">
      <c r="B54" s="710" t="s">
        <v>131</v>
      </c>
      <c r="C54" s="30"/>
      <c r="D54" s="30"/>
      <c r="E54" s="37"/>
      <c r="F54" s="30"/>
      <c r="G54" s="122">
        <f>D54*F54</f>
        <v>0</v>
      </c>
      <c r="I54" s="728"/>
      <c r="J54" s="202"/>
      <c r="K54" s="733"/>
      <c r="L54" s="734"/>
      <c r="M54" s="222"/>
      <c r="N54" s="217"/>
      <c r="O54" s="146"/>
      <c r="P54" s="697"/>
      <c r="Q54" s="694"/>
      <c r="R54" s="237"/>
      <c r="S54" s="209"/>
      <c r="T54" s="236"/>
      <c r="U54" s="209"/>
      <c r="V54" s="217"/>
    </row>
    <row r="55" spans="2:27" x14ac:dyDescent="0.15">
      <c r="B55" s="609"/>
      <c r="C55" s="30"/>
      <c r="D55" s="30"/>
      <c r="E55" s="37"/>
      <c r="F55" s="30"/>
      <c r="G55" s="122">
        <f>D55*F55</f>
        <v>0</v>
      </c>
      <c r="I55" s="728"/>
      <c r="J55" s="209"/>
      <c r="K55" s="731"/>
      <c r="L55" s="732"/>
      <c r="M55" s="222"/>
      <c r="N55" s="234"/>
      <c r="O55" s="146"/>
      <c r="P55" s="697"/>
      <c r="Q55" s="695"/>
      <c r="R55" s="237"/>
      <c r="S55" s="209"/>
      <c r="T55" s="209"/>
      <c r="U55" s="131"/>
      <c r="V55" s="238"/>
    </row>
    <row r="56" spans="2:27" x14ac:dyDescent="0.15">
      <c r="B56" s="609"/>
      <c r="C56" s="30"/>
      <c r="D56" s="30"/>
      <c r="E56" s="37"/>
      <c r="F56" s="30"/>
      <c r="G56" s="122">
        <f>D56*F56</f>
        <v>0</v>
      </c>
      <c r="I56" s="716"/>
      <c r="J56" s="211" t="s">
        <v>113</v>
      </c>
      <c r="K56" s="735"/>
      <c r="L56" s="736"/>
      <c r="M56" s="212"/>
      <c r="N56" s="214">
        <f>SUM(N51:N55)</f>
        <v>0</v>
      </c>
      <c r="O56" s="146"/>
      <c r="P56" s="698"/>
      <c r="Q56" s="241" t="s">
        <v>175</v>
      </c>
      <c r="R56" s="242"/>
      <c r="S56" s="242"/>
      <c r="T56" s="242"/>
      <c r="U56" s="242"/>
      <c r="V56" s="243">
        <f>SUM(V51:V55)</f>
        <v>15000</v>
      </c>
    </row>
    <row r="57" spans="2:27" ht="14.25" thickBot="1" x14ac:dyDescent="0.2">
      <c r="B57" s="711"/>
      <c r="C57" s="128" t="s">
        <v>115</v>
      </c>
      <c r="D57" s="129"/>
      <c r="E57" s="129"/>
      <c r="F57" s="129"/>
      <c r="G57" s="130">
        <f>SUM(G54:G56)</f>
        <v>0</v>
      </c>
      <c r="I57" s="714" t="s">
        <v>169</v>
      </c>
      <c r="J57" s="713"/>
      <c r="K57" s="721"/>
      <c r="L57" s="722"/>
      <c r="M57" s="153"/>
      <c r="N57" s="215">
        <f>SUM(N42,N46,N50,N56)</f>
        <v>32047.5</v>
      </c>
      <c r="O57" s="146"/>
      <c r="P57" s="691" t="s">
        <v>169</v>
      </c>
      <c r="Q57" s="692"/>
      <c r="R57" s="239"/>
      <c r="S57" s="239"/>
      <c r="T57" s="239"/>
      <c r="U57" s="239"/>
      <c r="V57" s="240">
        <f>SUM(V44,V50,V56)</f>
        <v>42158.75</v>
      </c>
    </row>
    <row r="58" spans="2:27" x14ac:dyDescent="0.15">
      <c r="O58" s="146"/>
      <c r="V58" s="31"/>
    </row>
    <row r="59" spans="2:27" x14ac:dyDescent="0.15">
      <c r="I59" s="146"/>
      <c r="J59" s="146"/>
      <c r="K59" s="146"/>
      <c r="L59" s="146"/>
      <c r="M59" s="146"/>
      <c r="N59" s="146"/>
      <c r="O59" s="146"/>
    </row>
    <row r="60" spans="2:27" x14ac:dyDescent="0.15">
      <c r="I60" s="146"/>
      <c r="J60" s="146"/>
      <c r="K60" s="146"/>
      <c r="L60" s="146"/>
      <c r="M60" s="146"/>
      <c r="N60" s="146"/>
      <c r="O60" s="146"/>
    </row>
    <row r="61" spans="2:27" x14ac:dyDescent="0.15">
      <c r="I61" s="146"/>
      <c r="J61" s="146"/>
      <c r="K61" s="146"/>
      <c r="L61" s="146"/>
      <c r="M61" s="146"/>
      <c r="N61" s="146"/>
      <c r="O61" s="146"/>
    </row>
    <row r="62" spans="2:27" x14ac:dyDescent="0.15">
      <c r="I62" s="146"/>
      <c r="J62" s="146"/>
      <c r="K62" s="146"/>
      <c r="L62" s="146"/>
      <c r="M62" s="146"/>
      <c r="N62" s="146"/>
      <c r="O62" s="146"/>
    </row>
    <row r="63" spans="2:27" x14ac:dyDescent="0.15">
      <c r="I63" s="146"/>
      <c r="J63" s="146"/>
      <c r="K63" s="146"/>
      <c r="L63" s="146"/>
      <c r="M63" s="146"/>
      <c r="N63" s="146"/>
      <c r="O63" s="146"/>
    </row>
    <row r="64" spans="2:27" x14ac:dyDescent="0.15">
      <c r="I64" s="146"/>
      <c r="J64" s="146"/>
      <c r="K64" s="146"/>
      <c r="L64" s="146"/>
      <c r="M64" s="146"/>
      <c r="N64" s="146"/>
      <c r="O64" s="146"/>
    </row>
    <row r="65" spans="9:15" x14ac:dyDescent="0.15">
      <c r="I65" s="146"/>
      <c r="J65" s="146"/>
      <c r="K65" s="146"/>
      <c r="L65" s="146"/>
      <c r="M65" s="146"/>
      <c r="N65" s="146"/>
      <c r="O65" s="146"/>
    </row>
    <row r="66" spans="9:15" x14ac:dyDescent="0.15">
      <c r="I66" s="146"/>
      <c r="J66" s="146"/>
      <c r="K66" s="146"/>
      <c r="L66" s="146"/>
      <c r="M66" s="146"/>
      <c r="N66" s="146"/>
      <c r="O66" s="146"/>
    </row>
    <row r="67" spans="9:15" x14ac:dyDescent="0.15">
      <c r="I67" s="146"/>
      <c r="J67" s="146"/>
      <c r="K67" s="146"/>
      <c r="L67" s="146"/>
      <c r="M67" s="146"/>
      <c r="N67" s="146"/>
      <c r="O67" s="146"/>
    </row>
    <row r="68" spans="9:15" x14ac:dyDescent="0.15">
      <c r="I68" s="146"/>
      <c r="J68" s="146"/>
      <c r="K68" s="146"/>
      <c r="L68" s="146"/>
      <c r="M68" s="146"/>
      <c r="N68" s="146"/>
      <c r="O68" s="146"/>
    </row>
    <row r="69" spans="9:15" x14ac:dyDescent="0.15">
      <c r="I69" s="146"/>
      <c r="J69" s="146"/>
      <c r="K69" s="146"/>
      <c r="L69" s="146"/>
      <c r="M69" s="146"/>
      <c r="N69" s="146"/>
      <c r="O69" s="146"/>
    </row>
    <row r="70" spans="9:15" x14ac:dyDescent="0.15">
      <c r="I70" s="146"/>
      <c r="J70" s="146"/>
      <c r="K70" s="146"/>
      <c r="L70" s="146"/>
      <c r="M70" s="146"/>
      <c r="N70" s="146"/>
      <c r="O70" s="146"/>
    </row>
    <row r="71" spans="9:15" x14ac:dyDescent="0.15">
      <c r="I71" s="146"/>
      <c r="J71" s="146"/>
      <c r="K71" s="146"/>
      <c r="L71" s="146"/>
      <c r="M71" s="146"/>
      <c r="N71" s="146"/>
      <c r="O71" s="146"/>
    </row>
    <row r="72" spans="9:15" x14ac:dyDescent="0.15">
      <c r="I72" s="146"/>
      <c r="J72" s="146"/>
      <c r="K72" s="146"/>
      <c r="L72" s="146"/>
      <c r="M72" s="146"/>
      <c r="N72" s="146"/>
      <c r="O72" s="146"/>
    </row>
    <row r="73" spans="9:15" x14ac:dyDescent="0.15">
      <c r="I73" s="146"/>
      <c r="J73" s="146"/>
      <c r="K73" s="146"/>
      <c r="L73" s="146"/>
      <c r="M73" s="146"/>
      <c r="N73" s="146"/>
      <c r="O73" s="146"/>
    </row>
    <row r="74" spans="9:15" x14ac:dyDescent="0.15">
      <c r="I74" s="146"/>
      <c r="J74" s="146"/>
      <c r="K74" s="146"/>
      <c r="L74" s="146"/>
      <c r="M74" s="146"/>
      <c r="N74" s="146"/>
      <c r="O74" s="146"/>
    </row>
    <row r="75" spans="9:15" x14ac:dyDescent="0.15">
      <c r="I75" s="146"/>
      <c r="J75" s="146"/>
      <c r="K75" s="146"/>
      <c r="L75" s="146"/>
      <c r="M75" s="146"/>
      <c r="N75" s="146"/>
      <c r="O75" s="146"/>
    </row>
    <row r="76" spans="9:15" x14ac:dyDescent="0.15">
      <c r="I76" s="146"/>
      <c r="J76" s="146"/>
      <c r="K76" s="146"/>
      <c r="L76" s="146"/>
      <c r="M76" s="146"/>
      <c r="N76" s="146"/>
      <c r="O76" s="146"/>
    </row>
    <row r="77" spans="9:15" x14ac:dyDescent="0.15">
      <c r="I77" s="146"/>
      <c r="J77" s="146"/>
      <c r="K77" s="146"/>
      <c r="L77" s="146"/>
      <c r="M77" s="146"/>
      <c r="N77" s="146"/>
      <c r="O77" s="146"/>
    </row>
    <row r="78" spans="9:15" x14ac:dyDescent="0.15">
      <c r="I78" s="146"/>
      <c r="J78" s="146"/>
      <c r="K78" s="146"/>
      <c r="L78" s="146"/>
      <c r="M78" s="146"/>
      <c r="N78" s="146"/>
      <c r="O78" s="146"/>
    </row>
    <row r="79" spans="9:15" x14ac:dyDescent="0.15">
      <c r="I79" s="146"/>
      <c r="J79" s="146"/>
      <c r="K79" s="146"/>
      <c r="L79" s="146"/>
      <c r="M79" s="146"/>
      <c r="N79" s="146"/>
      <c r="O79" s="146"/>
    </row>
    <row r="80" spans="9:15" x14ac:dyDescent="0.15">
      <c r="I80" s="146"/>
      <c r="J80" s="146"/>
      <c r="K80" s="146"/>
      <c r="L80" s="146"/>
      <c r="M80" s="146"/>
      <c r="N80" s="146"/>
      <c r="O80" s="146"/>
    </row>
    <row r="81" spans="2:15" x14ac:dyDescent="0.15">
      <c r="I81" s="146"/>
      <c r="J81" s="146"/>
      <c r="K81" s="146"/>
      <c r="L81" s="146"/>
      <c r="M81" s="146"/>
      <c r="N81" s="146"/>
      <c r="O81" s="146"/>
    </row>
    <row r="82" spans="2:15" x14ac:dyDescent="0.15">
      <c r="I82" s="146"/>
      <c r="J82" s="146"/>
      <c r="K82" s="146"/>
      <c r="L82" s="146"/>
      <c r="M82" s="146"/>
      <c r="N82" s="146"/>
      <c r="O82" s="146"/>
    </row>
    <row r="83" spans="2:15" x14ac:dyDescent="0.15">
      <c r="B83" s="133"/>
      <c r="C83" s="134"/>
      <c r="D83" s="134"/>
      <c r="E83" s="134"/>
      <c r="F83" s="134"/>
      <c r="I83" s="146"/>
      <c r="J83" s="146"/>
      <c r="K83" s="146"/>
      <c r="L83" s="146"/>
      <c r="M83" s="146"/>
      <c r="N83" s="146"/>
      <c r="O83" s="146"/>
    </row>
    <row r="84" spans="2:15" x14ac:dyDescent="0.15">
      <c r="B84" s="133"/>
      <c r="C84" s="134"/>
      <c r="D84" s="134"/>
      <c r="E84" s="134"/>
      <c r="F84" s="134"/>
      <c r="I84" s="146"/>
      <c r="J84" s="146"/>
      <c r="K84" s="146"/>
      <c r="L84" s="146"/>
      <c r="M84" s="146"/>
      <c r="N84" s="146"/>
      <c r="O84" s="146"/>
    </row>
    <row r="85" spans="2:15" x14ac:dyDescent="0.15">
      <c r="I85" s="146"/>
      <c r="J85" s="146"/>
      <c r="K85" s="146"/>
      <c r="L85" s="146"/>
      <c r="M85" s="146"/>
      <c r="N85" s="146"/>
      <c r="O85" s="146"/>
    </row>
    <row r="86" spans="2:15" x14ac:dyDescent="0.15">
      <c r="I86" s="146"/>
      <c r="J86" s="146"/>
      <c r="K86" s="146"/>
      <c r="L86" s="146"/>
      <c r="M86" s="146"/>
      <c r="N86" s="146"/>
      <c r="O86" s="146"/>
    </row>
    <row r="87" spans="2:15" x14ac:dyDescent="0.15">
      <c r="I87" s="146"/>
      <c r="J87" s="146"/>
      <c r="K87" s="146"/>
      <c r="L87" s="146"/>
      <c r="M87" s="146"/>
      <c r="N87" s="146"/>
      <c r="O87" s="146"/>
    </row>
    <row r="88" spans="2:15" x14ac:dyDescent="0.15">
      <c r="I88" s="146"/>
      <c r="J88" s="146"/>
      <c r="K88" s="146"/>
      <c r="L88" s="146"/>
      <c r="M88" s="146"/>
      <c r="N88" s="146"/>
      <c r="O88" s="146"/>
    </row>
    <row r="89" spans="2:15" x14ac:dyDescent="0.15">
      <c r="I89" s="146"/>
      <c r="J89" s="146"/>
      <c r="K89" s="146"/>
      <c r="L89" s="146"/>
      <c r="M89" s="146"/>
      <c r="N89" s="146"/>
      <c r="O89" s="146"/>
    </row>
    <row r="90" spans="2:15" x14ac:dyDescent="0.15">
      <c r="I90" s="146"/>
      <c r="J90" s="146"/>
      <c r="K90" s="146"/>
      <c r="L90" s="146"/>
      <c r="M90" s="146"/>
      <c r="N90" s="146"/>
      <c r="O90" s="146"/>
    </row>
    <row r="91" spans="2:15" x14ac:dyDescent="0.15">
      <c r="I91" s="146"/>
      <c r="J91" s="146"/>
      <c r="K91" s="146"/>
      <c r="L91" s="146"/>
      <c r="M91" s="146"/>
      <c r="N91" s="146"/>
      <c r="O91" s="146"/>
    </row>
    <row r="92" spans="2:15" x14ac:dyDescent="0.15">
      <c r="I92" s="146"/>
      <c r="J92" s="146"/>
      <c r="K92" s="146"/>
      <c r="L92" s="146"/>
      <c r="M92" s="146"/>
      <c r="N92" s="146"/>
      <c r="O92" s="146"/>
    </row>
    <row r="93" spans="2:15" x14ac:dyDescent="0.15">
      <c r="I93" s="146"/>
      <c r="J93" s="146"/>
      <c r="K93" s="146"/>
      <c r="L93" s="146"/>
      <c r="M93" s="146"/>
      <c r="N93" s="146"/>
      <c r="O93" s="146"/>
    </row>
    <row r="94" spans="2:15" x14ac:dyDescent="0.15">
      <c r="I94" s="146"/>
      <c r="J94" s="146"/>
      <c r="K94" s="146"/>
      <c r="L94" s="146"/>
      <c r="M94" s="146"/>
      <c r="N94" s="146"/>
      <c r="O94" s="146"/>
    </row>
    <row r="95" spans="2:15" x14ac:dyDescent="0.15">
      <c r="I95" s="146"/>
      <c r="J95" s="146"/>
      <c r="K95" s="146"/>
      <c r="L95" s="146"/>
      <c r="M95" s="146"/>
      <c r="N95" s="146"/>
      <c r="O95" s="146"/>
    </row>
    <row r="96" spans="2:15" x14ac:dyDescent="0.15">
      <c r="I96" s="146"/>
      <c r="J96" s="146"/>
      <c r="K96" s="146"/>
      <c r="L96" s="146"/>
      <c r="M96" s="146"/>
      <c r="N96" s="146"/>
      <c r="O96" s="146"/>
    </row>
    <row r="97" spans="9:15" x14ac:dyDescent="0.15">
      <c r="I97" s="146"/>
      <c r="J97" s="146"/>
      <c r="K97" s="146"/>
      <c r="L97" s="146"/>
      <c r="M97" s="146"/>
      <c r="N97" s="146"/>
      <c r="O97" s="146"/>
    </row>
    <row r="98" spans="9:15" x14ac:dyDescent="0.15">
      <c r="I98" s="146"/>
      <c r="J98" s="146"/>
      <c r="K98" s="146"/>
      <c r="L98" s="146"/>
      <c r="M98" s="146"/>
      <c r="N98" s="146"/>
      <c r="O98" s="146"/>
    </row>
    <row r="99" spans="9:15" x14ac:dyDescent="0.15">
      <c r="I99" s="146"/>
      <c r="J99" s="146"/>
      <c r="K99" s="146"/>
      <c r="L99" s="146"/>
      <c r="M99" s="146"/>
      <c r="N99" s="146"/>
      <c r="O99" s="146"/>
    </row>
    <row r="100" spans="9:15" x14ac:dyDescent="0.15">
      <c r="I100" s="146"/>
      <c r="J100" s="146"/>
      <c r="K100" s="146"/>
      <c r="L100" s="146"/>
      <c r="M100" s="146"/>
      <c r="N100" s="146"/>
      <c r="O100" s="146"/>
    </row>
    <row r="101" spans="9:15" x14ac:dyDescent="0.15">
      <c r="I101" s="146"/>
      <c r="J101" s="146"/>
      <c r="K101" s="146"/>
      <c r="L101" s="146"/>
      <c r="M101" s="146"/>
      <c r="N101" s="146"/>
      <c r="O101" s="146"/>
    </row>
    <row r="102" spans="9:15" x14ac:dyDescent="0.15">
      <c r="I102" s="146"/>
      <c r="J102" s="146"/>
      <c r="K102" s="146"/>
      <c r="L102" s="146"/>
      <c r="M102" s="146"/>
      <c r="N102" s="146"/>
      <c r="O102" s="146"/>
    </row>
    <row r="103" spans="9:15" x14ac:dyDescent="0.15">
      <c r="I103" s="146"/>
      <c r="J103" s="146"/>
      <c r="K103" s="146"/>
      <c r="L103" s="146"/>
      <c r="M103" s="146"/>
      <c r="N103" s="146"/>
      <c r="O103" s="146"/>
    </row>
    <row r="104" spans="9:15" x14ac:dyDescent="0.15">
      <c r="I104" s="146"/>
      <c r="J104" s="146"/>
      <c r="K104" s="146"/>
      <c r="L104" s="146"/>
      <c r="M104" s="146"/>
      <c r="N104" s="146"/>
      <c r="O104" s="146"/>
    </row>
    <row r="105" spans="9:15" x14ac:dyDescent="0.15">
      <c r="I105" s="146"/>
      <c r="J105" s="146"/>
      <c r="K105" s="146"/>
      <c r="L105" s="146"/>
      <c r="M105" s="146"/>
      <c r="N105" s="146"/>
      <c r="O105" s="146"/>
    </row>
    <row r="106" spans="9:15" x14ac:dyDescent="0.15">
      <c r="I106" s="146"/>
      <c r="J106" s="146"/>
      <c r="K106" s="146"/>
      <c r="L106" s="146"/>
      <c r="M106" s="146"/>
      <c r="N106" s="146"/>
      <c r="O106" s="146"/>
    </row>
    <row r="107" spans="9:15" x14ac:dyDescent="0.15">
      <c r="I107" s="146"/>
      <c r="J107" s="146"/>
      <c r="K107" s="146"/>
      <c r="L107" s="146"/>
      <c r="M107" s="146"/>
      <c r="N107" s="146"/>
      <c r="O107" s="146"/>
    </row>
    <row r="108" spans="9:15" x14ac:dyDescent="0.15">
      <c r="I108" s="146"/>
      <c r="J108" s="146"/>
      <c r="K108" s="146"/>
      <c r="L108" s="146"/>
      <c r="M108" s="146"/>
      <c r="N108" s="146"/>
      <c r="O108" s="146"/>
    </row>
    <row r="109" spans="9:15" x14ac:dyDescent="0.15">
      <c r="I109" s="146"/>
      <c r="J109" s="146"/>
      <c r="K109" s="146"/>
      <c r="L109" s="146"/>
      <c r="M109" s="146"/>
      <c r="N109" s="146"/>
      <c r="O109" s="146"/>
    </row>
    <row r="110" spans="9:15" x14ac:dyDescent="0.15">
      <c r="I110" s="146"/>
      <c r="J110" s="146"/>
      <c r="K110" s="146"/>
      <c r="L110" s="146"/>
      <c r="M110" s="146"/>
      <c r="N110" s="146"/>
      <c r="O110" s="146"/>
    </row>
    <row r="111" spans="9:15" x14ac:dyDescent="0.15">
      <c r="I111" s="146"/>
      <c r="J111" s="146"/>
      <c r="K111" s="146"/>
      <c r="L111" s="146"/>
      <c r="M111" s="146"/>
      <c r="N111" s="146"/>
      <c r="O111" s="146"/>
    </row>
    <row r="112" spans="9:15" x14ac:dyDescent="0.15">
      <c r="I112" s="146"/>
      <c r="J112" s="146"/>
      <c r="K112" s="146"/>
      <c r="L112" s="146"/>
      <c r="M112" s="146"/>
      <c r="N112" s="146"/>
      <c r="O112" s="146"/>
    </row>
    <row r="113" spans="9:15" x14ac:dyDescent="0.15">
      <c r="I113" s="146"/>
      <c r="J113" s="146"/>
      <c r="K113" s="146"/>
      <c r="L113" s="146"/>
      <c r="M113" s="146"/>
      <c r="N113" s="146"/>
      <c r="O113" s="146"/>
    </row>
    <row r="114" spans="9:15" x14ac:dyDescent="0.15">
      <c r="I114" s="146"/>
      <c r="J114" s="146"/>
      <c r="K114" s="146"/>
      <c r="L114" s="146"/>
      <c r="M114" s="146"/>
      <c r="N114" s="146"/>
      <c r="O114" s="146"/>
    </row>
    <row r="115" spans="9:15" x14ac:dyDescent="0.15">
      <c r="I115" s="146"/>
      <c r="J115" s="146"/>
      <c r="K115" s="146"/>
      <c r="L115" s="146"/>
      <c r="M115" s="146"/>
      <c r="N115" s="146"/>
      <c r="O115" s="146"/>
    </row>
    <row r="116" spans="9:15" x14ac:dyDescent="0.15">
      <c r="I116" s="146"/>
      <c r="J116" s="146"/>
      <c r="K116" s="146"/>
      <c r="L116" s="146"/>
      <c r="M116" s="146"/>
      <c r="N116" s="146"/>
      <c r="O116" s="146"/>
    </row>
    <row r="117" spans="9:15" x14ac:dyDescent="0.15">
      <c r="I117" s="146"/>
      <c r="J117" s="146"/>
      <c r="K117" s="146"/>
      <c r="L117" s="146"/>
      <c r="M117" s="146"/>
      <c r="N117" s="146"/>
      <c r="O117" s="146"/>
    </row>
    <row r="118" spans="9:15" x14ac:dyDescent="0.15">
      <c r="I118" s="146"/>
      <c r="J118" s="146"/>
      <c r="K118" s="146"/>
      <c r="L118" s="146"/>
      <c r="M118" s="146"/>
      <c r="N118" s="146"/>
      <c r="O118" s="146"/>
    </row>
    <row r="119" spans="9:15" x14ac:dyDescent="0.15">
      <c r="I119" s="146"/>
      <c r="J119" s="146"/>
      <c r="K119" s="146"/>
      <c r="L119" s="146"/>
      <c r="M119" s="146"/>
      <c r="N119" s="146"/>
      <c r="O119" s="146"/>
    </row>
    <row r="120" spans="9:15" x14ac:dyDescent="0.15">
      <c r="I120" s="146"/>
      <c r="J120" s="146"/>
      <c r="K120" s="146"/>
      <c r="L120" s="146"/>
      <c r="M120" s="146"/>
      <c r="N120" s="146"/>
      <c r="O120" s="146"/>
    </row>
    <row r="121" spans="9:15" x14ac:dyDescent="0.15">
      <c r="I121" s="146"/>
      <c r="J121" s="146"/>
      <c r="K121" s="146"/>
      <c r="L121" s="146"/>
      <c r="M121" s="146"/>
      <c r="N121" s="146"/>
      <c r="O121" s="146"/>
    </row>
    <row r="122" spans="9:15" x14ac:dyDescent="0.15">
      <c r="I122" s="146"/>
      <c r="J122" s="146"/>
      <c r="K122" s="146"/>
      <c r="L122" s="146"/>
      <c r="M122" s="146"/>
      <c r="N122" s="146"/>
      <c r="O122" s="146"/>
    </row>
    <row r="123" spans="9:15" x14ac:dyDescent="0.15">
      <c r="I123" s="146"/>
      <c r="J123" s="146"/>
      <c r="K123" s="146"/>
      <c r="L123" s="146"/>
      <c r="M123" s="146"/>
      <c r="N123" s="146"/>
      <c r="O123" s="146"/>
    </row>
    <row r="124" spans="9:15" x14ac:dyDescent="0.15">
      <c r="I124" s="146"/>
      <c r="J124" s="146"/>
      <c r="K124" s="146"/>
      <c r="L124" s="146"/>
      <c r="M124" s="146"/>
      <c r="N124" s="146"/>
      <c r="O124" s="146"/>
    </row>
    <row r="125" spans="9:15" x14ac:dyDescent="0.15">
      <c r="I125" s="146"/>
      <c r="J125" s="146"/>
      <c r="K125" s="146"/>
      <c r="L125" s="146"/>
      <c r="M125" s="146"/>
      <c r="N125" s="146"/>
      <c r="O125" s="146"/>
    </row>
    <row r="126" spans="9:15" x14ac:dyDescent="0.15">
      <c r="I126" s="146"/>
      <c r="J126" s="146"/>
      <c r="K126" s="146"/>
      <c r="L126" s="146"/>
      <c r="M126" s="146"/>
      <c r="N126" s="146"/>
      <c r="O126" s="146"/>
    </row>
    <row r="127" spans="9:15" x14ac:dyDescent="0.15">
      <c r="I127" s="146"/>
      <c r="J127" s="146"/>
      <c r="K127" s="146"/>
      <c r="L127" s="146"/>
      <c r="M127" s="146"/>
      <c r="N127" s="146"/>
      <c r="O127" s="146"/>
    </row>
    <row r="128" spans="9:15" x14ac:dyDescent="0.15">
      <c r="I128" s="146"/>
      <c r="J128" s="146"/>
      <c r="K128" s="146"/>
      <c r="L128" s="146"/>
      <c r="M128" s="146"/>
      <c r="N128" s="146"/>
      <c r="O128" s="146"/>
    </row>
    <row r="129" spans="9:15" x14ac:dyDescent="0.15">
      <c r="I129" s="146"/>
      <c r="J129" s="146"/>
      <c r="K129" s="146"/>
      <c r="L129" s="146"/>
      <c r="M129" s="146"/>
      <c r="N129" s="146"/>
      <c r="O129" s="146"/>
    </row>
    <row r="130" spans="9:15" x14ac:dyDescent="0.15">
      <c r="I130" s="146"/>
      <c r="J130" s="146"/>
      <c r="K130" s="146"/>
      <c r="L130" s="146"/>
      <c r="M130" s="146"/>
      <c r="N130" s="146"/>
      <c r="O130" s="146"/>
    </row>
    <row r="131" spans="9:15" x14ac:dyDescent="0.15">
      <c r="I131" s="146"/>
      <c r="J131" s="146"/>
      <c r="K131" s="146"/>
      <c r="L131" s="146"/>
      <c r="M131" s="146"/>
      <c r="N131" s="146"/>
      <c r="O131" s="146"/>
    </row>
    <row r="132" spans="9:15" x14ac:dyDescent="0.15">
      <c r="I132" s="146"/>
      <c r="J132" s="146"/>
      <c r="K132" s="146"/>
      <c r="L132" s="146"/>
      <c r="M132" s="146"/>
      <c r="N132" s="146"/>
      <c r="O132" s="146"/>
    </row>
    <row r="133" spans="9:15" x14ac:dyDescent="0.15">
      <c r="I133" s="146"/>
      <c r="J133" s="146"/>
      <c r="K133" s="146"/>
      <c r="L133" s="146"/>
      <c r="M133" s="146"/>
      <c r="N133" s="146"/>
      <c r="O133" s="146"/>
    </row>
    <row r="134" spans="9:15" x14ac:dyDescent="0.15">
      <c r="I134" s="146"/>
      <c r="J134" s="146"/>
      <c r="K134" s="146"/>
      <c r="L134" s="146"/>
      <c r="M134" s="146"/>
      <c r="N134" s="146"/>
      <c r="O134" s="146"/>
    </row>
    <row r="135" spans="9:15" x14ac:dyDescent="0.15">
      <c r="I135" s="146"/>
      <c r="J135" s="146"/>
      <c r="K135" s="146"/>
      <c r="L135" s="146"/>
      <c r="M135" s="146"/>
      <c r="N135" s="146"/>
      <c r="O135" s="146"/>
    </row>
    <row r="136" spans="9:15" x14ac:dyDescent="0.15">
      <c r="I136" s="146"/>
      <c r="J136" s="146"/>
      <c r="K136" s="146"/>
      <c r="L136" s="146"/>
      <c r="M136" s="146"/>
      <c r="N136" s="146"/>
      <c r="O136" s="146"/>
    </row>
    <row r="137" spans="9:15" x14ac:dyDescent="0.15">
      <c r="I137" s="146"/>
      <c r="J137" s="146"/>
      <c r="K137" s="146"/>
      <c r="L137" s="146"/>
      <c r="M137" s="146"/>
      <c r="N137" s="146"/>
      <c r="O137" s="146"/>
    </row>
    <row r="138" spans="9:15" x14ac:dyDescent="0.15">
      <c r="I138" s="146"/>
      <c r="J138" s="146"/>
      <c r="K138" s="146"/>
      <c r="L138" s="146"/>
      <c r="M138" s="146"/>
      <c r="N138" s="146"/>
      <c r="O138" s="146"/>
    </row>
    <row r="139" spans="9:15" x14ac:dyDescent="0.15">
      <c r="I139" s="146"/>
      <c r="J139" s="146"/>
      <c r="K139" s="146"/>
      <c r="L139" s="146"/>
      <c r="M139" s="146"/>
      <c r="N139" s="146"/>
    </row>
    <row r="140" spans="9:15" x14ac:dyDescent="0.15">
      <c r="I140" s="146"/>
      <c r="J140" s="146"/>
      <c r="K140" s="146"/>
      <c r="L140" s="146"/>
      <c r="M140" s="146"/>
      <c r="N140" s="146"/>
    </row>
    <row r="141" spans="9:15" x14ac:dyDescent="0.15">
      <c r="I141" s="146"/>
      <c r="J141" s="146"/>
      <c r="K141" s="146"/>
      <c r="L141" s="146"/>
      <c r="M141" s="146"/>
      <c r="N141" s="146"/>
    </row>
    <row r="142" spans="9:15" x14ac:dyDescent="0.15">
      <c r="I142" s="146"/>
      <c r="J142" s="146"/>
      <c r="K142" s="146"/>
      <c r="L142" s="146"/>
      <c r="M142" s="146"/>
      <c r="N142" s="146"/>
    </row>
    <row r="143" spans="9:15" x14ac:dyDescent="0.15">
      <c r="I143" s="146"/>
      <c r="J143" s="146"/>
      <c r="K143" s="146"/>
      <c r="L143" s="146"/>
      <c r="M143" s="146"/>
      <c r="N143" s="146"/>
    </row>
    <row r="144" spans="9:15" x14ac:dyDescent="0.15">
      <c r="I144" s="146"/>
      <c r="J144" s="146"/>
      <c r="K144" s="146"/>
      <c r="L144" s="146"/>
      <c r="M144" s="146"/>
      <c r="N144" s="146"/>
    </row>
    <row r="145" spans="9:14" x14ac:dyDescent="0.15">
      <c r="I145" s="146"/>
      <c r="J145" s="146"/>
      <c r="K145" s="146"/>
      <c r="L145" s="146"/>
      <c r="M145" s="146"/>
      <c r="N145" s="146"/>
    </row>
    <row r="146" spans="9:14" x14ac:dyDescent="0.15">
      <c r="I146" s="146"/>
      <c r="J146" s="146"/>
      <c r="K146" s="146"/>
      <c r="L146" s="146"/>
      <c r="M146" s="146"/>
      <c r="N146" s="146"/>
    </row>
    <row r="147" spans="9:14" x14ac:dyDescent="0.15">
      <c r="I147" s="146"/>
      <c r="J147" s="146"/>
      <c r="K147" s="146"/>
      <c r="L147" s="146"/>
      <c r="M147" s="146"/>
      <c r="N147" s="146"/>
    </row>
    <row r="148" spans="9:14" x14ac:dyDescent="0.15">
      <c r="I148" s="146"/>
      <c r="J148" s="146"/>
      <c r="K148" s="146"/>
      <c r="L148" s="146"/>
      <c r="M148" s="146"/>
      <c r="N148" s="146"/>
    </row>
    <row r="149" spans="9:14" x14ac:dyDescent="0.15">
      <c r="I149" s="146"/>
      <c r="J149" s="146"/>
      <c r="K149" s="146"/>
      <c r="L149" s="146"/>
      <c r="M149" s="146"/>
      <c r="N149" s="146"/>
    </row>
    <row r="150" spans="9:14" x14ac:dyDescent="0.15">
      <c r="I150" s="146"/>
      <c r="J150" s="146"/>
      <c r="K150" s="146"/>
      <c r="L150" s="146"/>
      <c r="M150" s="146"/>
      <c r="N150" s="146"/>
    </row>
    <row r="151" spans="9:14" x14ac:dyDescent="0.15">
      <c r="I151" s="146"/>
      <c r="J151" s="146"/>
      <c r="K151" s="146"/>
      <c r="L151" s="146"/>
      <c r="M151" s="146"/>
      <c r="N151" s="146"/>
    </row>
    <row r="152" spans="9:14" x14ac:dyDescent="0.15">
      <c r="I152" s="146"/>
      <c r="J152" s="146"/>
      <c r="K152" s="146"/>
      <c r="L152" s="146"/>
      <c r="M152" s="146"/>
      <c r="N152" s="146"/>
    </row>
    <row r="153" spans="9:14" x14ac:dyDescent="0.15">
      <c r="I153" s="146"/>
      <c r="J153" s="146"/>
      <c r="K153" s="146"/>
      <c r="L153" s="146"/>
      <c r="M153" s="146"/>
      <c r="N153" s="146"/>
    </row>
    <row r="154" spans="9:14" x14ac:dyDescent="0.15">
      <c r="I154" s="146"/>
      <c r="J154" s="146"/>
      <c r="K154" s="146"/>
      <c r="L154" s="146"/>
      <c r="M154" s="146"/>
      <c r="N154" s="146"/>
    </row>
    <row r="155" spans="9:14" x14ac:dyDescent="0.15">
      <c r="J155" s="146"/>
      <c r="K155" s="146"/>
      <c r="L155" s="146"/>
      <c r="M155" s="146"/>
      <c r="N155" s="146"/>
    </row>
    <row r="156" spans="9:14" x14ac:dyDescent="0.15">
      <c r="J156" s="146"/>
      <c r="K156" s="146"/>
      <c r="L156" s="146"/>
      <c r="M156" s="146"/>
      <c r="N156" s="146"/>
    </row>
    <row r="172" spans="15:15" x14ac:dyDescent="0.15">
      <c r="O172" s="146"/>
    </row>
    <row r="173" spans="15:15" x14ac:dyDescent="0.15">
      <c r="O173" s="146"/>
    </row>
    <row r="174" spans="15:15" x14ac:dyDescent="0.15">
      <c r="O174" s="146"/>
    </row>
    <row r="175" spans="15:15" x14ac:dyDescent="0.15">
      <c r="O175" s="146"/>
    </row>
    <row r="176" spans="15:15" x14ac:dyDescent="0.15">
      <c r="O176" s="146"/>
    </row>
    <row r="177" spans="15:15" x14ac:dyDescent="0.15">
      <c r="O177" s="146"/>
    </row>
    <row r="178" spans="15:15" x14ac:dyDescent="0.15">
      <c r="O178" s="146"/>
    </row>
    <row r="179" spans="15:15" x14ac:dyDescent="0.15">
      <c r="O179" s="146"/>
    </row>
    <row r="180" spans="15:15" x14ac:dyDescent="0.15">
      <c r="O180" s="146"/>
    </row>
    <row r="181" spans="15:15" x14ac:dyDescent="0.15">
      <c r="O181" s="146"/>
    </row>
    <row r="182" spans="15:15" x14ac:dyDescent="0.15">
      <c r="O182" s="146"/>
    </row>
    <row r="183" spans="15:15" x14ac:dyDescent="0.15">
      <c r="O183" s="146"/>
    </row>
    <row r="184" spans="15:15" x14ac:dyDescent="0.15">
      <c r="O184" s="146"/>
    </row>
    <row r="185" spans="15:15" x14ac:dyDescent="0.15">
      <c r="O185" s="146"/>
    </row>
    <row r="186" spans="15:15" x14ac:dyDescent="0.15">
      <c r="O186" s="146"/>
    </row>
    <row r="187" spans="15:15" x14ac:dyDescent="0.15">
      <c r="O187" s="146"/>
    </row>
    <row r="188" spans="15:15" x14ac:dyDescent="0.15">
      <c r="O188" s="146"/>
    </row>
    <row r="189" spans="15:15" x14ac:dyDescent="0.15">
      <c r="O189" s="146"/>
    </row>
    <row r="190" spans="15:15" x14ac:dyDescent="0.15">
      <c r="O190" s="146"/>
    </row>
    <row r="191" spans="15:15" x14ac:dyDescent="0.15">
      <c r="O191" s="146"/>
    </row>
  </sheetData>
  <mergeCells count="70">
    <mergeCell ref="X6:X21"/>
    <mergeCell ref="B5:B20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34:L34"/>
    <mergeCell ref="K35:L35"/>
    <mergeCell ref="K36:L36"/>
    <mergeCell ref="K39:L39"/>
    <mergeCell ref="K40:L40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44:L44"/>
    <mergeCell ref="K43:L43"/>
    <mergeCell ref="B54:B57"/>
    <mergeCell ref="B50:B53"/>
    <mergeCell ref="B21:B24"/>
    <mergeCell ref="B28:B38"/>
    <mergeCell ref="B39:B49"/>
    <mergeCell ref="T18:U18"/>
    <mergeCell ref="T19:U19"/>
    <mergeCell ref="T20:U20"/>
    <mergeCell ref="T16:U16"/>
    <mergeCell ref="T17:U17"/>
    <mergeCell ref="I6:I10"/>
    <mergeCell ref="I11:I15"/>
    <mergeCell ref="I16:I19"/>
    <mergeCell ref="I20:I23"/>
    <mergeCell ref="I28:I31"/>
    <mergeCell ref="I24:I27"/>
    <mergeCell ref="M4:M5"/>
    <mergeCell ref="N4:N5"/>
    <mergeCell ref="J4:J5"/>
    <mergeCell ref="I4:I5"/>
    <mergeCell ref="T4:U4"/>
    <mergeCell ref="T5:U5"/>
    <mergeCell ref="AE25:AE40"/>
    <mergeCell ref="P57:Q57"/>
    <mergeCell ref="Q45:Q49"/>
    <mergeCell ref="Q51:Q55"/>
    <mergeCell ref="P45:P56"/>
    <mergeCell ref="P38:P44"/>
    <mergeCell ref="T14:U14"/>
    <mergeCell ref="T15:U15"/>
    <mergeCell ref="T13:U13"/>
    <mergeCell ref="T6:U6"/>
    <mergeCell ref="T7:U7"/>
    <mergeCell ref="T8:U8"/>
    <mergeCell ref="T9:U9"/>
    <mergeCell ref="T10:U10"/>
    <mergeCell ref="T11:U11"/>
    <mergeCell ref="T12:U12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75" workbookViewId="0"/>
  </sheetViews>
  <sheetFormatPr defaultRowHeight="13.5" x14ac:dyDescent="0.15"/>
  <cols>
    <col min="1" max="1" width="1.625" style="31" customWidth="1"/>
    <col min="2" max="2" width="18" style="31" customWidth="1"/>
    <col min="3" max="15" width="6.125" style="31" customWidth="1"/>
    <col min="16" max="16384" width="9" style="31"/>
  </cols>
  <sheetData>
    <row r="1" spans="2:15" ht="9.9499999999999993" customHeight="1" x14ac:dyDescent="0.15"/>
    <row r="2" spans="2:15" ht="24.95" customHeight="1" x14ac:dyDescent="0.15">
      <c r="B2" s="31" t="s">
        <v>323</v>
      </c>
    </row>
    <row r="3" spans="2:15" ht="20.100000000000001" customHeight="1" x14ac:dyDescent="0.15">
      <c r="D3" s="83" t="s">
        <v>192</v>
      </c>
      <c r="E3" s="82" t="s">
        <v>374</v>
      </c>
      <c r="F3" s="82"/>
      <c r="G3" s="83" t="s">
        <v>193</v>
      </c>
      <c r="H3" s="82" t="s">
        <v>297</v>
      </c>
      <c r="I3" s="82"/>
    </row>
    <row r="4" spans="2:15" ht="20.100000000000001" customHeight="1" thickBot="1" x14ac:dyDescent="0.2">
      <c r="B4" s="5" t="s">
        <v>205</v>
      </c>
      <c r="C4" s="5" t="s">
        <v>206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0" t="s">
        <v>244</v>
      </c>
      <c r="C5" s="314">
        <v>1</v>
      </c>
      <c r="D5" s="314">
        <v>2</v>
      </c>
      <c r="E5" s="314">
        <v>3</v>
      </c>
      <c r="F5" s="314">
        <v>4</v>
      </c>
      <c r="G5" s="314">
        <v>5</v>
      </c>
      <c r="H5" s="314">
        <v>6</v>
      </c>
      <c r="I5" s="314">
        <v>7</v>
      </c>
      <c r="J5" s="314">
        <v>8</v>
      </c>
      <c r="K5" s="314">
        <v>9</v>
      </c>
      <c r="L5" s="314">
        <v>10</v>
      </c>
      <c r="M5" s="314">
        <v>11</v>
      </c>
      <c r="N5" s="314">
        <v>12</v>
      </c>
      <c r="O5" s="120" t="s">
        <v>207</v>
      </c>
    </row>
    <row r="6" spans="2:15" ht="20.100000000000001" customHeight="1" x14ac:dyDescent="0.15">
      <c r="B6" s="315" t="s">
        <v>249</v>
      </c>
      <c r="C6" s="271">
        <v>700</v>
      </c>
      <c r="D6" s="271">
        <v>556</v>
      </c>
      <c r="E6" s="271">
        <v>485</v>
      </c>
      <c r="F6" s="271">
        <v>480</v>
      </c>
      <c r="G6" s="271">
        <v>473</v>
      </c>
      <c r="H6" s="271">
        <v>501</v>
      </c>
      <c r="I6" s="271">
        <v>493</v>
      </c>
      <c r="J6" s="271">
        <v>674</v>
      </c>
      <c r="K6" s="271">
        <v>564</v>
      </c>
      <c r="L6" s="271">
        <v>612</v>
      </c>
      <c r="M6" s="271">
        <v>536</v>
      </c>
      <c r="N6" s="271">
        <v>587</v>
      </c>
      <c r="O6" s="121">
        <v>553</v>
      </c>
    </row>
    <row r="7" spans="2:15" ht="20.100000000000001" customHeight="1" x14ac:dyDescent="0.15">
      <c r="B7" s="315" t="s">
        <v>250</v>
      </c>
      <c r="C7" s="271">
        <v>812</v>
      </c>
      <c r="D7" s="271">
        <v>732</v>
      </c>
      <c r="E7" s="271">
        <v>596</v>
      </c>
      <c r="F7" s="271">
        <v>601</v>
      </c>
      <c r="G7" s="271">
        <v>533</v>
      </c>
      <c r="H7" s="271">
        <v>467</v>
      </c>
      <c r="I7" s="271">
        <v>594</v>
      </c>
      <c r="J7" s="271">
        <v>730</v>
      </c>
      <c r="K7" s="271">
        <v>933</v>
      </c>
      <c r="L7" s="271">
        <v>691</v>
      </c>
      <c r="M7" s="271">
        <v>606</v>
      </c>
      <c r="N7" s="271">
        <v>494</v>
      </c>
      <c r="O7" s="121">
        <v>643</v>
      </c>
    </row>
    <row r="8" spans="2:15" ht="20.100000000000001" customHeight="1" x14ac:dyDescent="0.15">
      <c r="B8" s="315" t="s">
        <v>251</v>
      </c>
      <c r="C8" s="271">
        <v>584</v>
      </c>
      <c r="D8" s="271">
        <v>735</v>
      </c>
      <c r="E8" s="271">
        <v>472</v>
      </c>
      <c r="F8" s="271">
        <v>373</v>
      </c>
      <c r="G8" s="271">
        <v>372</v>
      </c>
      <c r="H8" s="271">
        <v>473</v>
      </c>
      <c r="I8" s="271">
        <v>711</v>
      </c>
      <c r="J8" s="271">
        <v>486</v>
      </c>
      <c r="K8" s="271">
        <v>658</v>
      </c>
      <c r="L8" s="271">
        <v>629</v>
      </c>
      <c r="M8" s="271">
        <v>466</v>
      </c>
      <c r="N8" s="271">
        <v>563</v>
      </c>
      <c r="O8" s="121">
        <v>539</v>
      </c>
    </row>
    <row r="9" spans="2:15" ht="20.100000000000001" customHeight="1" x14ac:dyDescent="0.15">
      <c r="B9" s="315" t="s">
        <v>252</v>
      </c>
      <c r="C9" s="271">
        <v>749</v>
      </c>
      <c r="D9" s="271">
        <v>866</v>
      </c>
      <c r="E9" s="271">
        <v>643</v>
      </c>
      <c r="F9" s="271">
        <v>473</v>
      </c>
      <c r="G9" s="271">
        <v>428</v>
      </c>
      <c r="H9" s="271">
        <v>367</v>
      </c>
      <c r="I9" s="271">
        <v>590</v>
      </c>
      <c r="J9" s="271">
        <v>648</v>
      </c>
      <c r="K9" s="271">
        <v>671</v>
      </c>
      <c r="L9" s="271">
        <v>581</v>
      </c>
      <c r="M9" s="271">
        <v>462</v>
      </c>
      <c r="N9" s="271">
        <v>622</v>
      </c>
      <c r="O9" s="121">
        <v>585</v>
      </c>
    </row>
    <row r="10" spans="2:15" ht="20.100000000000001" customHeight="1" x14ac:dyDescent="0.15">
      <c r="B10" s="315" t="s">
        <v>248</v>
      </c>
      <c r="C10" s="271">
        <v>748</v>
      </c>
      <c r="D10" s="271">
        <v>580</v>
      </c>
      <c r="E10" s="271">
        <v>396</v>
      </c>
      <c r="F10" s="271">
        <v>396</v>
      </c>
      <c r="G10" s="271">
        <v>418</v>
      </c>
      <c r="H10" s="271">
        <v>440</v>
      </c>
      <c r="I10" s="271">
        <v>575</v>
      </c>
      <c r="J10" s="271">
        <v>616</v>
      </c>
      <c r="K10" s="271">
        <v>800</v>
      </c>
      <c r="L10" s="271">
        <v>612</v>
      </c>
      <c r="M10" s="271">
        <v>696</v>
      </c>
      <c r="N10" s="271">
        <v>747</v>
      </c>
      <c r="O10" s="121">
        <v>578</v>
      </c>
    </row>
    <row r="11" spans="2:15" ht="20.100000000000001" customHeight="1" thickBot="1" x14ac:dyDescent="0.2">
      <c r="B11" s="313" t="s">
        <v>208</v>
      </c>
      <c r="C11" s="311">
        <f>AVERAGE(C6:C10)</f>
        <v>718.6</v>
      </c>
      <c r="D11" s="311">
        <f t="shared" ref="D11:O11" si="0">AVERAGE(D6:D10)</f>
        <v>693.8</v>
      </c>
      <c r="E11" s="311">
        <f t="shared" si="0"/>
        <v>518.4</v>
      </c>
      <c r="F11" s="311">
        <f t="shared" si="0"/>
        <v>464.6</v>
      </c>
      <c r="G11" s="311">
        <f t="shared" si="0"/>
        <v>444.8</v>
      </c>
      <c r="H11" s="311">
        <f t="shared" si="0"/>
        <v>449.6</v>
      </c>
      <c r="I11" s="311">
        <f t="shared" si="0"/>
        <v>592.6</v>
      </c>
      <c r="J11" s="311">
        <f t="shared" si="0"/>
        <v>630.79999999999995</v>
      </c>
      <c r="K11" s="311">
        <f t="shared" si="0"/>
        <v>725.2</v>
      </c>
      <c r="L11" s="311">
        <f t="shared" si="0"/>
        <v>625</v>
      </c>
      <c r="M11" s="311">
        <f t="shared" si="0"/>
        <v>553.20000000000005</v>
      </c>
      <c r="N11" s="311">
        <f t="shared" si="0"/>
        <v>602.6</v>
      </c>
      <c r="O11" s="312">
        <f t="shared" si="0"/>
        <v>579.6</v>
      </c>
    </row>
    <row r="12" spans="2:15" ht="20.100000000000001" customHeight="1" x14ac:dyDescent="0.15"/>
    <row r="13" spans="2:15" ht="20.100000000000001" customHeight="1" thickBot="1" x14ac:dyDescent="0.2">
      <c r="B13" s="5" t="s">
        <v>205</v>
      </c>
      <c r="C13" s="5" t="s">
        <v>245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10" t="s">
        <v>244</v>
      </c>
      <c r="C14" s="314">
        <v>1</v>
      </c>
      <c r="D14" s="314">
        <v>2</v>
      </c>
      <c r="E14" s="314">
        <v>3</v>
      </c>
      <c r="F14" s="314">
        <v>4</v>
      </c>
      <c r="G14" s="314">
        <v>5</v>
      </c>
      <c r="H14" s="314">
        <v>6</v>
      </c>
      <c r="I14" s="314">
        <v>7</v>
      </c>
      <c r="J14" s="314">
        <v>8</v>
      </c>
      <c r="K14" s="314">
        <v>9</v>
      </c>
      <c r="L14" s="314">
        <v>10</v>
      </c>
      <c r="M14" s="314">
        <v>11</v>
      </c>
      <c r="N14" s="314">
        <v>12</v>
      </c>
      <c r="O14" s="120" t="s">
        <v>207</v>
      </c>
    </row>
    <row r="15" spans="2:15" ht="20.100000000000001" customHeight="1" x14ac:dyDescent="0.15">
      <c r="B15" s="315" t="s">
        <v>249</v>
      </c>
      <c r="C15" s="271">
        <v>704</v>
      </c>
      <c r="D15" s="271">
        <v>565</v>
      </c>
      <c r="E15" s="271">
        <v>493</v>
      </c>
      <c r="F15" s="271">
        <v>483</v>
      </c>
      <c r="G15" s="271">
        <v>478</v>
      </c>
      <c r="H15" s="271">
        <v>512</v>
      </c>
      <c r="I15" s="271">
        <v>506</v>
      </c>
      <c r="J15" s="271">
        <v>667</v>
      </c>
      <c r="K15" s="271">
        <v>574</v>
      </c>
      <c r="L15" s="271">
        <v>613</v>
      </c>
      <c r="M15" s="271">
        <v>569</v>
      </c>
      <c r="N15" s="271">
        <v>600</v>
      </c>
      <c r="O15" s="121">
        <v>559</v>
      </c>
    </row>
    <row r="16" spans="2:15" ht="20.100000000000001" customHeight="1" x14ac:dyDescent="0.15">
      <c r="B16" s="315" t="s">
        <v>250</v>
      </c>
      <c r="C16" s="271">
        <v>810</v>
      </c>
      <c r="D16" s="271">
        <v>738</v>
      </c>
      <c r="E16" s="271">
        <v>624</v>
      </c>
      <c r="F16" s="271">
        <v>662</v>
      </c>
      <c r="G16" s="271">
        <v>569</v>
      </c>
      <c r="H16" s="271">
        <v>491</v>
      </c>
      <c r="I16" s="271">
        <v>633</v>
      </c>
      <c r="J16" s="271">
        <v>752</v>
      </c>
      <c r="K16" s="271">
        <v>1044</v>
      </c>
      <c r="L16" s="271">
        <v>728</v>
      </c>
      <c r="M16" s="271">
        <v>652</v>
      </c>
      <c r="N16" s="271">
        <v>522</v>
      </c>
      <c r="O16" s="121">
        <v>669</v>
      </c>
    </row>
    <row r="17" spans="2:15" ht="20.100000000000001" customHeight="1" x14ac:dyDescent="0.15">
      <c r="B17" s="315" t="s">
        <v>251</v>
      </c>
      <c r="C17" s="271">
        <v>611</v>
      </c>
      <c r="D17" s="271">
        <v>752</v>
      </c>
      <c r="E17" s="271">
        <v>500</v>
      </c>
      <c r="F17" s="271">
        <v>409</v>
      </c>
      <c r="G17" s="271">
        <v>411</v>
      </c>
      <c r="H17" s="271">
        <v>485</v>
      </c>
      <c r="I17" s="271">
        <v>757</v>
      </c>
      <c r="J17" s="271">
        <v>502</v>
      </c>
      <c r="K17" s="271">
        <v>709</v>
      </c>
      <c r="L17" s="271">
        <v>684</v>
      </c>
      <c r="M17" s="271">
        <v>504</v>
      </c>
      <c r="N17" s="271">
        <v>592</v>
      </c>
      <c r="O17" s="121">
        <v>571</v>
      </c>
    </row>
    <row r="18" spans="2:15" ht="20.100000000000001" customHeight="1" x14ac:dyDescent="0.15">
      <c r="B18" s="315" t="s">
        <v>252</v>
      </c>
      <c r="C18" s="271">
        <v>776</v>
      </c>
      <c r="D18" s="271">
        <v>904</v>
      </c>
      <c r="E18" s="271">
        <v>674</v>
      </c>
      <c r="F18" s="271">
        <v>501</v>
      </c>
      <c r="G18" s="271">
        <v>458</v>
      </c>
      <c r="H18" s="271">
        <v>431</v>
      </c>
      <c r="I18" s="271">
        <v>620</v>
      </c>
      <c r="J18" s="271">
        <v>676</v>
      </c>
      <c r="K18" s="271">
        <v>723</v>
      </c>
      <c r="L18" s="271">
        <v>636</v>
      </c>
      <c r="M18" s="271">
        <v>507</v>
      </c>
      <c r="N18" s="271">
        <v>635</v>
      </c>
      <c r="O18" s="121">
        <v>624</v>
      </c>
    </row>
    <row r="19" spans="2:15" ht="20.100000000000001" customHeight="1" x14ac:dyDescent="0.15">
      <c r="B19" s="315" t="s">
        <v>248</v>
      </c>
      <c r="C19" s="271">
        <v>761</v>
      </c>
      <c r="D19" s="271">
        <v>597</v>
      </c>
      <c r="E19" s="271">
        <v>410</v>
      </c>
      <c r="F19" s="271">
        <v>433</v>
      </c>
      <c r="G19" s="271">
        <v>445</v>
      </c>
      <c r="H19" s="271">
        <v>457</v>
      </c>
      <c r="I19" s="271">
        <v>614</v>
      </c>
      <c r="J19" s="271">
        <v>646</v>
      </c>
      <c r="K19" s="271">
        <v>869</v>
      </c>
      <c r="L19" s="271">
        <v>683</v>
      </c>
      <c r="M19" s="271">
        <v>757</v>
      </c>
      <c r="N19" s="271">
        <v>799</v>
      </c>
      <c r="O19" s="121">
        <v>602</v>
      </c>
    </row>
    <row r="20" spans="2:15" ht="20.100000000000001" customHeight="1" thickBot="1" x14ac:dyDescent="0.2">
      <c r="B20" s="313" t="s">
        <v>208</v>
      </c>
      <c r="C20" s="311">
        <f>AVERAGE(C15:C19)</f>
        <v>732.4</v>
      </c>
      <c r="D20" s="311">
        <f t="shared" ref="D20" si="1">AVERAGE(D15:D19)</f>
        <v>711.2</v>
      </c>
      <c r="E20" s="311">
        <f t="shared" ref="E20" si="2">AVERAGE(E15:E19)</f>
        <v>540.20000000000005</v>
      </c>
      <c r="F20" s="311">
        <f t="shared" ref="F20" si="3">AVERAGE(F15:F19)</f>
        <v>497.6</v>
      </c>
      <c r="G20" s="311">
        <f t="shared" ref="G20" si="4">AVERAGE(G15:G19)</f>
        <v>472.2</v>
      </c>
      <c r="H20" s="311">
        <f t="shared" ref="H20" si="5">AVERAGE(H15:H19)</f>
        <v>475.2</v>
      </c>
      <c r="I20" s="311">
        <f t="shared" ref="I20" si="6">AVERAGE(I15:I19)</f>
        <v>626</v>
      </c>
      <c r="J20" s="311">
        <f t="shared" ref="J20" si="7">AVERAGE(J15:J19)</f>
        <v>648.6</v>
      </c>
      <c r="K20" s="311">
        <f t="shared" ref="K20" si="8">AVERAGE(K15:K19)</f>
        <v>783.8</v>
      </c>
      <c r="L20" s="311">
        <f t="shared" ref="L20" si="9">AVERAGE(L15:L19)</f>
        <v>668.8</v>
      </c>
      <c r="M20" s="311">
        <f t="shared" ref="M20" si="10">AVERAGE(M15:M19)</f>
        <v>597.79999999999995</v>
      </c>
      <c r="N20" s="311">
        <f t="shared" ref="N20" si="11">AVERAGE(N15:N19)</f>
        <v>629.6</v>
      </c>
      <c r="O20" s="312">
        <f t="shared" ref="O20" si="12">AVERAGE(O15:O19)</f>
        <v>605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　対象経営の概要，２　前提条件</vt:lpstr>
      <vt:lpstr>３　葉ねぎ標準技術</vt:lpstr>
      <vt:lpstr>４　経営収支</vt:lpstr>
      <vt:lpstr>５　葉ねぎ作業時間</vt:lpstr>
      <vt:lpstr>６　固定資本装備と減価償却費</vt:lpstr>
      <vt:lpstr>７　葉ねぎ部門収支</vt:lpstr>
      <vt:lpstr>８　葉ねぎ水耕算出基礎</vt:lpstr>
      <vt:lpstr>９　葉ねぎ単価算出基礎</vt:lpstr>
      <vt:lpstr>'３　葉ねぎ標準技術'!Print_Area</vt:lpstr>
      <vt:lpstr>'４　経営収支'!Print_Area</vt:lpstr>
      <vt:lpstr>'５　葉ねぎ作業時間'!Print_Area</vt:lpstr>
      <vt:lpstr>'６　固定資本装備と減価償却費'!Print_Area</vt:lpstr>
      <vt:lpstr>'７　葉ねぎ部門収支'!Print_Area</vt:lpstr>
      <vt:lpstr>'８　葉ねぎ水耕算出基礎'!Print_Area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2015-02-13T04:07:46Z</cp:lastPrinted>
  <dcterms:created xsi:type="dcterms:W3CDTF">2005-02-26T02:20:11Z</dcterms:created>
  <dcterms:modified xsi:type="dcterms:W3CDTF">2015-03-24T04:14:54Z</dcterms:modified>
</cp:coreProperties>
</file>