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150" yWindow="135" windowWidth="13440" windowHeight="8940"/>
  </bookViews>
  <sheets>
    <sheet name="１　対象経営の概要，２　前提条件" sheetId="19" r:id="rId1"/>
    <sheet name="３－１　水稲（食用米）標準技術" sheetId="24" r:id="rId2"/>
    <sheet name="３－２　水稲（ＷＣＳ）標準技術" sheetId="55" r:id="rId3"/>
    <sheet name="４　経営収支" sheetId="22" r:id="rId4"/>
    <sheet name="５－１　水稲（食用米）作業時間" sheetId="27" r:id="rId5"/>
    <sheet name="５－２　水稲（ＷＣＳ）作業時間" sheetId="28" r:id="rId6"/>
    <sheet name="６　固定資本装備と減価償却費" sheetId="23" r:id="rId7"/>
    <sheet name="６（参考）水稲資本装備" sheetId="30" r:id="rId8"/>
    <sheet name="６（参考）WCS用稲資本装備" sheetId="63" r:id="rId9"/>
    <sheet name="７－１　水稲部門（コシヒカリ）収支" sheetId="35" r:id="rId10"/>
    <sheet name="７－２　水稲部門（あきさかり）収支 " sheetId="45" r:id="rId11"/>
    <sheet name="７－３　水稲部門（ＷＣＳ）収支 " sheetId="47" r:id="rId12"/>
    <sheet name="８－１　水稲算出基礎（コシヒカリ）" sheetId="36" r:id="rId13"/>
    <sheet name="８－２　水稲算出基礎（あきさかり） " sheetId="59" r:id="rId14"/>
    <sheet name="８－３　水稲算出基礎（ＷＣＳ）" sheetId="62" r:id="rId15"/>
    <sheet name="Sheet1" sheetId="64" r:id="rId16"/>
  </sheets>
  <definedNames>
    <definedName name="_1__123Graph_Aｸﾞﾗﾌ_1" localSheetId="8" hidden="1">#REF!</definedName>
    <definedName name="_1__123Graph_Aｸﾞﾗﾌ_1" localSheetId="13" hidden="1">#REF!</definedName>
    <definedName name="_1__123Graph_Aｸﾞﾗﾌ_1" localSheetId="14" hidden="1">#REF!</definedName>
    <definedName name="_1__123Graph_Aｸﾞﾗﾌ_1" hidden="1">#REF!</definedName>
    <definedName name="_2__123Graph_Bｸﾞﾗﾌ_1" localSheetId="8" hidden="1">#REF!</definedName>
    <definedName name="_2__123Graph_Bｸﾞﾗﾌ_1" localSheetId="13" hidden="1">#REF!</definedName>
    <definedName name="_2__123Graph_Bｸﾞﾗﾌ_1" localSheetId="14" hidden="1">#REF!</definedName>
    <definedName name="_2__123Graph_Bｸﾞﾗﾌ_1" hidden="1">#REF!</definedName>
    <definedName name="_3__123Graph_Cｸﾞﾗﾌ_1" localSheetId="8" hidden="1">#REF!</definedName>
    <definedName name="_3__123Graph_Cｸﾞﾗﾌ_1" localSheetId="13" hidden="1">#REF!</definedName>
    <definedName name="_3__123Graph_Cｸﾞﾗﾌ_1" localSheetId="14" hidden="1">#REF!</definedName>
    <definedName name="_3__123Graph_Cｸﾞﾗﾌ_1" hidden="1">#REF!</definedName>
    <definedName name="_4__123Graph_Dｸﾞﾗﾌ_1" localSheetId="8" hidden="1">#REF!</definedName>
    <definedName name="_4__123Graph_Dｸﾞﾗﾌ_1" localSheetId="13" hidden="1">#REF!</definedName>
    <definedName name="_4__123Graph_Dｸﾞﾗﾌ_1" localSheetId="14" hidden="1">#REF!</definedName>
    <definedName name="_4__123Graph_Dｸﾞﾗﾌ_1" hidden="1">#REF!</definedName>
    <definedName name="_5__123Graph_Eｸﾞﾗﾌ_1" localSheetId="8" hidden="1">#REF!</definedName>
    <definedName name="_5__123Graph_Eｸﾞﾗﾌ_1" localSheetId="13" hidden="1">#REF!</definedName>
    <definedName name="_5__123Graph_Eｸﾞﾗﾌ_1" localSheetId="14" hidden="1">#REF!</definedName>
    <definedName name="_5__123Graph_Eｸﾞﾗﾌ_1" hidden="1">#REF!</definedName>
    <definedName name="_6__123Graph_Fｸﾞﾗﾌ_1" localSheetId="8" hidden="1">#REF!</definedName>
    <definedName name="_6__123Graph_Fｸﾞﾗﾌ_1" localSheetId="13" hidden="1">#REF!</definedName>
    <definedName name="_6__123Graph_Fｸﾞﾗﾌ_1" localSheetId="14" hidden="1">#REF!</definedName>
    <definedName name="_6__123Graph_Fｸﾞﾗﾌ_1" hidden="1">#REF!</definedName>
    <definedName name="_a1" localSheetId="2" hidden="1">#REF!</definedName>
    <definedName name="_a1" localSheetId="8" hidden="1">#REF!</definedName>
    <definedName name="_a1" localSheetId="10" hidden="1">#REF!</definedName>
    <definedName name="_a1" localSheetId="11" hidden="1">#REF!</definedName>
    <definedName name="_a1" localSheetId="13" hidden="1">#REF!</definedName>
    <definedName name="_a1" localSheetId="14" hidden="1">#REF!</definedName>
    <definedName name="_a1" hidden="1">#REF!</definedName>
    <definedName name="_a2" localSheetId="2" hidden="1">#REF!</definedName>
    <definedName name="_a2" localSheetId="8" hidden="1">#REF!</definedName>
    <definedName name="_a2" localSheetId="10" hidden="1">#REF!</definedName>
    <definedName name="_a2" localSheetId="11" hidden="1">#REF!</definedName>
    <definedName name="_a2" localSheetId="13" hidden="1">#REF!</definedName>
    <definedName name="_a2" localSheetId="14" hidden="1">#REF!</definedName>
    <definedName name="_a2" hidden="1">#REF!</definedName>
    <definedName name="_a3" localSheetId="2" hidden="1">#REF!</definedName>
    <definedName name="_a3" localSheetId="8" hidden="1">#REF!</definedName>
    <definedName name="_a3" localSheetId="10" hidden="1">#REF!</definedName>
    <definedName name="_a3" localSheetId="11" hidden="1">#REF!</definedName>
    <definedName name="_a3" localSheetId="13" hidden="1">#REF!</definedName>
    <definedName name="_a3" localSheetId="14" hidden="1">#REF!</definedName>
    <definedName name="_a3" hidden="1">#REF!</definedName>
    <definedName name="_a4" localSheetId="2" hidden="1">#REF!</definedName>
    <definedName name="_a4" localSheetId="8" hidden="1">#REF!</definedName>
    <definedName name="_a4" localSheetId="10" hidden="1">#REF!</definedName>
    <definedName name="_a4" localSheetId="11" hidden="1">#REF!</definedName>
    <definedName name="_a4" localSheetId="13" hidden="1">#REF!</definedName>
    <definedName name="_a4" localSheetId="14" hidden="1">#REF!</definedName>
    <definedName name="_a4" hidden="1">#REF!</definedName>
    <definedName name="_a5" localSheetId="2" hidden="1">#REF!</definedName>
    <definedName name="_a5" localSheetId="8" hidden="1">#REF!</definedName>
    <definedName name="_a5" localSheetId="10" hidden="1">#REF!</definedName>
    <definedName name="_a5" localSheetId="11" hidden="1">#REF!</definedName>
    <definedName name="_a5" localSheetId="13" hidden="1">#REF!</definedName>
    <definedName name="_a5" localSheetId="14" hidden="1">#REF!</definedName>
    <definedName name="_a5" hidden="1">#REF!</definedName>
    <definedName name="_a6" localSheetId="2" hidden="1">#REF!</definedName>
    <definedName name="_a6" localSheetId="8" hidden="1">#REF!</definedName>
    <definedName name="_a6" localSheetId="10" hidden="1">#REF!</definedName>
    <definedName name="_a6" localSheetId="11" hidden="1">#REF!</definedName>
    <definedName name="_a6" localSheetId="13" hidden="1">#REF!</definedName>
    <definedName name="_a6" localSheetId="14" hidden="1">#REF!</definedName>
    <definedName name="_a6" hidden="1">#REF!</definedName>
    <definedName name="_a7" localSheetId="2" hidden="1">#REF!</definedName>
    <definedName name="_a7" localSheetId="8" hidden="1">#REF!</definedName>
    <definedName name="_a7" localSheetId="10" hidden="1">#REF!</definedName>
    <definedName name="_a7" localSheetId="11" hidden="1">#REF!</definedName>
    <definedName name="_a7" localSheetId="13" hidden="1">#REF!</definedName>
    <definedName name="_a7" localSheetId="14" hidden="1">#REF!</definedName>
    <definedName name="_a7" hidden="1">#REF!</definedName>
    <definedName name="aaa" localSheetId="2" hidden="1">#REF!</definedName>
    <definedName name="aaa" localSheetId="8" hidden="1">#REF!</definedName>
    <definedName name="aaa" localSheetId="10" hidden="1">#REF!</definedName>
    <definedName name="aaa" localSheetId="11" hidden="1">#REF!</definedName>
    <definedName name="aaa" localSheetId="13" hidden="1">#REF!</definedName>
    <definedName name="aaa" localSheetId="14" hidden="1">#REF!</definedName>
    <definedName name="aaa" hidden="1">#REF!</definedName>
    <definedName name="bbb" localSheetId="2" hidden="1">#REF!</definedName>
    <definedName name="bbb" localSheetId="8" hidden="1">#REF!</definedName>
    <definedName name="bbb" localSheetId="10" hidden="1">#REF!</definedName>
    <definedName name="bbb" localSheetId="11" hidden="1">#REF!</definedName>
    <definedName name="bbb" localSheetId="13" hidden="1">#REF!</definedName>
    <definedName name="bbb" localSheetId="14" hidden="1">#REF!</definedName>
    <definedName name="bbb" hidden="1">#REF!</definedName>
    <definedName name="ccc" localSheetId="2" hidden="1">#REF!</definedName>
    <definedName name="ccc" localSheetId="8" hidden="1">#REF!</definedName>
    <definedName name="ccc" localSheetId="10" hidden="1">#REF!</definedName>
    <definedName name="ccc" localSheetId="11" hidden="1">#REF!</definedName>
    <definedName name="ccc" localSheetId="13" hidden="1">#REF!</definedName>
    <definedName name="ccc" localSheetId="14" hidden="1">#REF!</definedName>
    <definedName name="ccc" hidden="1">#REF!</definedName>
    <definedName name="ddd" localSheetId="2" hidden="1">#REF!</definedName>
    <definedName name="ddd" localSheetId="8" hidden="1">#REF!</definedName>
    <definedName name="ddd" localSheetId="10" hidden="1">#REF!</definedName>
    <definedName name="ddd" localSheetId="11" hidden="1">#REF!</definedName>
    <definedName name="ddd" localSheetId="13" hidden="1">#REF!</definedName>
    <definedName name="ddd" localSheetId="14" hidden="1">#REF!</definedName>
    <definedName name="ddd" hidden="1">#REF!</definedName>
    <definedName name="eee" localSheetId="2" hidden="1">#REF!</definedName>
    <definedName name="eee" localSheetId="8" hidden="1">#REF!</definedName>
    <definedName name="eee" localSheetId="10" hidden="1">#REF!</definedName>
    <definedName name="eee" localSheetId="11" hidden="1">#REF!</definedName>
    <definedName name="eee" localSheetId="13" hidden="1">#REF!</definedName>
    <definedName name="eee" localSheetId="14" hidden="1">#REF!</definedName>
    <definedName name="eee" hidden="1">#REF!</definedName>
    <definedName name="fff" localSheetId="2" hidden="1">#REF!</definedName>
    <definedName name="fff" localSheetId="8" hidden="1">#REF!</definedName>
    <definedName name="fff" localSheetId="10" hidden="1">#REF!</definedName>
    <definedName name="fff" localSheetId="11" hidden="1">#REF!</definedName>
    <definedName name="fff" localSheetId="13" hidden="1">#REF!</definedName>
    <definedName name="fff" localSheetId="14" hidden="1">#REF!</definedName>
    <definedName name="fff" hidden="1">#REF!</definedName>
    <definedName name="ggg" localSheetId="2" hidden="1">#REF!</definedName>
    <definedName name="ggg" localSheetId="8" hidden="1">#REF!</definedName>
    <definedName name="ggg" localSheetId="10" hidden="1">#REF!</definedName>
    <definedName name="ggg" localSheetId="11" hidden="1">#REF!</definedName>
    <definedName name="ggg" localSheetId="13" hidden="1">#REF!</definedName>
    <definedName name="ggg" localSheetId="14" hidden="1">#REF!</definedName>
    <definedName name="ggg" hidden="1">#REF!</definedName>
    <definedName name="hhh" localSheetId="2" hidden="1">#REF!</definedName>
    <definedName name="hhh" localSheetId="8" hidden="1">#REF!</definedName>
    <definedName name="hhh" localSheetId="10" hidden="1">#REF!</definedName>
    <definedName name="hhh" localSheetId="11" hidden="1">#REF!</definedName>
    <definedName name="hhh" localSheetId="13" hidden="1">#REF!</definedName>
    <definedName name="hhh" localSheetId="14" hidden="1">#REF!</definedName>
    <definedName name="hhh" hidden="1">#REF!</definedName>
    <definedName name="_xlnm.Print_Area" localSheetId="1">'３－１　水稲（食用米）標準技術'!$A$1:$M$11</definedName>
    <definedName name="_xlnm.Print_Area" localSheetId="2">'３－２　水稲（ＷＣＳ）標準技術'!$A$1:$M$11</definedName>
    <definedName name="_xlnm.Print_Area" localSheetId="3">'４　経営収支'!$A$1:$I$50</definedName>
    <definedName name="_xlnm.Print_Area" localSheetId="4">'５－１　水稲（食用米）作業時間'!$A$1:$AM$34</definedName>
    <definedName name="_xlnm.Print_Area" localSheetId="5">'５－２　水稲（ＷＣＳ）作業時間'!$A$1:$AM$34</definedName>
    <definedName name="_xlnm.Print_Area" localSheetId="6">'６　固定資本装備と減価償却費'!$A$1:$P$80</definedName>
    <definedName name="_xlnm.Print_Area" localSheetId="8">'６（参考）WCS用稲資本装備'!$1:$56</definedName>
    <definedName name="_xlnm.Print_Area" localSheetId="7">'６（参考）水稲資本装備'!$1:$56</definedName>
    <definedName name="_xlnm.Print_Area" localSheetId="9">'７－１　水稲部門（コシヒカリ）収支'!$A$1:$S$45</definedName>
    <definedName name="_xlnm.Print_Area" localSheetId="10">'７－２　水稲部門（あきさかり）収支 '!$A$1:$S$45</definedName>
    <definedName name="_xlnm.Print_Area" localSheetId="11">'７－３　水稲部門（ＷＣＳ）収支 '!$A$1:$S$45</definedName>
    <definedName name="_xlnm.Print_Area" localSheetId="12">'８－１　水稲算出基礎（コシヒカリ）'!$A$1:$Y$57</definedName>
    <definedName name="_xlnm.Print_Area" localSheetId="13">'８－２　水稲算出基礎（あきさかり） '!$A$1:$W$57</definedName>
    <definedName name="_xlnm.Print_Area" localSheetId="14">'８－３　水稲算出基礎（ＷＣＳ）'!$A$1:$X$57</definedName>
    <definedName name="simizu" localSheetId="2" hidden="1">#REF!</definedName>
    <definedName name="simizu" localSheetId="8" hidden="1">#REF!</definedName>
    <definedName name="simizu" localSheetId="10" hidden="1">#REF!</definedName>
    <definedName name="simizu" localSheetId="11" hidden="1">#REF!</definedName>
    <definedName name="simizu" localSheetId="13" hidden="1">#REF!</definedName>
    <definedName name="simizu" localSheetId="14" hidden="1">#REF!</definedName>
    <definedName name="simizu" hidden="1">#REF!</definedName>
    <definedName name="新" localSheetId="2" hidden="1">#REF!</definedName>
    <definedName name="新" localSheetId="8" hidden="1">#REF!</definedName>
    <definedName name="新" localSheetId="13" hidden="1">#REF!</definedName>
    <definedName name="新" localSheetId="14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G31" i="59" l="1"/>
  <c r="F14" i="45" l="1"/>
  <c r="F14" i="35"/>
  <c r="F15" i="47"/>
  <c r="F13" i="35"/>
  <c r="G39" i="22" l="1"/>
  <c r="V52" i="62" l="1"/>
  <c r="V46" i="62"/>
  <c r="V52" i="59"/>
  <c r="V46" i="59"/>
  <c r="V52" i="36"/>
  <c r="V46" i="36"/>
  <c r="F56" i="23"/>
  <c r="E56" i="23"/>
  <c r="F53" i="23"/>
  <c r="E53" i="23"/>
  <c r="J36" i="63" l="1"/>
  <c r="J29" i="63"/>
  <c r="J23" i="63"/>
  <c r="J17" i="63"/>
  <c r="J36" i="30"/>
  <c r="J29" i="30"/>
  <c r="J23" i="30"/>
  <c r="J17" i="30"/>
  <c r="G48" i="22"/>
  <c r="G47" i="22"/>
  <c r="G46" i="22"/>
  <c r="G45" i="22"/>
  <c r="G41" i="22"/>
  <c r="G31" i="22"/>
  <c r="G20" i="22"/>
  <c r="G14" i="22"/>
  <c r="G6" i="22"/>
  <c r="P13" i="35"/>
  <c r="F6" i="35" s="1"/>
  <c r="L5" i="35"/>
  <c r="P11" i="35" s="1"/>
  <c r="G4" i="22"/>
  <c r="F13" i="19"/>
  <c r="J35" i="63" s="1"/>
  <c r="F13" i="47"/>
  <c r="F13" i="45"/>
  <c r="G15" i="22"/>
  <c r="N5" i="35" l="1"/>
  <c r="F6" i="22"/>
  <c r="F29" i="35"/>
  <c r="F27" i="35"/>
  <c r="J18" i="30"/>
  <c r="J26" i="30"/>
  <c r="J33" i="30"/>
  <c r="J5" i="63"/>
  <c r="J18" i="63"/>
  <c r="J26" i="63"/>
  <c r="J33" i="63"/>
  <c r="J19" i="30"/>
  <c r="J27" i="30"/>
  <c r="J34" i="30"/>
  <c r="J7" i="63"/>
  <c r="J19" i="63"/>
  <c r="J27" i="63"/>
  <c r="J34" i="63"/>
  <c r="J20" i="30"/>
  <c r="J28" i="30"/>
  <c r="J35" i="30"/>
  <c r="J16" i="63"/>
  <c r="J20" i="63"/>
  <c r="J28" i="63"/>
  <c r="I56" i="23"/>
  <c r="F12" i="47"/>
  <c r="U15" i="47"/>
  <c r="U16" i="47" s="1"/>
  <c r="H4" i="22"/>
  <c r="H3" i="22"/>
  <c r="J40" i="47"/>
  <c r="F40" i="47"/>
  <c r="H44" i="22" s="1"/>
  <c r="H49" i="22" s="1"/>
  <c r="G21" i="63"/>
  <c r="I21" i="63" s="1"/>
  <c r="L21" i="63" s="1"/>
  <c r="G21" i="30"/>
  <c r="G35" i="23"/>
  <c r="K31" i="30"/>
  <c r="L31" i="30"/>
  <c r="K6" i="30"/>
  <c r="F12" i="45"/>
  <c r="F12" i="35"/>
  <c r="N5" i="47"/>
  <c r="K33" i="63"/>
  <c r="K33" i="30"/>
  <c r="K50" i="23"/>
  <c r="K23" i="63"/>
  <c r="K23" i="30"/>
  <c r="K24" i="63"/>
  <c r="L24" i="63" s="1"/>
  <c r="N24" i="63" s="1"/>
  <c r="K45" i="23"/>
  <c r="K38" i="23"/>
  <c r="K35" i="23"/>
  <c r="L55" i="63"/>
  <c r="I55" i="63"/>
  <c r="G55" i="63"/>
  <c r="P54" i="63"/>
  <c r="P55" i="63"/>
  <c r="P53" i="63"/>
  <c r="P51" i="63"/>
  <c r="K36" i="63"/>
  <c r="I36" i="63"/>
  <c r="L36" i="63" s="1"/>
  <c r="K35" i="63"/>
  <c r="I35" i="63"/>
  <c r="K34" i="63"/>
  <c r="I34" i="63"/>
  <c r="L34" i="63"/>
  <c r="G34" i="63"/>
  <c r="G33" i="63"/>
  <c r="I33" i="63" s="1"/>
  <c r="L31" i="63"/>
  <c r="I31" i="63"/>
  <c r="K29" i="63"/>
  <c r="G29" i="63"/>
  <c r="I29" i="63"/>
  <c r="K28" i="63"/>
  <c r="G28" i="63"/>
  <c r="I28" i="63"/>
  <c r="K27" i="63"/>
  <c r="I27" i="63"/>
  <c r="L27" i="63"/>
  <c r="G27" i="63"/>
  <c r="K26" i="63"/>
  <c r="I26" i="63"/>
  <c r="L26" i="63"/>
  <c r="G26" i="63"/>
  <c r="G24" i="63"/>
  <c r="I24" i="63" s="1"/>
  <c r="G23" i="63"/>
  <c r="I23" i="63" s="1"/>
  <c r="L23" i="63" s="1"/>
  <c r="N23" i="63" s="1"/>
  <c r="G22" i="63"/>
  <c r="I22" i="63"/>
  <c r="L22" i="63" s="1"/>
  <c r="N22" i="63" s="1"/>
  <c r="K20" i="63"/>
  <c r="G20" i="63"/>
  <c r="I20" i="63"/>
  <c r="L20" i="63" s="1"/>
  <c r="K19" i="63"/>
  <c r="G19" i="63"/>
  <c r="I19" i="63"/>
  <c r="K18" i="63"/>
  <c r="G18" i="63"/>
  <c r="I18" i="63" s="1"/>
  <c r="K17" i="63"/>
  <c r="L17" i="63"/>
  <c r="G17" i="63"/>
  <c r="I17" i="63" s="1"/>
  <c r="K16" i="63"/>
  <c r="G16" i="63"/>
  <c r="G50" i="63"/>
  <c r="K7" i="63"/>
  <c r="G7" i="63"/>
  <c r="I7" i="63"/>
  <c r="I6" i="63"/>
  <c r="G6" i="63"/>
  <c r="K5" i="63"/>
  <c r="G5" i="63"/>
  <c r="Z4" i="63"/>
  <c r="Y4" i="63"/>
  <c r="X4" i="63"/>
  <c r="W4" i="63"/>
  <c r="V4" i="63"/>
  <c r="R4" i="63" s="1"/>
  <c r="U4" i="63"/>
  <c r="T4" i="63"/>
  <c r="S4" i="63"/>
  <c r="H56" i="23"/>
  <c r="H53" i="23"/>
  <c r="G53" i="23"/>
  <c r="H50" i="23"/>
  <c r="G50" i="23"/>
  <c r="F50" i="23"/>
  <c r="E50" i="23"/>
  <c r="D50" i="23"/>
  <c r="H44" i="23"/>
  <c r="G44" i="23"/>
  <c r="F44" i="23"/>
  <c r="E44" i="23"/>
  <c r="D44" i="23"/>
  <c r="H41" i="23"/>
  <c r="F41" i="23"/>
  <c r="E41" i="23"/>
  <c r="H38" i="23"/>
  <c r="F38" i="23"/>
  <c r="E38" i="23"/>
  <c r="D38" i="23"/>
  <c r="H35" i="23"/>
  <c r="F35" i="23"/>
  <c r="E35" i="23"/>
  <c r="D35" i="23"/>
  <c r="F32" i="23"/>
  <c r="E32" i="23"/>
  <c r="D32" i="23"/>
  <c r="H29" i="23"/>
  <c r="G29" i="23"/>
  <c r="F29" i="23"/>
  <c r="E29" i="23"/>
  <c r="D29" i="23"/>
  <c r="H26" i="23"/>
  <c r="F26" i="23"/>
  <c r="E26" i="23"/>
  <c r="D26" i="23"/>
  <c r="H23" i="23"/>
  <c r="F23" i="23"/>
  <c r="E23" i="23"/>
  <c r="D23" i="23"/>
  <c r="H20" i="23"/>
  <c r="F20" i="23"/>
  <c r="E20" i="23"/>
  <c r="D20" i="23"/>
  <c r="C50" i="23"/>
  <c r="K12" i="62"/>
  <c r="L7" i="62"/>
  <c r="L7" i="59"/>
  <c r="L7" i="36"/>
  <c r="S4" i="30"/>
  <c r="R4" i="30" s="1"/>
  <c r="T4" i="30"/>
  <c r="U4" i="30"/>
  <c r="V4" i="30"/>
  <c r="W4" i="30"/>
  <c r="X4" i="30"/>
  <c r="Y4" i="30"/>
  <c r="Z4" i="30"/>
  <c r="G5" i="30"/>
  <c r="K5" i="30"/>
  <c r="G6" i="30"/>
  <c r="G8" i="23" s="1"/>
  <c r="I8" i="23" s="1"/>
  <c r="G7" i="30"/>
  <c r="I7" i="30" s="1"/>
  <c r="K38" i="62" s="1"/>
  <c r="K7" i="30"/>
  <c r="G16" i="30"/>
  <c r="G20" i="23"/>
  <c r="K16" i="30"/>
  <c r="G17" i="30"/>
  <c r="K17" i="30"/>
  <c r="G18" i="30"/>
  <c r="I18" i="30" s="1"/>
  <c r="G26" i="23"/>
  <c r="I26" i="23"/>
  <c r="K18" i="30"/>
  <c r="G19" i="30"/>
  <c r="K19" i="30"/>
  <c r="G20" i="30"/>
  <c r="K20" i="30"/>
  <c r="I21" i="30"/>
  <c r="I35" i="23"/>
  <c r="K21" i="30"/>
  <c r="G22" i="30"/>
  <c r="K22" i="30"/>
  <c r="G23" i="30"/>
  <c r="G41" i="23" s="1"/>
  <c r="I23" i="30"/>
  <c r="L23" i="30" s="1"/>
  <c r="G24" i="30"/>
  <c r="G26" i="30"/>
  <c r="K26" i="30"/>
  <c r="G27" i="30"/>
  <c r="I27" i="30" s="1"/>
  <c r="L27" i="30"/>
  <c r="N27" i="30" s="1"/>
  <c r="K27" i="30"/>
  <c r="G28" i="30"/>
  <c r="I28" i="30" s="1"/>
  <c r="L28" i="30" s="1"/>
  <c r="N28" i="30" s="1"/>
  <c r="K28" i="30"/>
  <c r="G29" i="30"/>
  <c r="I29" i="30" s="1"/>
  <c r="L29" i="30"/>
  <c r="K29" i="30"/>
  <c r="I31" i="30"/>
  <c r="I50" i="23" s="1"/>
  <c r="G33" i="30"/>
  <c r="I33" i="30" s="1"/>
  <c r="G34" i="30"/>
  <c r="I34" i="30" s="1"/>
  <c r="L34" i="30" s="1"/>
  <c r="K34" i="30"/>
  <c r="I35" i="30"/>
  <c r="K35" i="30"/>
  <c r="I36" i="30"/>
  <c r="L36" i="30"/>
  <c r="N36" i="30" s="1"/>
  <c r="K36" i="30"/>
  <c r="P51" i="30"/>
  <c r="P53" i="30"/>
  <c r="P54" i="30"/>
  <c r="G55" i="30"/>
  <c r="I55" i="30"/>
  <c r="L55" i="30"/>
  <c r="H6" i="22"/>
  <c r="H20" i="22"/>
  <c r="F20" i="22" s="1"/>
  <c r="H30" i="22"/>
  <c r="H31" i="22"/>
  <c r="F31" i="22" s="1"/>
  <c r="H32" i="22"/>
  <c r="H39" i="22"/>
  <c r="F39" i="22" s="1"/>
  <c r="H41" i="22"/>
  <c r="H45" i="22"/>
  <c r="F45" i="22" s="1"/>
  <c r="H46" i="22"/>
  <c r="F46" i="22" s="1"/>
  <c r="H47" i="22"/>
  <c r="F47" i="22" s="1"/>
  <c r="H48" i="22"/>
  <c r="F48" i="22" s="1"/>
  <c r="AM8" i="27"/>
  <c r="AQ8" i="27"/>
  <c r="AM9" i="27"/>
  <c r="AP9" i="27"/>
  <c r="AQ9" i="27"/>
  <c r="AM10" i="27"/>
  <c r="AO10" i="27"/>
  <c r="AO34" i="27"/>
  <c r="AQ10" i="27"/>
  <c r="AM11" i="27"/>
  <c r="AQ11" i="27"/>
  <c r="AM12" i="27"/>
  <c r="AP12" i="27"/>
  <c r="AQ12" i="27"/>
  <c r="AM13" i="27"/>
  <c r="AQ13" i="27"/>
  <c r="AM14" i="27"/>
  <c r="AQ14" i="27"/>
  <c r="AM15" i="27"/>
  <c r="AQ15" i="27"/>
  <c r="AM16" i="27"/>
  <c r="AQ16" i="27"/>
  <c r="AM17" i="27"/>
  <c r="AQ17" i="27"/>
  <c r="AM18" i="27"/>
  <c r="AQ18" i="27"/>
  <c r="AM19" i="27"/>
  <c r="AQ19" i="27"/>
  <c r="AM20" i="27"/>
  <c r="AQ20" i="27"/>
  <c r="AM21" i="27"/>
  <c r="AQ21" i="27"/>
  <c r="AM22" i="27"/>
  <c r="AQ22" i="27"/>
  <c r="AM23" i="27"/>
  <c r="AQ23" i="27"/>
  <c r="AM24" i="27"/>
  <c r="AQ24" i="27"/>
  <c r="AM25" i="27"/>
  <c r="AQ25" i="27"/>
  <c r="AQ26" i="27"/>
  <c r="AM27" i="27"/>
  <c r="AQ27" i="27"/>
  <c r="AM28" i="27"/>
  <c r="AQ28" i="27"/>
  <c r="AM29" i="27"/>
  <c r="AQ29" i="27"/>
  <c r="AM30" i="27"/>
  <c r="AQ30" i="27"/>
  <c r="AM31" i="27"/>
  <c r="AQ31" i="27"/>
  <c r="AM32" i="27"/>
  <c r="AQ32" i="27"/>
  <c r="C33" i="27"/>
  <c r="D33" i="27"/>
  <c r="E33" i="27"/>
  <c r="F33" i="27"/>
  <c r="G33" i="27"/>
  <c r="G34" i="27"/>
  <c r="H33" i="27"/>
  <c r="I33" i="27"/>
  <c r="J33" i="27"/>
  <c r="K33" i="27"/>
  <c r="L33" i="27"/>
  <c r="M33" i="27"/>
  <c r="M34" i="27" s="1"/>
  <c r="N33" i="27"/>
  <c r="O33" i="27"/>
  <c r="P34" i="27" s="1"/>
  <c r="P33" i="27"/>
  <c r="Q33" i="27"/>
  <c r="R33" i="27"/>
  <c r="S34" i="27" s="1"/>
  <c r="S33" i="27"/>
  <c r="T33" i="27"/>
  <c r="U33" i="27"/>
  <c r="V34" i="27" s="1"/>
  <c r="V33" i="27"/>
  <c r="W33" i="27"/>
  <c r="X33" i="27"/>
  <c r="Y33" i="27"/>
  <c r="Z33" i="27"/>
  <c r="AA33" i="27"/>
  <c r="AB33" i="27"/>
  <c r="AB34" i="27" s="1"/>
  <c r="AC33" i="27"/>
  <c r="AD33" i="27"/>
  <c r="AE34" i="27" s="1"/>
  <c r="AE33" i="27"/>
  <c r="AF33" i="27"/>
  <c r="AG33" i="27"/>
  <c r="AH34" i="27" s="1"/>
  <c r="AH33" i="27"/>
  <c r="AI33" i="27"/>
  <c r="AJ33" i="27"/>
  <c r="AK34" i="27" s="1"/>
  <c r="AK33" i="27"/>
  <c r="AL33" i="27"/>
  <c r="AQ33" i="27"/>
  <c r="AP34" i="27"/>
  <c r="F20" i="35" s="1"/>
  <c r="AM8" i="28"/>
  <c r="AQ8" i="28"/>
  <c r="AM9" i="28"/>
  <c r="AP9" i="28"/>
  <c r="AQ9" i="28" s="1"/>
  <c r="AM10" i="28"/>
  <c r="AO10" i="28"/>
  <c r="AM11" i="28"/>
  <c r="AQ11" i="28"/>
  <c r="AM12" i="28"/>
  <c r="AP12" i="28"/>
  <c r="AQ12" i="28"/>
  <c r="AM13" i="28"/>
  <c r="AQ13" i="28"/>
  <c r="AM14" i="28"/>
  <c r="AQ14" i="28"/>
  <c r="AM15" i="28"/>
  <c r="AQ15" i="28"/>
  <c r="AM16" i="28"/>
  <c r="AQ16" i="28"/>
  <c r="AM17" i="28"/>
  <c r="AQ17" i="28"/>
  <c r="AM18" i="28"/>
  <c r="AQ18" i="28"/>
  <c r="AM19" i="28"/>
  <c r="AQ19" i="28"/>
  <c r="AM20" i="28"/>
  <c r="AQ20" i="28"/>
  <c r="AM21" i="28"/>
  <c r="AQ21" i="28"/>
  <c r="AM22" i="28"/>
  <c r="AQ22" i="28"/>
  <c r="AM23" i="28"/>
  <c r="AQ23" i="28"/>
  <c r="AM24" i="28"/>
  <c r="AQ24" i="28"/>
  <c r="AM25" i="28"/>
  <c r="AQ25" i="28"/>
  <c r="AQ26" i="28"/>
  <c r="AM27" i="28"/>
  <c r="AQ27" i="28"/>
  <c r="AM28" i="28"/>
  <c r="AQ28" i="28"/>
  <c r="AM29" i="28"/>
  <c r="AQ29" i="28"/>
  <c r="AM30" i="28"/>
  <c r="AQ30" i="28"/>
  <c r="AM31" i="28"/>
  <c r="AQ31" i="28"/>
  <c r="AM32" i="28"/>
  <c r="AQ32" i="28"/>
  <c r="C33" i="28"/>
  <c r="D33" i="28"/>
  <c r="E33" i="28"/>
  <c r="F33" i="28"/>
  <c r="G33" i="28"/>
  <c r="H33" i="28"/>
  <c r="I33" i="28"/>
  <c r="J33" i="28"/>
  <c r="K33" i="28"/>
  <c r="L33" i="28"/>
  <c r="M34" i="28" s="1"/>
  <c r="M33" i="28"/>
  <c r="N33" i="28"/>
  <c r="O33" i="28"/>
  <c r="P33" i="28"/>
  <c r="P34" i="28"/>
  <c r="Q33" i="28"/>
  <c r="R33" i="28"/>
  <c r="S34" i="28" s="1"/>
  <c r="S33" i="28"/>
  <c r="T33" i="28"/>
  <c r="U33" i="28"/>
  <c r="V34" i="28" s="1"/>
  <c r="V33" i="28"/>
  <c r="W33" i="28"/>
  <c r="X33" i="28"/>
  <c r="Y33" i="28"/>
  <c r="Z33" i="28"/>
  <c r="AA33" i="28"/>
  <c r="AB34" i="28" s="1"/>
  <c r="AB33" i="28"/>
  <c r="AC33" i="28"/>
  <c r="AD33" i="28"/>
  <c r="AE34" i="28" s="1"/>
  <c r="AE33" i="28"/>
  <c r="AF33" i="28"/>
  <c r="AG33" i="28"/>
  <c r="AH34" i="28"/>
  <c r="AH33" i="28"/>
  <c r="AI33" i="28"/>
  <c r="AJ33" i="28"/>
  <c r="AK34" i="28"/>
  <c r="AK33" i="28"/>
  <c r="AL33" i="28"/>
  <c r="AQ33" i="28"/>
  <c r="C5" i="23"/>
  <c r="D5" i="23"/>
  <c r="E5" i="23"/>
  <c r="H5" i="23"/>
  <c r="K5" i="23"/>
  <c r="K6" i="23"/>
  <c r="C8" i="23"/>
  <c r="D8" i="23"/>
  <c r="E8" i="23"/>
  <c r="H8" i="23"/>
  <c r="K8" i="23"/>
  <c r="C11" i="23"/>
  <c r="D11" i="23"/>
  <c r="H11" i="23"/>
  <c r="K11" i="23"/>
  <c r="K12" i="23"/>
  <c r="C20" i="23"/>
  <c r="K20" i="23"/>
  <c r="K21" i="23"/>
  <c r="C23" i="23"/>
  <c r="K23" i="23"/>
  <c r="K24" i="23"/>
  <c r="C26" i="23"/>
  <c r="K26" i="23"/>
  <c r="K27" i="23"/>
  <c r="C29" i="23"/>
  <c r="K29" i="23"/>
  <c r="K30" i="23"/>
  <c r="C32" i="23"/>
  <c r="K32" i="23"/>
  <c r="K33" i="23"/>
  <c r="C35" i="23"/>
  <c r="C38" i="23"/>
  <c r="C41" i="23"/>
  <c r="K41" i="23"/>
  <c r="K42" i="23"/>
  <c r="C44" i="23"/>
  <c r="K47" i="23"/>
  <c r="K48" i="23"/>
  <c r="K53" i="23"/>
  <c r="K54" i="23"/>
  <c r="K56" i="23"/>
  <c r="K57" i="23"/>
  <c r="P58" i="23"/>
  <c r="I59" i="23"/>
  <c r="I62" i="23"/>
  <c r="I65" i="23"/>
  <c r="G75" i="23"/>
  <c r="I75" i="23"/>
  <c r="L80" i="23"/>
  <c r="P80" i="23"/>
  <c r="R5" i="35"/>
  <c r="N6" i="35"/>
  <c r="R6" i="35"/>
  <c r="N7" i="35"/>
  <c r="R7" i="35"/>
  <c r="N8" i="35"/>
  <c r="R8" i="35"/>
  <c r="N9" i="35"/>
  <c r="R9" i="35"/>
  <c r="N10" i="35"/>
  <c r="N11" i="35"/>
  <c r="P14" i="35"/>
  <c r="P15" i="35" s="1"/>
  <c r="F19" i="35"/>
  <c r="F22" i="35"/>
  <c r="F23" i="35"/>
  <c r="F24" i="35"/>
  <c r="F40" i="35"/>
  <c r="L5" i="45"/>
  <c r="P11" i="45" s="1"/>
  <c r="R5" i="45"/>
  <c r="R6" i="45"/>
  <c r="N7" i="45"/>
  <c r="R7" i="45"/>
  <c r="N8" i="45"/>
  <c r="R8" i="45"/>
  <c r="N9" i="45"/>
  <c r="R9" i="45"/>
  <c r="N10" i="45"/>
  <c r="N11" i="45"/>
  <c r="P13" i="45"/>
  <c r="P15" i="45" s="1"/>
  <c r="F6" i="45" s="1"/>
  <c r="G8" i="22" s="1"/>
  <c r="P14" i="45"/>
  <c r="F19" i="45"/>
  <c r="F21" i="45" s="1"/>
  <c r="F20" i="45"/>
  <c r="F22" i="45"/>
  <c r="F23" i="45"/>
  <c r="F24" i="45"/>
  <c r="F40" i="45"/>
  <c r="F45" i="45" s="1"/>
  <c r="R5" i="47"/>
  <c r="N6" i="47"/>
  <c r="R6" i="47"/>
  <c r="N7" i="47"/>
  <c r="R7" i="47"/>
  <c r="N8" i="47"/>
  <c r="R8" i="47"/>
  <c r="N9" i="47"/>
  <c r="R9" i="47"/>
  <c r="N10" i="47"/>
  <c r="N11" i="47"/>
  <c r="P11" i="47"/>
  <c r="P13" i="47"/>
  <c r="F6" i="47"/>
  <c r="P14" i="47"/>
  <c r="F22" i="47"/>
  <c r="H24" i="22" s="1"/>
  <c r="F23" i="47"/>
  <c r="H25" i="22" s="1"/>
  <c r="F24" i="47"/>
  <c r="H26" i="22" s="1"/>
  <c r="G5" i="36"/>
  <c r="G6" i="36"/>
  <c r="N6" i="36"/>
  <c r="G8" i="36"/>
  <c r="N8" i="36"/>
  <c r="G9" i="36"/>
  <c r="N9" i="36"/>
  <c r="G10" i="36"/>
  <c r="N11" i="36"/>
  <c r="F12" i="36"/>
  <c r="G12" i="36" s="1"/>
  <c r="G16" i="36"/>
  <c r="P19" i="35" s="1"/>
  <c r="K12" i="36"/>
  <c r="G13" i="36"/>
  <c r="N13" i="36"/>
  <c r="N16" i="36"/>
  <c r="P31" i="35" s="1"/>
  <c r="G14" i="36"/>
  <c r="N14" i="36"/>
  <c r="G15" i="36"/>
  <c r="N15" i="36"/>
  <c r="K16" i="36"/>
  <c r="L16" i="36"/>
  <c r="G17" i="36"/>
  <c r="N17" i="36"/>
  <c r="N20" i="36"/>
  <c r="P33" i="35" s="1"/>
  <c r="G18" i="36"/>
  <c r="N18" i="36"/>
  <c r="G19" i="36"/>
  <c r="N19" i="36"/>
  <c r="K20" i="36"/>
  <c r="L20" i="36"/>
  <c r="D21" i="36"/>
  <c r="G21" i="36" s="1"/>
  <c r="F21" i="36"/>
  <c r="N21" i="36"/>
  <c r="N24" i="36"/>
  <c r="P34" i="35" s="1"/>
  <c r="V21" i="36"/>
  <c r="F10" i="35" s="1"/>
  <c r="G12" i="22" s="1"/>
  <c r="G22" i="36"/>
  <c r="N22" i="36"/>
  <c r="G23" i="36"/>
  <c r="N23" i="36"/>
  <c r="K24" i="36"/>
  <c r="L24" i="36"/>
  <c r="N25" i="36"/>
  <c r="V25" i="36"/>
  <c r="V34" i="36"/>
  <c r="F11" i="35" s="1"/>
  <c r="N26" i="36"/>
  <c r="N27" i="36"/>
  <c r="F28" i="36"/>
  <c r="G28" i="36" s="1"/>
  <c r="K28" i="36"/>
  <c r="L28" i="36"/>
  <c r="D29" i="36"/>
  <c r="G29" i="36" s="1"/>
  <c r="G38" i="36" s="1"/>
  <c r="P24" i="35" s="1"/>
  <c r="F29" i="36"/>
  <c r="N29" i="36"/>
  <c r="F30" i="36"/>
  <c r="G30" i="36" s="1"/>
  <c r="N30" i="36"/>
  <c r="N32" i="36" s="1"/>
  <c r="P36" i="35" s="1"/>
  <c r="N31" i="36"/>
  <c r="G32" i="36"/>
  <c r="K32" i="36"/>
  <c r="L32" i="36"/>
  <c r="G33" i="36"/>
  <c r="G34" i="36"/>
  <c r="G35" i="36"/>
  <c r="G36" i="36"/>
  <c r="J36" i="36"/>
  <c r="M36" i="36"/>
  <c r="G37" i="36"/>
  <c r="J37" i="36"/>
  <c r="M37" i="36"/>
  <c r="J38" i="36"/>
  <c r="M38" i="36"/>
  <c r="V44" i="36"/>
  <c r="F39" i="36"/>
  <c r="G39" i="36" s="1"/>
  <c r="G40" i="36"/>
  <c r="G41" i="36"/>
  <c r="G42" i="36"/>
  <c r="M43" i="36"/>
  <c r="N43" i="36"/>
  <c r="N46" i="36" s="1"/>
  <c r="V45" i="36"/>
  <c r="V50" i="36" s="1"/>
  <c r="V57" i="36" s="1"/>
  <c r="F35" i="35" s="1"/>
  <c r="G38" i="22" s="1"/>
  <c r="G46" i="36"/>
  <c r="G47" i="36"/>
  <c r="M47" i="36"/>
  <c r="N47" i="36"/>
  <c r="N50" i="36" s="1"/>
  <c r="G48" i="36"/>
  <c r="F50" i="36"/>
  <c r="G50" i="36" s="1"/>
  <c r="G51" i="36"/>
  <c r="M51" i="36"/>
  <c r="N51" i="36"/>
  <c r="V51" i="36"/>
  <c r="G52" i="36"/>
  <c r="M52" i="36"/>
  <c r="N52" i="36"/>
  <c r="M53" i="36"/>
  <c r="N53" i="36"/>
  <c r="D54" i="36"/>
  <c r="F54" i="36"/>
  <c r="M54" i="36"/>
  <c r="N54" i="36"/>
  <c r="V56" i="36"/>
  <c r="F55" i="36"/>
  <c r="G55" i="36"/>
  <c r="G56" i="36"/>
  <c r="G5" i="59"/>
  <c r="G7" i="59" s="1"/>
  <c r="P17" i="45" s="1"/>
  <c r="G6" i="59"/>
  <c r="N6" i="59"/>
  <c r="N7" i="59"/>
  <c r="N12" i="59"/>
  <c r="P30" i="45" s="1"/>
  <c r="G8" i="59"/>
  <c r="G11" i="59" s="1"/>
  <c r="P18" i="45" s="1"/>
  <c r="N8" i="59"/>
  <c r="G9" i="59"/>
  <c r="N9" i="59"/>
  <c r="G10" i="59"/>
  <c r="N11" i="59"/>
  <c r="F12" i="59"/>
  <c r="G12" i="59" s="1"/>
  <c r="K12" i="59"/>
  <c r="L12" i="59"/>
  <c r="G13" i="59"/>
  <c r="G16" i="59" s="1"/>
  <c r="P19" i="45" s="1"/>
  <c r="N13" i="59"/>
  <c r="G14" i="59"/>
  <c r="N14" i="59"/>
  <c r="G15" i="59"/>
  <c r="N15" i="59"/>
  <c r="K16" i="59"/>
  <c r="L16" i="59"/>
  <c r="G17" i="59"/>
  <c r="N17" i="59"/>
  <c r="G18" i="59"/>
  <c r="N18" i="59"/>
  <c r="G19" i="59"/>
  <c r="N19" i="59"/>
  <c r="K20" i="59"/>
  <c r="L20" i="59"/>
  <c r="D21" i="59"/>
  <c r="G21" i="59" s="1"/>
  <c r="F21" i="59"/>
  <c r="N21" i="59"/>
  <c r="N24" i="59"/>
  <c r="P34" i="45" s="1"/>
  <c r="V21" i="59"/>
  <c r="F10" i="45"/>
  <c r="G22" i="59"/>
  <c r="G24" i="59" s="1"/>
  <c r="P21" i="45" s="1"/>
  <c r="N22" i="59"/>
  <c r="G23" i="59"/>
  <c r="N23" i="59"/>
  <c r="K24" i="59"/>
  <c r="L24" i="59"/>
  <c r="N25" i="59"/>
  <c r="V25" i="59"/>
  <c r="V34" i="59"/>
  <c r="F11" i="45" s="1"/>
  <c r="N26" i="59"/>
  <c r="N27" i="59"/>
  <c r="F28" i="59"/>
  <c r="G28" i="59" s="1"/>
  <c r="G38" i="59" s="1"/>
  <c r="P24" i="45" s="1"/>
  <c r="K28" i="59"/>
  <c r="L28" i="59"/>
  <c r="D29" i="59"/>
  <c r="G29" i="59" s="1"/>
  <c r="F29" i="59"/>
  <c r="N29" i="59"/>
  <c r="F30" i="59"/>
  <c r="G30" i="59"/>
  <c r="N30" i="59"/>
  <c r="N31" i="59"/>
  <c r="G32" i="59"/>
  <c r="K32" i="59"/>
  <c r="L32" i="59"/>
  <c r="G33" i="59"/>
  <c r="G34" i="59"/>
  <c r="G35" i="59"/>
  <c r="G36" i="59"/>
  <c r="J36" i="59"/>
  <c r="M36" i="59"/>
  <c r="G37" i="59"/>
  <c r="J37" i="59"/>
  <c r="M37" i="59"/>
  <c r="J38" i="59"/>
  <c r="M38" i="59"/>
  <c r="F39" i="59"/>
  <c r="G39" i="59"/>
  <c r="V44" i="59"/>
  <c r="G40" i="59"/>
  <c r="G41" i="59"/>
  <c r="G42" i="59"/>
  <c r="M43" i="59"/>
  <c r="N43" i="59" s="1"/>
  <c r="N46" i="59"/>
  <c r="V45" i="59"/>
  <c r="G46" i="59"/>
  <c r="G47" i="59"/>
  <c r="M47" i="59"/>
  <c r="N47" i="59"/>
  <c r="N50" i="59" s="1"/>
  <c r="G48" i="59"/>
  <c r="V50" i="59"/>
  <c r="F50" i="59"/>
  <c r="G50" i="59" s="1"/>
  <c r="G53" i="59"/>
  <c r="P26" i="45" s="1"/>
  <c r="G51" i="59"/>
  <c r="M51" i="59"/>
  <c r="N51" i="59" s="1"/>
  <c r="V51" i="59"/>
  <c r="G52" i="59"/>
  <c r="M52" i="59"/>
  <c r="N52" i="59" s="1"/>
  <c r="M53" i="59"/>
  <c r="N53" i="59"/>
  <c r="D54" i="59"/>
  <c r="F54" i="59"/>
  <c r="G54" i="59"/>
  <c r="M54" i="59"/>
  <c r="N54" i="59"/>
  <c r="F55" i="59"/>
  <c r="G55" i="59"/>
  <c r="G56" i="59"/>
  <c r="G5" i="62"/>
  <c r="G6" i="62"/>
  <c r="N6" i="62"/>
  <c r="G8" i="62"/>
  <c r="G11" i="62" s="1"/>
  <c r="P18" i="47" s="1"/>
  <c r="N8" i="62"/>
  <c r="G9" i="62"/>
  <c r="N9" i="62"/>
  <c r="G10" i="62"/>
  <c r="N10" i="62"/>
  <c r="N11" i="62"/>
  <c r="F12" i="62"/>
  <c r="G12" i="62"/>
  <c r="G13" i="62"/>
  <c r="G14" i="62"/>
  <c r="N14" i="62"/>
  <c r="G15" i="62"/>
  <c r="N15" i="62"/>
  <c r="K16" i="62"/>
  <c r="G17" i="62"/>
  <c r="N17" i="62"/>
  <c r="G18" i="62"/>
  <c r="N18" i="62"/>
  <c r="G19" i="62"/>
  <c r="N19" i="62"/>
  <c r="G20" i="62"/>
  <c r="P20" i="47" s="1"/>
  <c r="K20" i="62"/>
  <c r="L20" i="62"/>
  <c r="N20" i="62"/>
  <c r="P33" i="47" s="1"/>
  <c r="D21" i="62"/>
  <c r="G21" i="62"/>
  <c r="G24" i="62" s="1"/>
  <c r="P21" i="47" s="1"/>
  <c r="F21" i="62"/>
  <c r="N21" i="62"/>
  <c r="V21" i="62"/>
  <c r="F10" i="47"/>
  <c r="H12" i="22" s="1"/>
  <c r="G22" i="62"/>
  <c r="N22" i="62"/>
  <c r="G23" i="62"/>
  <c r="N23" i="62"/>
  <c r="N24" i="62" s="1"/>
  <c r="P34" i="47" s="1"/>
  <c r="K24" i="62"/>
  <c r="L24" i="62"/>
  <c r="N25" i="62"/>
  <c r="V25" i="62"/>
  <c r="N26" i="62"/>
  <c r="N27" i="62"/>
  <c r="F28" i="62"/>
  <c r="G28" i="62" s="1"/>
  <c r="K28" i="62"/>
  <c r="L28" i="62"/>
  <c r="D29" i="62"/>
  <c r="G29" i="62" s="1"/>
  <c r="F29" i="62"/>
  <c r="N29" i="62"/>
  <c r="N32" i="62" s="1"/>
  <c r="N30" i="62"/>
  <c r="N31" i="62"/>
  <c r="P36" i="47"/>
  <c r="G32" i="62"/>
  <c r="K32" i="62"/>
  <c r="L32" i="62"/>
  <c r="G33" i="62"/>
  <c r="G34" i="62"/>
  <c r="V34" i="62"/>
  <c r="F11" i="47"/>
  <c r="H13" i="22"/>
  <c r="G35" i="62"/>
  <c r="G36" i="62"/>
  <c r="J36" i="62"/>
  <c r="M36" i="62"/>
  <c r="G37" i="62"/>
  <c r="J38" i="62"/>
  <c r="M38" i="62"/>
  <c r="D39" i="62"/>
  <c r="G39" i="62"/>
  <c r="F39" i="62"/>
  <c r="V44" i="62"/>
  <c r="D40" i="62"/>
  <c r="F40" i="62"/>
  <c r="G40" i="62" s="1"/>
  <c r="G41" i="62"/>
  <c r="G42" i="62"/>
  <c r="M43" i="62"/>
  <c r="N43" i="62" s="1"/>
  <c r="N46" i="62"/>
  <c r="V45" i="62"/>
  <c r="G46" i="62"/>
  <c r="G47" i="62"/>
  <c r="M47" i="62"/>
  <c r="N47" i="62" s="1"/>
  <c r="N50" i="62" s="1"/>
  <c r="G48" i="62"/>
  <c r="F50" i="62"/>
  <c r="G50" i="62"/>
  <c r="G53" i="62" s="1"/>
  <c r="V50" i="62"/>
  <c r="G51" i="62"/>
  <c r="M51" i="62"/>
  <c r="N51" i="62"/>
  <c r="V51" i="62"/>
  <c r="V56" i="62" s="1"/>
  <c r="G52" i="62"/>
  <c r="P26" i="47"/>
  <c r="G54" i="62"/>
  <c r="M54" i="62"/>
  <c r="N54" i="62" s="1"/>
  <c r="G56" i="62"/>
  <c r="G57" i="62" s="1"/>
  <c r="P27" i="47" s="1"/>
  <c r="N28" i="59"/>
  <c r="P35" i="45"/>
  <c r="N13" i="62"/>
  <c r="L16" i="62"/>
  <c r="F45" i="35"/>
  <c r="N7" i="62"/>
  <c r="N12" i="62" s="1"/>
  <c r="P30" i="47"/>
  <c r="L12" i="62"/>
  <c r="G24" i="36"/>
  <c r="P21" i="35" s="1"/>
  <c r="G11" i="36"/>
  <c r="P18" i="35" s="1"/>
  <c r="N6" i="45"/>
  <c r="N5" i="45"/>
  <c r="N28" i="62"/>
  <c r="P35" i="47" s="1"/>
  <c r="N16" i="59"/>
  <c r="P31" i="45" s="1"/>
  <c r="G7" i="36"/>
  <c r="P17" i="35" s="1"/>
  <c r="AQ10" i="28"/>
  <c r="AO34" i="28"/>
  <c r="F19" i="47" s="1"/>
  <c r="H21" i="22" s="1"/>
  <c r="I24" i="30"/>
  <c r="I44" i="23" s="1"/>
  <c r="I19" i="30"/>
  <c r="AP34" i="28"/>
  <c r="F20" i="47" s="1"/>
  <c r="H22" i="22" s="1"/>
  <c r="AQ34" i="28"/>
  <c r="L33" i="30"/>
  <c r="N33" i="30"/>
  <c r="I16" i="30"/>
  <c r="I5" i="30"/>
  <c r="G5" i="23"/>
  <c r="I5" i="23" s="1"/>
  <c r="P33" i="30"/>
  <c r="L33" i="63"/>
  <c r="N33" i="63" s="1"/>
  <c r="L16" i="30"/>
  <c r="N16" i="30" s="1"/>
  <c r="I20" i="23"/>
  <c r="N34" i="30"/>
  <c r="G32" i="23"/>
  <c r="I20" i="30"/>
  <c r="P27" i="30"/>
  <c r="I6" i="30"/>
  <c r="P24" i="63"/>
  <c r="N31" i="63"/>
  <c r="P31" i="63" s="1"/>
  <c r="P22" i="63"/>
  <c r="N34" i="63"/>
  <c r="P34" i="63"/>
  <c r="N17" i="63"/>
  <c r="N27" i="63"/>
  <c r="P27" i="63"/>
  <c r="I5" i="63"/>
  <c r="I16" i="63"/>
  <c r="L20" i="23"/>
  <c r="L21" i="23"/>
  <c r="N21" i="23" s="1"/>
  <c r="P16" i="30"/>
  <c r="K37" i="59"/>
  <c r="N37" i="59" s="1"/>
  <c r="P28" i="30"/>
  <c r="L20" i="30"/>
  <c r="P20" i="30" s="1"/>
  <c r="I32" i="23"/>
  <c r="L56" i="23"/>
  <c r="L16" i="63"/>
  <c r="L5" i="63"/>
  <c r="N5" i="63" s="1"/>
  <c r="P21" i="23"/>
  <c r="L32" i="23"/>
  <c r="L33" i="23"/>
  <c r="N20" i="23"/>
  <c r="N20" i="30"/>
  <c r="P5" i="63"/>
  <c r="N33" i="23"/>
  <c r="P33" i="23"/>
  <c r="L44" i="23"/>
  <c r="L46" i="23"/>
  <c r="N46" i="23" s="1"/>
  <c r="L45" i="23"/>
  <c r="L24" i="30"/>
  <c r="P24" i="30" s="1"/>
  <c r="N31" i="30"/>
  <c r="P31" i="30" s="1"/>
  <c r="N24" i="30"/>
  <c r="N45" i="23"/>
  <c r="P45" i="23"/>
  <c r="F21" i="35"/>
  <c r="F21" i="47"/>
  <c r="H23" i="22" s="1"/>
  <c r="N21" i="63"/>
  <c r="P21" i="63"/>
  <c r="L35" i="23"/>
  <c r="L21" i="30"/>
  <c r="N21" i="30"/>
  <c r="P21" i="30"/>
  <c r="N35" i="23"/>
  <c r="P36" i="30"/>
  <c r="I53" i="23"/>
  <c r="L53" i="23" s="1"/>
  <c r="N53" i="23" s="1"/>
  <c r="N56" i="62"/>
  <c r="N56" i="36"/>
  <c r="F45" i="47" l="1"/>
  <c r="P15" i="47"/>
  <c r="F12" i="22"/>
  <c r="R11" i="47"/>
  <c r="F4" i="47" s="1"/>
  <c r="H5" i="22" s="1"/>
  <c r="H7" i="22" s="1"/>
  <c r="G57" i="59"/>
  <c r="P27" i="45" s="1"/>
  <c r="R11" i="35"/>
  <c r="Q11" i="35" s="1"/>
  <c r="F4" i="35"/>
  <c r="G26" i="22"/>
  <c r="F26" i="22" s="1"/>
  <c r="G23" i="22"/>
  <c r="F23" i="22" s="1"/>
  <c r="G13" i="22"/>
  <c r="F13" i="22" s="1"/>
  <c r="G25" i="22"/>
  <c r="F25" i="22" s="1"/>
  <c r="G22" i="22"/>
  <c r="F22" i="22" s="1"/>
  <c r="G24" i="22"/>
  <c r="F24" i="22" s="1"/>
  <c r="G44" i="22"/>
  <c r="G21" i="22"/>
  <c r="F21" i="22" s="1"/>
  <c r="F8" i="22"/>
  <c r="G30" i="22"/>
  <c r="K38" i="59"/>
  <c r="L7" i="30"/>
  <c r="G15" i="30"/>
  <c r="K38" i="36"/>
  <c r="N38" i="36" s="1"/>
  <c r="N38" i="62"/>
  <c r="G11" i="23"/>
  <c r="P16" i="63"/>
  <c r="N16" i="63"/>
  <c r="N32" i="59"/>
  <c r="P36" i="45" s="1"/>
  <c r="P23" i="30"/>
  <c r="N23" i="30"/>
  <c r="L6" i="23"/>
  <c r="F29" i="45"/>
  <c r="G32" i="22" s="1"/>
  <c r="F32" i="22" s="1"/>
  <c r="F27" i="45"/>
  <c r="G38" i="62"/>
  <c r="P24" i="47" s="1"/>
  <c r="H8" i="22"/>
  <c r="H14" i="22"/>
  <c r="F14" i="22" s="1"/>
  <c r="G50" i="30"/>
  <c r="P35" i="23"/>
  <c r="L15" i="63"/>
  <c r="P33" i="63"/>
  <c r="V57" i="62"/>
  <c r="F35" i="47" s="1"/>
  <c r="H38" i="22" s="1"/>
  <c r="N56" i="59"/>
  <c r="AM33" i="28"/>
  <c r="AM34" i="28"/>
  <c r="N36" i="63"/>
  <c r="P36" i="63" s="1"/>
  <c r="P53" i="23"/>
  <c r="K37" i="36"/>
  <c r="N37" i="36" s="1"/>
  <c r="I15" i="30"/>
  <c r="L6" i="30"/>
  <c r="Q11" i="47"/>
  <c r="L50" i="23"/>
  <c r="L26" i="23"/>
  <c r="L27" i="23"/>
  <c r="L6" i="63"/>
  <c r="I15" i="63"/>
  <c r="N56" i="23"/>
  <c r="P56" i="23" s="1"/>
  <c r="P32" i="45"/>
  <c r="J5" i="30"/>
  <c r="J16" i="30"/>
  <c r="J7" i="30"/>
  <c r="L54" i="23"/>
  <c r="N44" i="23"/>
  <c r="N32" i="23"/>
  <c r="P32" i="23" s="1"/>
  <c r="L5" i="23"/>
  <c r="I29" i="23"/>
  <c r="L19" i="30"/>
  <c r="D34" i="28"/>
  <c r="G38" i="23"/>
  <c r="I22" i="30"/>
  <c r="L8" i="23"/>
  <c r="I41" i="23"/>
  <c r="N20" i="63"/>
  <c r="P20" i="63" s="1"/>
  <c r="N26" i="63"/>
  <c r="P26" i="63" s="1"/>
  <c r="I50" i="63"/>
  <c r="P17" i="63"/>
  <c r="P23" i="63"/>
  <c r="N38" i="59"/>
  <c r="L5" i="30"/>
  <c r="K36" i="36"/>
  <c r="N36" i="36" s="1"/>
  <c r="K36" i="62"/>
  <c r="N36" i="62" s="1"/>
  <c r="K36" i="59"/>
  <c r="N36" i="59" s="1"/>
  <c r="N42" i="59" s="1"/>
  <c r="N57" i="59" s="1"/>
  <c r="F37" i="45" s="1"/>
  <c r="G49" i="62"/>
  <c r="P25" i="47" s="1"/>
  <c r="G16" i="62"/>
  <c r="P19" i="47" s="1"/>
  <c r="G49" i="59"/>
  <c r="P25" i="45" s="1"/>
  <c r="G34" i="28"/>
  <c r="J34" i="27"/>
  <c r="P34" i="30"/>
  <c r="N29" i="30"/>
  <c r="P29" i="30" s="1"/>
  <c r="I26" i="30"/>
  <c r="L26" i="30" s="1"/>
  <c r="G47" i="23"/>
  <c r="I47" i="23" s="1"/>
  <c r="G23" i="23"/>
  <c r="G68" i="23" s="1"/>
  <c r="I17" i="30"/>
  <c r="L29" i="63"/>
  <c r="G56" i="23"/>
  <c r="P20" i="23"/>
  <c r="R11" i="45"/>
  <c r="G7" i="62"/>
  <c r="P17" i="47" s="1"/>
  <c r="P22" i="47" s="1"/>
  <c r="F7" i="47" s="1"/>
  <c r="H9" i="22" s="1"/>
  <c r="V56" i="59"/>
  <c r="G20" i="59"/>
  <c r="P20" i="45" s="1"/>
  <c r="P22" i="45" s="1"/>
  <c r="F7" i="45" s="1"/>
  <c r="G49" i="36"/>
  <c r="P25" i="35" s="1"/>
  <c r="Y34" i="27"/>
  <c r="AQ34" i="27"/>
  <c r="AM34" i="27"/>
  <c r="P55" i="30"/>
  <c r="L18" i="30"/>
  <c r="L18" i="63"/>
  <c r="N16" i="62"/>
  <c r="P31" i="47" s="1"/>
  <c r="G54" i="36"/>
  <c r="G57" i="36" s="1"/>
  <c r="P27" i="35" s="1"/>
  <c r="N28" i="36"/>
  <c r="P35" i="35" s="1"/>
  <c r="Y34" i="28"/>
  <c r="J34" i="28"/>
  <c r="D34" i="27"/>
  <c r="AM33" i="27"/>
  <c r="L35" i="30"/>
  <c r="L35" i="63"/>
  <c r="V57" i="59"/>
  <c r="N20" i="59"/>
  <c r="P33" i="45" s="1"/>
  <c r="P37" i="45" s="1"/>
  <c r="F9" i="45" s="1"/>
  <c r="G53" i="36"/>
  <c r="P26" i="35" s="1"/>
  <c r="G20" i="36"/>
  <c r="P20" i="35" s="1"/>
  <c r="P22" i="35" s="1"/>
  <c r="F7" i="35" s="1"/>
  <c r="L12" i="36"/>
  <c r="N7" i="36"/>
  <c r="N12" i="36" s="1"/>
  <c r="P30" i="35" s="1"/>
  <c r="G15" i="63"/>
  <c r="G56" i="63" s="1"/>
  <c r="L7" i="63"/>
  <c r="L19" i="63"/>
  <c r="L28" i="63"/>
  <c r="L57" i="23"/>
  <c r="P28" i="45" l="1"/>
  <c r="F8" i="45" s="1"/>
  <c r="F38" i="22"/>
  <c r="F35" i="45"/>
  <c r="P28" i="35"/>
  <c r="F8" i="35" s="1"/>
  <c r="G10" i="22" s="1"/>
  <c r="F44" i="22"/>
  <c r="G49" i="22"/>
  <c r="F49" i="22" s="1"/>
  <c r="G9" i="22"/>
  <c r="F30" i="22"/>
  <c r="N42" i="62"/>
  <c r="N57" i="62" s="1"/>
  <c r="F37" i="47" s="1"/>
  <c r="N7" i="30"/>
  <c r="P7" i="30" s="1"/>
  <c r="N42" i="36"/>
  <c r="N57" i="36" s="1"/>
  <c r="F37" i="35" s="1"/>
  <c r="I11" i="23"/>
  <c r="G17" i="23"/>
  <c r="G78" i="23" s="1"/>
  <c r="G56" i="30"/>
  <c r="H40" i="22"/>
  <c r="H42" i="22" s="1"/>
  <c r="F39" i="47"/>
  <c r="N19" i="63"/>
  <c r="P19" i="63" s="1"/>
  <c r="N35" i="63"/>
  <c r="P35" i="63" s="1"/>
  <c r="F17" i="47"/>
  <c r="H19" i="22" s="1"/>
  <c r="F17" i="35"/>
  <c r="F17" i="45"/>
  <c r="N19" i="30"/>
  <c r="P19" i="30"/>
  <c r="N6" i="30"/>
  <c r="P6" i="30" s="1"/>
  <c r="H15" i="22"/>
  <c r="F15" i="22" s="1"/>
  <c r="N28" i="63"/>
  <c r="P28" i="63"/>
  <c r="P32" i="35"/>
  <c r="P37" i="35" s="1"/>
  <c r="F9" i="35" s="1"/>
  <c r="G11" i="22" s="1"/>
  <c r="N35" i="30"/>
  <c r="P35" i="30"/>
  <c r="P32" i="47"/>
  <c r="P37" i="47"/>
  <c r="F9" i="47" s="1"/>
  <c r="H11" i="22" s="1"/>
  <c r="F4" i="45"/>
  <c r="G5" i="22" s="1"/>
  <c r="F5" i="22" s="1"/>
  <c r="F7" i="22" s="1"/>
  <c r="Q11" i="45"/>
  <c r="L48" i="23"/>
  <c r="L47" i="23"/>
  <c r="P5" i="30"/>
  <c r="L15" i="30"/>
  <c r="N5" i="30"/>
  <c r="N8" i="23"/>
  <c r="P8" i="23" s="1"/>
  <c r="L29" i="23"/>
  <c r="L30" i="23"/>
  <c r="P27" i="23"/>
  <c r="N27" i="23"/>
  <c r="I56" i="30"/>
  <c r="N6" i="23"/>
  <c r="P6" i="23"/>
  <c r="P18" i="63"/>
  <c r="N18" i="63"/>
  <c r="N29" i="63"/>
  <c r="P29" i="63"/>
  <c r="N26" i="30"/>
  <c r="P26" i="30" s="1"/>
  <c r="N5" i="23"/>
  <c r="P5" i="23"/>
  <c r="N54" i="23"/>
  <c r="P54" i="23" s="1"/>
  <c r="I56" i="63"/>
  <c r="N26" i="23"/>
  <c r="P26" i="23"/>
  <c r="P28" i="47"/>
  <c r="F8" i="47" s="1"/>
  <c r="L50" i="63"/>
  <c r="N7" i="63"/>
  <c r="P7" i="63"/>
  <c r="N18" i="30"/>
  <c r="P18" i="30"/>
  <c r="L17" i="30"/>
  <c r="I23" i="23"/>
  <c r="I50" i="30"/>
  <c r="L42" i="23"/>
  <c r="L43" i="23"/>
  <c r="N43" i="23" s="1"/>
  <c r="L41" i="23"/>
  <c r="I38" i="23"/>
  <c r="L22" i="30"/>
  <c r="N6" i="63"/>
  <c r="P6" i="63"/>
  <c r="P15" i="63" s="1"/>
  <c r="N50" i="23"/>
  <c r="P50" i="23"/>
  <c r="F39" i="45"/>
  <c r="N57" i="23"/>
  <c r="P57" i="23" s="1"/>
  <c r="F11" i="22" l="1"/>
  <c r="F10" i="22"/>
  <c r="G40" i="22"/>
  <c r="F40" i="22" s="1"/>
  <c r="F39" i="35"/>
  <c r="G7" i="22"/>
  <c r="G19" i="22"/>
  <c r="F19" i="22" s="1"/>
  <c r="F9" i="22"/>
  <c r="P15" i="30"/>
  <c r="F15" i="45" s="1"/>
  <c r="L11" i="23"/>
  <c r="L12" i="23"/>
  <c r="I17" i="23"/>
  <c r="P50" i="63"/>
  <c r="H17" i="22"/>
  <c r="N22" i="30"/>
  <c r="P22" i="30" s="1"/>
  <c r="N42" i="23"/>
  <c r="P42" i="23" s="1"/>
  <c r="L56" i="63"/>
  <c r="L40" i="23"/>
  <c r="N40" i="23" s="1"/>
  <c r="L39" i="23"/>
  <c r="L38" i="23"/>
  <c r="N30" i="23"/>
  <c r="P30" i="23" s="1"/>
  <c r="N47" i="23"/>
  <c r="P47" i="23"/>
  <c r="N41" i="23"/>
  <c r="P41" i="23" s="1"/>
  <c r="L25" i="23"/>
  <c r="N25" i="23" s="1"/>
  <c r="L24" i="23"/>
  <c r="L23" i="23"/>
  <c r="I68" i="23"/>
  <c r="I78" i="23" s="1"/>
  <c r="N17" i="30"/>
  <c r="L50" i="30"/>
  <c r="P17" i="30"/>
  <c r="H10" i="22"/>
  <c r="N29" i="23"/>
  <c r="P29" i="23" s="1"/>
  <c r="L56" i="30"/>
  <c r="N48" i="23"/>
  <c r="P48" i="23"/>
  <c r="G42" i="22" l="1"/>
  <c r="F42" i="22" s="1"/>
  <c r="F15" i="35"/>
  <c r="G17" i="22" s="1"/>
  <c r="F17" i="22" s="1"/>
  <c r="N12" i="23"/>
  <c r="P12" i="23" s="1"/>
  <c r="P18" i="23" s="1"/>
  <c r="L18" i="23"/>
  <c r="N11" i="23"/>
  <c r="P11" i="23" s="1"/>
  <c r="P17" i="23" s="1"/>
  <c r="L17" i="23"/>
  <c r="P50" i="30"/>
  <c r="N24" i="23"/>
  <c r="P24" i="23" s="1"/>
  <c r="P69" i="23" s="1"/>
  <c r="F16" i="47" s="1"/>
  <c r="H18" i="22" s="1"/>
  <c r="L69" i="23"/>
  <c r="P38" i="23"/>
  <c r="N38" i="23"/>
  <c r="N39" i="23"/>
  <c r="P39" i="23"/>
  <c r="P56" i="63"/>
  <c r="N23" i="23"/>
  <c r="P23" i="23" s="1"/>
  <c r="P68" i="23" s="1"/>
  <c r="L68" i="23"/>
  <c r="F16" i="45" l="1"/>
  <c r="G18" i="22" s="1"/>
  <c r="F18" i="22" s="1"/>
  <c r="F16" i="35"/>
  <c r="P78" i="23"/>
  <c r="L79" i="23"/>
  <c r="F14" i="47"/>
  <c r="G16" i="22"/>
  <c r="F25" i="35"/>
  <c r="L78" i="23"/>
  <c r="P79" i="23"/>
  <c r="P56" i="30"/>
  <c r="H16" i="22" l="1"/>
  <c r="F25" i="47"/>
  <c r="H27" i="22" s="1"/>
  <c r="F26" i="35"/>
  <c r="F25" i="45"/>
  <c r="G27" i="22" s="1"/>
  <c r="F26" i="47" l="1"/>
  <c r="H28" i="22"/>
  <c r="H29" i="22" s="1"/>
  <c r="H43" i="22" s="1"/>
  <c r="H50" i="22" s="1"/>
  <c r="F16" i="22"/>
  <c r="F27" i="22"/>
  <c r="G28" i="22"/>
  <c r="G29" i="22" s="1"/>
  <c r="G43" i="22" s="1"/>
  <c r="F26" i="45"/>
  <c r="F28" i="22" l="1"/>
  <c r="F29" i="22" s="1"/>
  <c r="G50" i="22"/>
  <c r="F50" i="22" s="1"/>
  <c r="F43" i="22"/>
</calcChain>
</file>

<file path=xl/comments1.xml><?xml version="1.0" encoding="utf-8"?>
<comments xmlns="http://schemas.openxmlformats.org/spreadsheetml/2006/main">
  <authors>
    <author>広島県</author>
  </authors>
  <commentList>
    <comment ref="C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ブロードキャスターもいりますか？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C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ブロードキャスターもいりますか？</t>
        </r>
      </text>
    </comment>
  </commentList>
</comments>
</file>

<file path=xl/sharedStrings.xml><?xml version="1.0" encoding="utf-8"?>
<sst xmlns="http://schemas.openxmlformats.org/spreadsheetml/2006/main" count="1574" uniqueCount="538">
  <si>
    <t>交際費等 雑費</t>
    <rPh sb="0" eb="3">
      <t>コウサイヒ</t>
    </rPh>
    <rPh sb="3" eb="4">
      <t>トウ</t>
    </rPh>
    <rPh sb="5" eb="7">
      <t>ザッピ</t>
    </rPh>
    <phoneticPr fontId="5"/>
  </si>
  <si>
    <t>雑損失</t>
    <rPh sb="0" eb="2">
      <t>ザッソン</t>
    </rPh>
    <rPh sb="2" eb="3">
      <t>シツ</t>
    </rPh>
    <phoneticPr fontId="5"/>
  </si>
  <si>
    <t>固定資産税</t>
    <rPh sb="0" eb="2">
      <t>コテイ</t>
    </rPh>
    <rPh sb="2" eb="5">
      <t>シサンゼイ</t>
    </rPh>
    <phoneticPr fontId="7"/>
  </si>
  <si>
    <t>出荷資材費</t>
    <rPh sb="0" eb="2">
      <t>シュッカ</t>
    </rPh>
    <rPh sb="2" eb="5">
      <t>シザイヒ</t>
    </rPh>
    <phoneticPr fontId="5"/>
  </si>
  <si>
    <t>運賃</t>
    <rPh sb="0" eb="2">
      <t>ウンチン</t>
    </rPh>
    <phoneticPr fontId="5"/>
  </si>
  <si>
    <t>内容</t>
    <rPh sb="0" eb="2">
      <t>ナイヨウ</t>
    </rPh>
    <phoneticPr fontId="7"/>
  </si>
  <si>
    <t>小農具費</t>
    <rPh sb="0" eb="1">
      <t>ショウ</t>
    </rPh>
    <rPh sb="1" eb="3">
      <t>ノウグ</t>
    </rPh>
    <rPh sb="3" eb="4">
      <t>ヒ</t>
    </rPh>
    <phoneticPr fontId="5"/>
  </si>
  <si>
    <t>賃料料金</t>
    <rPh sb="0" eb="2">
      <t>チンリョウ</t>
    </rPh>
    <rPh sb="2" eb="4">
      <t>リョウキン</t>
    </rPh>
    <phoneticPr fontId="5"/>
  </si>
  <si>
    <t>販売手数料</t>
    <rPh sb="0" eb="2">
      <t>ハンバイ</t>
    </rPh>
    <rPh sb="2" eb="5">
      <t>テスウリョウ</t>
    </rPh>
    <phoneticPr fontId="5"/>
  </si>
  <si>
    <t>（単位）</t>
    <rPh sb="1" eb="3">
      <t>タンイ</t>
    </rPh>
    <phoneticPr fontId="5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</si>
  <si>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</si>
  <si>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</si>
  <si>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</si>
  <si>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</si>
  <si>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</si>
  <si>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</si>
  <si>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</si>
  <si>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</si>
  <si>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</si>
  <si>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</si>
  <si>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</si>
  <si>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</si>
  <si>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</si>
  <si>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</si>
  <si>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</si>
  <si>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5"/>
  </si>
  <si>
    <t>数　　量</t>
  </si>
  <si>
    <t>金　額</t>
  </si>
  <si>
    <t>備　考</t>
  </si>
  <si>
    <t>　計</t>
  </si>
  <si>
    <t>殺菌剤</t>
    <rPh sb="0" eb="3">
      <t>サッキンザイ</t>
    </rPh>
    <phoneticPr fontId="5"/>
  </si>
  <si>
    <t>殺虫剤</t>
    <rPh sb="0" eb="2">
      <t>サッチュウ</t>
    </rPh>
    <rPh sb="2" eb="3">
      <t>ザイ</t>
    </rPh>
    <phoneticPr fontId="5"/>
  </si>
  <si>
    <t>除草剤</t>
    <rPh sb="0" eb="3">
      <t>ジョソウザイ</t>
    </rPh>
    <phoneticPr fontId="5"/>
  </si>
  <si>
    <t>燃料費の</t>
    <phoneticPr fontId="5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</si>
  <si>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</si>
  <si>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</si>
  <si>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</si>
  <si>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</si>
  <si>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</si>
  <si>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</si>
  <si>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</si>
  <si>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</si>
  <si>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</si>
  <si>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</si>
  <si>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</si>
  <si>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</si>
  <si>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</si>
  <si>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</si>
  <si>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5"/>
  </si>
  <si>
    <t>軽油</t>
    <phoneticPr fontId="5"/>
  </si>
  <si>
    <t>潤滑油</t>
    <phoneticPr fontId="5"/>
  </si>
  <si>
    <t>混合</t>
    <phoneticPr fontId="5"/>
  </si>
  <si>
    <t>灯油</t>
    <phoneticPr fontId="5"/>
  </si>
  <si>
    <t>電気</t>
    <phoneticPr fontId="5"/>
  </si>
  <si>
    <t>トラクター</t>
  </si>
  <si>
    <t>ドライブハロー</t>
  </si>
  <si>
    <t>コンバイン</t>
  </si>
  <si>
    <t>品種</t>
    <rPh sb="0" eb="2">
      <t>ヒンシュ</t>
    </rPh>
    <phoneticPr fontId="5"/>
  </si>
  <si>
    <t>売上高</t>
    <rPh sb="0" eb="2">
      <t>ウリアゲ</t>
    </rPh>
    <rPh sb="2" eb="3">
      <t>ダカ</t>
    </rPh>
    <phoneticPr fontId="5"/>
  </si>
  <si>
    <t>種苗費</t>
    <rPh sb="0" eb="2">
      <t>シュビョウ</t>
    </rPh>
    <rPh sb="2" eb="3">
      <t>ヒ</t>
    </rPh>
    <phoneticPr fontId="5"/>
  </si>
  <si>
    <t>肥料費</t>
    <rPh sb="0" eb="3">
      <t>ヒリョウヒ</t>
    </rPh>
    <phoneticPr fontId="5"/>
  </si>
  <si>
    <t>農薬費</t>
    <rPh sb="0" eb="2">
      <t>ノウヤク</t>
    </rPh>
    <rPh sb="2" eb="3">
      <t>ヒ</t>
    </rPh>
    <phoneticPr fontId="5"/>
  </si>
  <si>
    <t>諸材料費</t>
    <rPh sb="0" eb="1">
      <t>ショ</t>
    </rPh>
    <rPh sb="1" eb="4">
      <t>ザイリョウヒ</t>
    </rPh>
    <phoneticPr fontId="5"/>
  </si>
  <si>
    <t>修繕費</t>
    <rPh sb="0" eb="2">
      <t>シュウゼン</t>
    </rPh>
    <rPh sb="2" eb="3">
      <t>ヒ</t>
    </rPh>
    <phoneticPr fontId="5"/>
  </si>
  <si>
    <t>大動植物</t>
    <rPh sb="0" eb="1">
      <t>ダイ</t>
    </rPh>
    <rPh sb="1" eb="2">
      <t>ドウ</t>
    </rPh>
    <rPh sb="2" eb="4">
      <t>ショクブツ</t>
    </rPh>
    <phoneticPr fontId="5"/>
  </si>
  <si>
    <t>管理
委託料</t>
    <rPh sb="0" eb="2">
      <t>カンリ</t>
    </rPh>
    <rPh sb="3" eb="6">
      <t>イタクリョウ</t>
    </rPh>
    <phoneticPr fontId="5"/>
  </si>
  <si>
    <t>水管理</t>
    <rPh sb="0" eb="1">
      <t>ミズ</t>
    </rPh>
    <rPh sb="1" eb="3">
      <t>カンリ</t>
    </rPh>
    <phoneticPr fontId="5"/>
  </si>
  <si>
    <t>支払地代</t>
    <rPh sb="0" eb="2">
      <t>シハラ</t>
    </rPh>
    <rPh sb="2" eb="4">
      <t>チダイ</t>
    </rPh>
    <phoneticPr fontId="5"/>
  </si>
  <si>
    <t>販売費</t>
    <rPh sb="0" eb="3">
      <t>ハンバイヒ</t>
    </rPh>
    <phoneticPr fontId="5"/>
  </si>
  <si>
    <t>役員報酬</t>
    <rPh sb="0" eb="2">
      <t>ヤクイン</t>
    </rPh>
    <rPh sb="2" eb="4">
      <t>ホウシュウ</t>
    </rPh>
    <phoneticPr fontId="5"/>
  </si>
  <si>
    <t>会議費・旅費・研修費</t>
    <rPh sb="0" eb="3">
      <t>カイギヒ</t>
    </rPh>
    <rPh sb="4" eb="6">
      <t>リョヒ</t>
    </rPh>
    <rPh sb="7" eb="10">
      <t>ケンシュウヒ</t>
    </rPh>
    <phoneticPr fontId="5"/>
  </si>
  <si>
    <t>租税公課</t>
    <rPh sb="0" eb="2">
      <t>ソゼイ</t>
    </rPh>
    <rPh sb="2" eb="4">
      <t>コウカ</t>
    </rPh>
    <phoneticPr fontId="5"/>
  </si>
  <si>
    <t>雑収入</t>
    <rPh sb="0" eb="3">
      <t>ザッシュウニュウ</t>
    </rPh>
    <phoneticPr fontId="5"/>
  </si>
  <si>
    <t>営業外
収益</t>
    <rPh sb="0" eb="3">
      <t>エイギョウガイ</t>
    </rPh>
    <rPh sb="4" eb="6">
      <t>シュウエキ</t>
    </rPh>
    <phoneticPr fontId="5"/>
  </si>
  <si>
    <t>経営類型</t>
    <rPh sb="0" eb="2">
      <t>ケイエイ</t>
    </rPh>
    <rPh sb="2" eb="4">
      <t>ルイケイ</t>
    </rPh>
    <phoneticPr fontId="5"/>
  </si>
  <si>
    <t>作型</t>
    <rPh sb="0" eb="2">
      <t>サクガタ</t>
    </rPh>
    <phoneticPr fontId="5"/>
  </si>
  <si>
    <t>対象地域</t>
    <rPh sb="0" eb="2">
      <t>タイショウ</t>
    </rPh>
    <rPh sb="2" eb="4">
      <t>チイキ</t>
    </rPh>
    <phoneticPr fontId="5"/>
  </si>
  <si>
    <t>作　   物　   別　   作  　付   　規　   模</t>
    <phoneticPr fontId="5"/>
  </si>
  <si>
    <t>経　営　耕　地　面　積</t>
    <phoneticPr fontId="5"/>
  </si>
  <si>
    <t>対 象 作 目</t>
    <phoneticPr fontId="5"/>
  </si>
  <si>
    <t>面    積</t>
    <phoneticPr fontId="5"/>
  </si>
  <si>
    <t>そ の 他 の 作 物</t>
    <phoneticPr fontId="5"/>
  </si>
  <si>
    <t>面   積</t>
    <phoneticPr fontId="5"/>
  </si>
  <si>
    <t>田</t>
    <phoneticPr fontId="5"/>
  </si>
  <si>
    <t>畑</t>
    <phoneticPr fontId="5"/>
  </si>
  <si>
    <t>樹園地</t>
    <phoneticPr fontId="5"/>
  </si>
  <si>
    <t>草  地</t>
    <phoneticPr fontId="5"/>
  </si>
  <si>
    <t>（うち施設）</t>
    <phoneticPr fontId="5"/>
  </si>
  <si>
    <t>凡例</t>
    <phoneticPr fontId="5"/>
  </si>
  <si>
    <t>区分</t>
    <rPh sb="0" eb="2">
      <t>クブン</t>
    </rPh>
    <phoneticPr fontId="5"/>
  </si>
  <si>
    <t>営業損益</t>
    <rPh sb="0" eb="2">
      <t>エイギョウ</t>
    </rPh>
    <rPh sb="2" eb="4">
      <t>ソンエキ</t>
    </rPh>
    <phoneticPr fontId="5"/>
  </si>
  <si>
    <t>作業受託収入</t>
    <rPh sb="0" eb="2">
      <t>サギョウ</t>
    </rPh>
    <rPh sb="2" eb="4">
      <t>ジュタク</t>
    </rPh>
    <rPh sb="4" eb="6">
      <t>シュウニュウ</t>
    </rPh>
    <phoneticPr fontId="5"/>
  </si>
  <si>
    <t>動力光熱費</t>
    <rPh sb="0" eb="2">
      <t>ドウリョク</t>
    </rPh>
    <rPh sb="2" eb="5">
      <t>コウネツヒ</t>
    </rPh>
    <phoneticPr fontId="5"/>
  </si>
  <si>
    <t>減価
償却費</t>
    <rPh sb="0" eb="2">
      <t>ゲンカ</t>
    </rPh>
    <rPh sb="3" eb="5">
      <t>ショウキャク</t>
    </rPh>
    <rPh sb="5" eb="6">
      <t>ヒ</t>
    </rPh>
    <phoneticPr fontId="5"/>
  </si>
  <si>
    <t>畦畔管理</t>
    <rPh sb="0" eb="1">
      <t>ケイ</t>
    </rPh>
    <rPh sb="1" eb="2">
      <t>ハン</t>
    </rPh>
    <rPh sb="2" eb="4">
      <t>カンリ</t>
    </rPh>
    <phoneticPr fontId="5"/>
  </si>
  <si>
    <t>事務通信費</t>
    <rPh sb="0" eb="2">
      <t>ジム</t>
    </rPh>
    <rPh sb="2" eb="5">
      <t>ツウシンヒ</t>
    </rPh>
    <phoneticPr fontId="5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</si>
  <si>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5"/>
  </si>
  <si>
    <t>営業外損益</t>
    <rPh sb="0" eb="3">
      <t>エイギョウガイ</t>
    </rPh>
    <rPh sb="3" eb="5">
      <t>ソンエキ</t>
    </rPh>
    <phoneticPr fontId="5"/>
  </si>
  <si>
    <t>営業外損益　計</t>
    <rPh sb="0" eb="3">
      <t>エイギョウガイ</t>
    </rPh>
    <rPh sb="3" eb="5">
      <t>ソンエキ</t>
    </rPh>
    <rPh sb="6" eb="7">
      <t>ケイ</t>
    </rPh>
    <phoneticPr fontId="5"/>
  </si>
  <si>
    <t>負担根拠</t>
    <rPh sb="0" eb="2">
      <t>フタン</t>
    </rPh>
    <rPh sb="2" eb="4">
      <t>コンキョ</t>
    </rPh>
    <phoneticPr fontId="5"/>
  </si>
  <si>
    <t>本作目
負担割合</t>
    <phoneticPr fontId="5"/>
  </si>
  <si>
    <t>（数値）</t>
    <rPh sb="1" eb="3">
      <t>スウチ</t>
    </rPh>
    <phoneticPr fontId="5"/>
  </si>
  <si>
    <t>　　合　　計</t>
    <phoneticPr fontId="5"/>
  </si>
  <si>
    <t>台</t>
    <rPh sb="0" eb="1">
      <t>ダイ</t>
    </rPh>
    <phoneticPr fontId="5"/>
  </si>
  <si>
    <t>鉄骨　スレート</t>
    <rPh sb="0" eb="2">
      <t>テッコツ</t>
    </rPh>
    <phoneticPr fontId="5"/>
  </si>
  <si>
    <t>㎡</t>
    <phoneticPr fontId="5"/>
  </si>
  <si>
    <t>○：播種　△：仮植　×：定植</t>
    <phoneticPr fontId="5"/>
  </si>
  <si>
    <t>４　経営収支</t>
    <rPh sb="2" eb="4">
      <t>ケイエイ</t>
    </rPh>
    <rPh sb="4" eb="6">
      <t>シュウシ</t>
    </rPh>
    <phoneticPr fontId="5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</si>
  <si>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5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</si>
  <si>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5"/>
  </si>
  <si>
    <t>栽培様式</t>
    <rPh sb="0" eb="2">
      <t>サイバイ</t>
    </rPh>
    <rPh sb="2" eb="4">
      <t>ヨウシキ</t>
    </rPh>
    <phoneticPr fontId="5"/>
  </si>
  <si>
    <t>技術内容</t>
    <rPh sb="0" eb="2">
      <t>ギジュツ</t>
    </rPh>
    <rPh sb="2" eb="4">
      <t>ナイヨウ</t>
    </rPh>
    <phoneticPr fontId="5"/>
  </si>
  <si>
    <t>作業時期</t>
    <rPh sb="0" eb="2">
      <t>サギョウ</t>
    </rPh>
    <rPh sb="2" eb="4">
      <t>ジキ</t>
    </rPh>
    <phoneticPr fontId="5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</si>
  <si>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5"/>
  </si>
  <si>
    <t>組作業人員(人）</t>
    <rPh sb="0" eb="1">
      <t>クミ</t>
    </rPh>
    <rPh sb="1" eb="3">
      <t>サギョウ</t>
    </rPh>
    <rPh sb="3" eb="5">
      <t>ジンイン</t>
    </rPh>
    <phoneticPr fontId="5"/>
  </si>
  <si>
    <t>使用施設・機械</t>
    <rPh sb="0" eb="2">
      <t>シヨウ</t>
    </rPh>
    <rPh sb="2" eb="4">
      <t>シセツ</t>
    </rPh>
    <rPh sb="5" eb="7">
      <t>キカイ</t>
    </rPh>
    <phoneticPr fontId="5"/>
  </si>
  <si>
    <t>作業・項目</t>
    <rPh sb="0" eb="2">
      <t>サギョウ</t>
    </rPh>
    <rPh sb="3" eb="5">
      <t>コウモク</t>
    </rPh>
    <phoneticPr fontId="5"/>
  </si>
  <si>
    <t>土地利用体系</t>
    <rPh sb="0" eb="2">
      <t>トチ</t>
    </rPh>
    <rPh sb="2" eb="4">
      <t>リヨウ</t>
    </rPh>
    <rPh sb="4" eb="6">
      <t>タイケイ</t>
    </rPh>
    <phoneticPr fontId="5"/>
  </si>
  <si>
    <t>面　積</t>
    <phoneticPr fontId="4"/>
  </si>
  <si>
    <t>１　対象経営の概要</t>
    <phoneticPr fontId="4"/>
  </si>
  <si>
    <t>保有労働力</t>
    <phoneticPr fontId="5"/>
  </si>
  <si>
    <t>作     　目</t>
    <phoneticPr fontId="4"/>
  </si>
  <si>
    <t>収穫 ：</t>
    <phoneticPr fontId="5"/>
  </si>
  <si>
    <t>２　前提条件</t>
    <phoneticPr fontId="5"/>
  </si>
  <si>
    <t>オペレーター賃金</t>
    <rPh sb="6" eb="8">
      <t>チンギン</t>
    </rPh>
    <phoneticPr fontId="5"/>
  </si>
  <si>
    <t>補助労務賃金</t>
    <rPh sb="0" eb="2">
      <t>ホジョ</t>
    </rPh>
    <rPh sb="2" eb="4">
      <t>ロウム</t>
    </rPh>
    <rPh sb="4" eb="6">
      <t>チンギン</t>
    </rPh>
    <phoneticPr fontId="5"/>
  </si>
  <si>
    <t>法定福利費　等</t>
  </si>
  <si>
    <t>法定福利費　等</t>
    <phoneticPr fontId="5"/>
  </si>
  <si>
    <t>給料手当</t>
    <rPh sb="0" eb="2">
      <t>キュウリョウ</t>
    </rPh>
    <rPh sb="2" eb="4">
      <t>テアテ</t>
    </rPh>
    <phoneticPr fontId="5"/>
  </si>
  <si>
    <t>価格補てん金</t>
    <rPh sb="0" eb="2">
      <t>カカク</t>
    </rPh>
    <rPh sb="2" eb="3">
      <t>ホ</t>
    </rPh>
    <rPh sb="5" eb="6">
      <t>キン</t>
    </rPh>
    <phoneticPr fontId="5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</si>
  <si>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5"/>
  </si>
  <si>
    <t>共済掛金　等</t>
    <rPh sb="0" eb="2">
      <t>キョウサイ</t>
    </rPh>
    <rPh sb="2" eb="4">
      <t>カケキン</t>
    </rPh>
    <rPh sb="5" eb="6">
      <t>ナド</t>
    </rPh>
    <phoneticPr fontId="5"/>
  </si>
  <si>
    <t>作　業　別</t>
    <phoneticPr fontId="5"/>
  </si>
  <si>
    <t>作　　　型</t>
    <phoneticPr fontId="5"/>
  </si>
  <si>
    <t>旬　別　計</t>
    <phoneticPr fontId="5"/>
  </si>
  <si>
    <t>月　  　計</t>
    <phoneticPr fontId="5"/>
  </si>
  <si>
    <t>５－１　作業別・旬別作業時間（水稲，1ha当たり）</t>
    <rPh sb="15" eb="17">
      <t>スイトウ</t>
    </rPh>
    <phoneticPr fontId="5"/>
  </si>
  <si>
    <t>５－２　作業別・旬別作業時間（水稲，1ha当たり）</t>
    <rPh sb="15" eb="17">
      <t>スイトウ</t>
    </rPh>
    <phoneticPr fontId="5"/>
  </si>
  <si>
    <t>形式・構造　等</t>
    <rPh sb="6" eb="7">
      <t>ナド</t>
    </rPh>
    <phoneticPr fontId="5"/>
  </si>
  <si>
    <t>区分</t>
    <rPh sb="0" eb="2">
      <t>クブン</t>
    </rPh>
    <phoneticPr fontId="5"/>
  </si>
  <si>
    <t>取得価格</t>
    <rPh sb="0" eb="2">
      <t>シュトク</t>
    </rPh>
    <rPh sb="2" eb="4">
      <t>カカク</t>
    </rPh>
    <phoneticPr fontId="5"/>
  </si>
  <si>
    <t>補助率</t>
    <rPh sb="0" eb="3">
      <t>ホジョリツ</t>
    </rPh>
    <phoneticPr fontId="5"/>
  </si>
  <si>
    <t>②（％）</t>
    <phoneticPr fontId="5"/>
  </si>
  <si>
    <t>①（円）</t>
    <phoneticPr fontId="5"/>
  </si>
  <si>
    <t>④ （％）</t>
    <phoneticPr fontId="5"/>
  </si>
  <si>
    <t>残存割合</t>
    <rPh sb="0" eb="2">
      <t>ザンゾン</t>
    </rPh>
    <rPh sb="2" eb="4">
      <t>ワリアイ</t>
    </rPh>
    <phoneticPr fontId="5"/>
  </si>
  <si>
    <t>⑥（％）</t>
    <phoneticPr fontId="5"/>
  </si>
  <si>
    <t>⑧（年）</t>
    <phoneticPr fontId="5"/>
  </si>
  <si>
    <t>大動植物</t>
    <rPh sb="0" eb="1">
      <t>ダイ</t>
    </rPh>
    <rPh sb="1" eb="4">
      <t>ドウショクブツ</t>
    </rPh>
    <phoneticPr fontId="5"/>
  </si>
  <si>
    <t>③=①×（100-②）（円）</t>
    <rPh sb="12" eb="13">
      <t>エン</t>
    </rPh>
    <phoneticPr fontId="5"/>
  </si>
  <si>
    <t>⑤=③×④（円/ha）</t>
    <phoneticPr fontId="5"/>
  </si>
  <si>
    <t>⑦＝⑤×⑥（円/ha）</t>
    <rPh sb="6" eb="7">
      <t>エン</t>
    </rPh>
    <phoneticPr fontId="5"/>
  </si>
  <si>
    <t>⑨＝（⑤－⑦）÷⑧（円/ha）</t>
    <phoneticPr fontId="5"/>
  </si>
  <si>
    <t>コシヒカリ</t>
    <phoneticPr fontId="5"/>
  </si>
  <si>
    <t>展着剤・調整剤　等</t>
    <rPh sb="0" eb="3">
      <t>テンチャクザイ</t>
    </rPh>
    <rPh sb="4" eb="7">
      <t>チョウセイザイ</t>
    </rPh>
    <rPh sb="8" eb="9">
      <t>ナド</t>
    </rPh>
    <phoneticPr fontId="5"/>
  </si>
  <si>
    <t>農薬名</t>
  </si>
  <si>
    <t>使用量</t>
    <rPh sb="2" eb="3">
      <t>リョウ</t>
    </rPh>
    <phoneticPr fontId="5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</si>
  <si>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</si>
  <si>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</si>
  <si>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</si>
  <si>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</si>
  <si>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</si>
  <si>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</si>
  <si>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</si>
  <si>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5"/>
  </si>
  <si>
    <t>小計</t>
  </si>
  <si>
    <t>本作目
負担割合</t>
    <phoneticPr fontId="5"/>
  </si>
  <si>
    <t>①（円）</t>
    <phoneticPr fontId="5"/>
  </si>
  <si>
    <t>②（％）</t>
    <phoneticPr fontId="5"/>
  </si>
  <si>
    <t>④ （％）</t>
    <phoneticPr fontId="5"/>
  </si>
  <si>
    <t>⑤=③×④（円/ha）</t>
    <phoneticPr fontId="5"/>
  </si>
  <si>
    <t>⑥（％）</t>
    <phoneticPr fontId="5"/>
  </si>
  <si>
    <t>⑧（年）</t>
    <phoneticPr fontId="5"/>
  </si>
  <si>
    <t>⑨＝（⑤－⑦）÷⑧（円/ha）</t>
    <phoneticPr fontId="5"/>
  </si>
  <si>
    <t>㎡</t>
    <phoneticPr fontId="5"/>
  </si>
  <si>
    <t>コシヒカリ</t>
    <phoneticPr fontId="5"/>
  </si>
  <si>
    <t>（kg）</t>
    <phoneticPr fontId="5"/>
  </si>
  <si>
    <t>軽油</t>
    <phoneticPr fontId="5"/>
  </si>
  <si>
    <t>ガソリン</t>
    <phoneticPr fontId="5"/>
  </si>
  <si>
    <t>燃料費の</t>
    <phoneticPr fontId="5"/>
  </si>
  <si>
    <t>潤滑油</t>
    <phoneticPr fontId="5"/>
  </si>
  <si>
    <t>混合</t>
    <phoneticPr fontId="5"/>
  </si>
  <si>
    <t>灯油</t>
    <phoneticPr fontId="5"/>
  </si>
  <si>
    <t>電気</t>
    <phoneticPr fontId="5"/>
  </si>
  <si>
    <t>（ア）種苗名</t>
    <rPh sb="3" eb="5">
      <t>シュビョウ</t>
    </rPh>
    <rPh sb="5" eb="6">
      <t>メイ</t>
    </rPh>
    <phoneticPr fontId="5"/>
  </si>
  <si>
    <t>（イ）肥料名</t>
    <phoneticPr fontId="5"/>
  </si>
  <si>
    <t>（ウ）農薬名</t>
    <phoneticPr fontId="5"/>
  </si>
  <si>
    <t>（エ）燃料名</t>
    <phoneticPr fontId="5"/>
  </si>
  <si>
    <t>生産雑費</t>
    <rPh sb="0" eb="2">
      <t>セイサン</t>
    </rPh>
    <rPh sb="2" eb="4">
      <t>ザッピ</t>
    </rPh>
    <phoneticPr fontId="5"/>
  </si>
  <si>
    <t>土づくり資材</t>
    <rPh sb="0" eb="1">
      <t>ツチ</t>
    </rPh>
    <rPh sb="4" eb="6">
      <t>シザイ</t>
    </rPh>
    <phoneticPr fontId="5"/>
  </si>
  <si>
    <t>化成肥料</t>
    <rPh sb="0" eb="2">
      <t>カセイ</t>
    </rPh>
    <rPh sb="2" eb="4">
      <t>ヒリョウ</t>
    </rPh>
    <phoneticPr fontId="5"/>
  </si>
  <si>
    <t>有機物資材</t>
    <rPh sb="0" eb="3">
      <t>ユウキブツ</t>
    </rPh>
    <rPh sb="3" eb="5">
      <t>シザイ</t>
    </rPh>
    <phoneticPr fontId="5"/>
  </si>
  <si>
    <t>液肥</t>
    <rPh sb="0" eb="2">
      <t>エキヒ</t>
    </rPh>
    <phoneticPr fontId="5"/>
  </si>
  <si>
    <t>その他</t>
    <rPh sb="2" eb="3">
      <t>タ</t>
    </rPh>
    <phoneticPr fontId="5"/>
  </si>
  <si>
    <t>殺虫剤</t>
    <rPh sb="1" eb="2">
      <t>ムシ</t>
    </rPh>
    <rPh sb="2" eb="3">
      <t>ザイ</t>
    </rPh>
    <phoneticPr fontId="5"/>
  </si>
  <si>
    <t>t</t>
    <phoneticPr fontId="5"/>
  </si>
  <si>
    <t>肥料名</t>
    <rPh sb="0" eb="2">
      <t>ヒリョウ</t>
    </rPh>
    <rPh sb="2" eb="3">
      <t>メイ</t>
    </rPh>
    <phoneticPr fontId="5"/>
  </si>
  <si>
    <t>1ha機械</t>
    <phoneticPr fontId="5"/>
  </si>
  <si>
    <t>電気</t>
    <rPh sb="0" eb="2">
      <t>デンキ</t>
    </rPh>
    <phoneticPr fontId="5"/>
  </si>
  <si>
    <t>軽油</t>
    <rPh sb="0" eb="2">
      <t>ケイユ</t>
    </rPh>
    <phoneticPr fontId="5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</si>
  <si>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5"/>
  </si>
  <si>
    <t>混合</t>
    <rPh sb="0" eb="2">
      <t>コンゴウ</t>
    </rPh>
    <phoneticPr fontId="5"/>
  </si>
  <si>
    <t>灯油</t>
    <rPh sb="0" eb="2">
      <t>トウユ</t>
    </rPh>
    <phoneticPr fontId="5"/>
  </si>
  <si>
    <t>資材名</t>
    <rPh sb="0" eb="2">
      <t>シザイ</t>
    </rPh>
    <rPh sb="2" eb="3">
      <t>メイ</t>
    </rPh>
    <phoneticPr fontId="5"/>
  </si>
  <si>
    <t>使用量</t>
    <rPh sb="0" eb="3">
      <t>シヨウリョウ</t>
    </rPh>
    <phoneticPr fontId="5"/>
  </si>
  <si>
    <t>単位</t>
    <rPh sb="0" eb="2">
      <t>タンイ</t>
    </rPh>
    <phoneticPr fontId="5"/>
  </si>
  <si>
    <t>単価</t>
    <phoneticPr fontId="5"/>
  </si>
  <si>
    <t>使用期間（年）</t>
    <rPh sb="0" eb="2">
      <t>シヨウ</t>
    </rPh>
    <rPh sb="2" eb="4">
      <t>キカン</t>
    </rPh>
    <rPh sb="5" eb="6">
      <t>ネン</t>
    </rPh>
    <phoneticPr fontId="5"/>
  </si>
  <si>
    <t>金額（1年あたり）</t>
    <rPh sb="4" eb="5">
      <t>ネン</t>
    </rPh>
    <phoneticPr fontId="5"/>
  </si>
  <si>
    <t>農具名</t>
    <rPh sb="0" eb="2">
      <t>ノウグ</t>
    </rPh>
    <rPh sb="2" eb="3">
      <t>メイ</t>
    </rPh>
    <phoneticPr fontId="5"/>
  </si>
  <si>
    <t>負担面積（ha）</t>
    <rPh sb="0" eb="2">
      <t>フタン</t>
    </rPh>
    <rPh sb="2" eb="4">
      <t>メンセキ</t>
    </rPh>
    <phoneticPr fontId="5"/>
  </si>
  <si>
    <t>建物・施設</t>
    <rPh sb="0" eb="2">
      <t>タテモノ</t>
    </rPh>
    <rPh sb="3" eb="5">
      <t>シセツ</t>
    </rPh>
    <phoneticPr fontId="5"/>
  </si>
  <si>
    <t>機械・器具</t>
    <rPh sb="0" eb="2">
      <t>キカイ</t>
    </rPh>
    <rPh sb="3" eb="5">
      <t>キグ</t>
    </rPh>
    <phoneticPr fontId="5"/>
  </si>
  <si>
    <t>建物・施設</t>
    <rPh sb="0" eb="2">
      <t>タテモノ</t>
    </rPh>
    <rPh sb="3" eb="5">
      <t>シセツ</t>
    </rPh>
    <phoneticPr fontId="5"/>
  </si>
  <si>
    <t>機械・器具</t>
    <rPh sb="0" eb="2">
      <t>キカイ</t>
    </rPh>
    <rPh sb="3" eb="5">
      <t>キグ</t>
    </rPh>
    <phoneticPr fontId="5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</si>
  <si>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5"/>
  </si>
  <si>
    <t>右表（ア）</t>
    <phoneticPr fontId="5"/>
  </si>
  <si>
    <t>負担価格の</t>
    <phoneticPr fontId="5"/>
  </si>
  <si>
    <t>販売費・
一般管理費</t>
    <rPh sb="0" eb="3">
      <t>ハンバイヒ</t>
    </rPh>
    <rPh sb="5" eb="7">
      <t>イッパン</t>
    </rPh>
    <rPh sb="7" eb="10">
      <t>カンリヒ</t>
    </rPh>
    <phoneticPr fontId="5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</si>
  <si>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5"/>
  </si>
  <si>
    <t>売上高　計　①</t>
    <rPh sb="0" eb="2">
      <t>ウリアゲ</t>
    </rPh>
    <rPh sb="2" eb="3">
      <t>ダカ</t>
    </rPh>
    <rPh sb="4" eb="5">
      <t>ケイ</t>
    </rPh>
    <phoneticPr fontId="5"/>
  </si>
  <si>
    <t>売上総利益　③=①-②</t>
    <rPh sb="0" eb="2">
      <t>ウリアゲ</t>
    </rPh>
    <rPh sb="2" eb="5">
      <t>ソウリエキ</t>
    </rPh>
    <phoneticPr fontId="5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</si>
  <si>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5"/>
  </si>
  <si>
    <t>売上原価</t>
    <rPh sb="0" eb="2">
      <t>ウリアゲ</t>
    </rPh>
    <rPh sb="2" eb="4">
      <t>ゲンカ</t>
    </rPh>
    <phoneticPr fontId="5"/>
  </si>
  <si>
    <t>売上原価　計　②</t>
    <rPh sb="0" eb="2">
      <t>ウリアゲ</t>
    </rPh>
    <rPh sb="2" eb="4">
      <t>ゲンカ</t>
    </rPh>
    <rPh sb="5" eb="6">
      <t>ケイ</t>
    </rPh>
    <phoneticPr fontId="5"/>
  </si>
  <si>
    <t>営業利益　⑤=③-④　</t>
    <rPh sb="0" eb="2">
      <t>エイギョウ</t>
    </rPh>
    <rPh sb="2" eb="4">
      <t>リエキ</t>
    </rPh>
    <phoneticPr fontId="5"/>
  </si>
  <si>
    <t>営業外収益　⑥</t>
    <rPh sb="0" eb="3">
      <t>エイギョウガイ</t>
    </rPh>
    <rPh sb="3" eb="5">
      <t>シュウエキ</t>
    </rPh>
    <phoneticPr fontId="5"/>
  </si>
  <si>
    <t>営業外費用　⑦</t>
    <phoneticPr fontId="5"/>
  </si>
  <si>
    <t>営業外損益　計　⑧=⑥-⑦</t>
    <rPh sb="0" eb="3">
      <t>エイギョウガイ</t>
    </rPh>
    <rPh sb="3" eb="5">
      <t>ソンエキ</t>
    </rPh>
    <rPh sb="6" eb="7">
      <t>ケイ</t>
    </rPh>
    <phoneticPr fontId="5"/>
  </si>
  <si>
    <t>経常利益　⑨=⑤+⑧</t>
    <rPh sb="0" eb="2">
      <t>ケイジョウ</t>
    </rPh>
    <rPh sb="2" eb="4">
      <t>リエキ</t>
    </rPh>
    <phoneticPr fontId="5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</si>
  <si>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5"/>
  </si>
  <si>
    <t>売上原価　計</t>
    <phoneticPr fontId="5"/>
  </si>
  <si>
    <t>販売収入</t>
    <rPh sb="0" eb="2">
      <t>ハンバイ</t>
    </rPh>
    <rPh sb="2" eb="4">
      <t>シュウニュウ</t>
    </rPh>
    <phoneticPr fontId="5"/>
  </si>
  <si>
    <t>営業外
費用</t>
    <phoneticPr fontId="5"/>
  </si>
  <si>
    <t>営業外</t>
    <rPh sb="0" eb="3">
      <t>エイギョウガイ</t>
    </rPh>
    <phoneticPr fontId="5"/>
  </si>
  <si>
    <t>（１）肥料費</t>
    <rPh sb="3" eb="5">
      <t>ヒリョウ</t>
    </rPh>
    <rPh sb="5" eb="6">
      <t>ヒ</t>
    </rPh>
    <phoneticPr fontId="5"/>
  </si>
  <si>
    <t>（３）動力光熱費</t>
    <rPh sb="3" eb="5">
      <t>ドウリョク</t>
    </rPh>
    <rPh sb="5" eb="8">
      <t>コウネツヒ</t>
    </rPh>
    <phoneticPr fontId="5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</si>
  <si>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5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</si>
  <si>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5"/>
  </si>
  <si>
    <t>粗　　　収　　　益　　　の　　　算　　　出</t>
    <phoneticPr fontId="5"/>
  </si>
  <si>
    <t>売上原価の</t>
    <rPh sb="0" eb="2">
      <t>ウリアゲ</t>
    </rPh>
    <rPh sb="2" eb="4">
      <t>ゲンカ</t>
    </rPh>
    <phoneticPr fontId="5"/>
  </si>
  <si>
    <t>水稲共済</t>
    <rPh sb="0" eb="2">
      <t>スイトウ</t>
    </rPh>
    <rPh sb="2" eb="4">
      <t>キョウサイ</t>
    </rPh>
    <phoneticPr fontId="5"/>
  </si>
  <si>
    <t>区　分</t>
    <rPh sb="0" eb="1">
      <t>ク</t>
    </rPh>
    <rPh sb="2" eb="3">
      <t>ブン</t>
    </rPh>
    <phoneticPr fontId="7"/>
  </si>
  <si>
    <t>区分</t>
    <rPh sb="0" eb="1">
      <t>ク</t>
    </rPh>
    <rPh sb="1" eb="2">
      <t>ブン</t>
    </rPh>
    <phoneticPr fontId="7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</si>
  <si>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7"/>
  </si>
  <si>
    <t>自動車重量税</t>
    <rPh sb="0" eb="3">
      <t>ジドウシャ</t>
    </rPh>
    <rPh sb="3" eb="6">
      <t>ジュウリョウゼイ</t>
    </rPh>
    <phoneticPr fontId="7"/>
  </si>
  <si>
    <t>自動車税</t>
    <rPh sb="0" eb="3">
      <t>ジドウシャ</t>
    </rPh>
    <rPh sb="3" eb="4">
      <t>ゼイ</t>
    </rPh>
    <phoneticPr fontId="7"/>
  </si>
  <si>
    <t>軽自動車税</t>
    <rPh sb="0" eb="1">
      <t>ケイ</t>
    </rPh>
    <rPh sb="1" eb="5">
      <t>ジドウシャゼイ</t>
    </rPh>
    <phoneticPr fontId="7"/>
  </si>
  <si>
    <t>合　　計</t>
    <rPh sb="0" eb="1">
      <t>ア</t>
    </rPh>
    <rPh sb="3" eb="4">
      <t>ケイ</t>
    </rPh>
    <phoneticPr fontId="5"/>
  </si>
  <si>
    <t>（７）共済掛金　等</t>
    <rPh sb="3" eb="5">
      <t>キョウサイ</t>
    </rPh>
    <rPh sb="5" eb="7">
      <t>カケキン</t>
    </rPh>
    <rPh sb="8" eb="9">
      <t>ナド</t>
    </rPh>
    <phoneticPr fontId="7"/>
  </si>
  <si>
    <t>内　容</t>
    <rPh sb="0" eb="1">
      <t>ウチ</t>
    </rPh>
    <rPh sb="2" eb="3">
      <t>カタチ</t>
    </rPh>
    <phoneticPr fontId="7"/>
  </si>
  <si>
    <t>共済掛金</t>
    <rPh sb="0" eb="2">
      <t>キョウサイ</t>
    </rPh>
    <rPh sb="2" eb="4">
      <t>カケキン</t>
    </rPh>
    <phoneticPr fontId="7"/>
  </si>
  <si>
    <t>負担率</t>
    <rPh sb="0" eb="2">
      <t>フタン</t>
    </rPh>
    <rPh sb="2" eb="3">
      <t>リツ</t>
    </rPh>
    <phoneticPr fontId="7"/>
  </si>
  <si>
    <t>評価額・負担額</t>
    <rPh sb="0" eb="3">
      <t>ヒョウカガク</t>
    </rPh>
    <rPh sb="4" eb="6">
      <t>フタン</t>
    </rPh>
    <rPh sb="6" eb="7">
      <t>ガク</t>
    </rPh>
    <phoneticPr fontId="7"/>
  </si>
  <si>
    <t>小計</t>
    <rPh sb="0" eb="2">
      <t>ショウケイ</t>
    </rPh>
    <phoneticPr fontId="7"/>
  </si>
  <si>
    <t>（４）租税公課</t>
    <rPh sb="3" eb="5">
      <t>ソゼイ</t>
    </rPh>
    <rPh sb="5" eb="7">
      <t>コウカ</t>
    </rPh>
    <phoneticPr fontId="7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</si>
  <si>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5"/>
  </si>
  <si>
    <t>（６）小農具費（使用可能期間を想定して算出）</t>
    <rPh sb="3" eb="6">
      <t>ショウノウグ</t>
    </rPh>
    <rPh sb="6" eb="7">
      <t>ヒ</t>
    </rPh>
    <phoneticPr fontId="5"/>
  </si>
  <si>
    <t>軽トラック</t>
    <rPh sb="0" eb="1">
      <t>ケイ</t>
    </rPh>
    <phoneticPr fontId="5"/>
  </si>
  <si>
    <t>保険料</t>
    <rPh sb="0" eb="3">
      <t>ホケンリョウ</t>
    </rPh>
    <phoneticPr fontId="5"/>
  </si>
  <si>
    <t>本</t>
    <phoneticPr fontId="5"/>
  </si>
  <si>
    <t>小　計</t>
    <phoneticPr fontId="5"/>
  </si>
  <si>
    <t>ガソリン</t>
    <phoneticPr fontId="5"/>
  </si>
  <si>
    <t>小　計</t>
    <phoneticPr fontId="5"/>
  </si>
  <si>
    <t>単価</t>
    <phoneticPr fontId="5"/>
  </si>
  <si>
    <t>（２）農薬費</t>
    <phoneticPr fontId="5"/>
  </si>
  <si>
    <t>小　計</t>
    <phoneticPr fontId="5"/>
  </si>
  <si>
    <t>金額</t>
    <phoneticPr fontId="5"/>
  </si>
  <si>
    <t>普通トラック</t>
    <phoneticPr fontId="5"/>
  </si>
  <si>
    <t>普通トラック</t>
    <phoneticPr fontId="5"/>
  </si>
  <si>
    <t>自賠責保険</t>
    <rPh sb="0" eb="3">
      <t>ジバイセキ</t>
    </rPh>
    <rPh sb="3" eb="5">
      <t>ホケン</t>
    </rPh>
    <phoneticPr fontId="5"/>
  </si>
  <si>
    <t>普通トラック</t>
    <rPh sb="0" eb="2">
      <t>フツウ</t>
    </rPh>
    <phoneticPr fontId="5"/>
  </si>
  <si>
    <t>任意保険</t>
    <rPh sb="0" eb="2">
      <t>ニンイ</t>
    </rPh>
    <rPh sb="2" eb="4">
      <t>ホケン</t>
    </rPh>
    <phoneticPr fontId="5"/>
  </si>
  <si>
    <t>毎年更新</t>
    <rPh sb="0" eb="2">
      <t>マイトシ</t>
    </rPh>
    <rPh sb="2" eb="4">
      <t>コウシン</t>
    </rPh>
    <phoneticPr fontId="5"/>
  </si>
  <si>
    <t>作目：</t>
  </si>
  <si>
    <t>作型：</t>
  </si>
  <si>
    <t>普通</t>
    <rPh sb="0" eb="2">
      <t>フツウ</t>
    </rPh>
    <phoneticPr fontId="5"/>
  </si>
  <si>
    <t>６　固定資本装備と減価償却費（1ha当たり・1年当たり）</t>
    <rPh sb="18" eb="19">
      <t>ア</t>
    </rPh>
    <rPh sb="23" eb="24">
      <t>ネン</t>
    </rPh>
    <rPh sb="24" eb="25">
      <t>ア</t>
    </rPh>
    <phoneticPr fontId="5"/>
  </si>
  <si>
    <t>数量</t>
    <phoneticPr fontId="5"/>
  </si>
  <si>
    <t>販売量</t>
    <phoneticPr fontId="5"/>
  </si>
  <si>
    <t>販売量</t>
    <phoneticPr fontId="5"/>
  </si>
  <si>
    <t>月</t>
    <rPh sb="0" eb="1">
      <t>ツキ</t>
    </rPh>
    <phoneticPr fontId="5"/>
  </si>
  <si>
    <t>重油</t>
    <rPh sb="0" eb="2">
      <t>ジュウユ</t>
    </rPh>
    <phoneticPr fontId="5"/>
  </si>
  <si>
    <t>重油</t>
    <rPh sb="0" eb="2">
      <t>ジュウユ</t>
    </rPh>
    <phoneticPr fontId="5"/>
  </si>
  <si>
    <t>労務費Ⅰ</t>
    <rPh sb="0" eb="3">
      <t>ロウムヒ</t>
    </rPh>
    <phoneticPr fontId="5"/>
  </si>
  <si>
    <t>労務費Ⅱ</t>
    <rPh sb="0" eb="3">
      <t>ロウムヒ</t>
    </rPh>
    <phoneticPr fontId="5"/>
  </si>
  <si>
    <t>営業外費用Ⅰ</t>
    <rPh sb="0" eb="3">
      <t>エイギョウガイ</t>
    </rPh>
    <rPh sb="3" eb="5">
      <t>ヒヨウ</t>
    </rPh>
    <phoneticPr fontId="5"/>
  </si>
  <si>
    <t>備　　　　　　　　　　　　　　　　　　　　考</t>
    <rPh sb="0" eb="1">
      <t>ソナエ</t>
    </rPh>
    <rPh sb="21" eb="22">
      <t>コウ</t>
    </rPh>
    <phoneticPr fontId="5"/>
  </si>
  <si>
    <t>区　　　　　　　　　　　　　　　　　　　　分</t>
    <rPh sb="0" eb="1">
      <t>ク</t>
    </rPh>
    <rPh sb="21" eb="22">
      <t>ブン</t>
    </rPh>
    <phoneticPr fontId="5"/>
  </si>
  <si>
    <t>合　　　　計</t>
    <rPh sb="0" eb="1">
      <t>ア</t>
    </rPh>
    <rPh sb="5" eb="6">
      <t>ケイ</t>
    </rPh>
    <phoneticPr fontId="5"/>
  </si>
  <si>
    <t>水稲(食用米）</t>
    <rPh sb="3" eb="5">
      <t>ショクヨウ</t>
    </rPh>
    <rPh sb="5" eb="6">
      <t>マイ</t>
    </rPh>
    <phoneticPr fontId="5"/>
  </si>
  <si>
    <t>水稲（ＷＣＳ）</t>
    <rPh sb="0" eb="2">
      <t>スイトウ</t>
    </rPh>
    <phoneticPr fontId="4"/>
  </si>
  <si>
    <t>×</t>
    <phoneticPr fontId="5"/>
  </si>
  <si>
    <t>育苗ハウス</t>
    <rPh sb="0" eb="2">
      <t>イクビョウ</t>
    </rPh>
    <phoneticPr fontId="5"/>
  </si>
  <si>
    <t>乗用田植機</t>
    <rPh sb="0" eb="2">
      <t>ジョウヨウ</t>
    </rPh>
    <rPh sb="2" eb="4">
      <t>タウエ</t>
    </rPh>
    <rPh sb="4" eb="5">
      <t>キ</t>
    </rPh>
    <phoneticPr fontId="5"/>
  </si>
  <si>
    <t>6条側条施肥機付き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5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</si>
  <si>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5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</si>
  <si>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5"/>
  </si>
  <si>
    <t>１種類</t>
    <phoneticPr fontId="5"/>
  </si>
  <si>
    <t>フレコン</t>
    <phoneticPr fontId="5"/>
  </si>
  <si>
    <t>トラクター</t>
    <phoneticPr fontId="5"/>
  </si>
  <si>
    <t>乗用管理機</t>
    <rPh sb="0" eb="2">
      <t>ジョウヨウ</t>
    </rPh>
    <rPh sb="2" eb="4">
      <t>カンリ</t>
    </rPh>
    <rPh sb="4" eb="5">
      <t>キ</t>
    </rPh>
    <phoneticPr fontId="5"/>
  </si>
  <si>
    <t>㎏</t>
    <phoneticPr fontId="5"/>
  </si>
  <si>
    <t>催芽機</t>
    <rPh sb="0" eb="1">
      <t>サイ</t>
    </rPh>
    <rPh sb="1" eb="2">
      <t>ガ</t>
    </rPh>
    <rPh sb="2" eb="3">
      <t>キ</t>
    </rPh>
    <phoneticPr fontId="5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</si>
  <si>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5"/>
  </si>
  <si>
    <t>育苗器</t>
    <rPh sb="0" eb="2">
      <t>イクビョウ</t>
    </rPh>
    <rPh sb="2" eb="3">
      <t>キ</t>
    </rPh>
    <phoneticPr fontId="5"/>
  </si>
  <si>
    <t>育苗箱洗浄機</t>
    <rPh sb="0" eb="2">
      <t>イクビョウ</t>
    </rPh>
    <rPh sb="2" eb="3">
      <t>バコ</t>
    </rPh>
    <rPh sb="3" eb="5">
      <t>センジョウ</t>
    </rPh>
    <rPh sb="5" eb="6">
      <t>キ</t>
    </rPh>
    <phoneticPr fontId="5"/>
  </si>
  <si>
    <t>代かき</t>
    <rPh sb="0" eb="1">
      <t>シロ</t>
    </rPh>
    <phoneticPr fontId="5"/>
  </si>
  <si>
    <t>散布巾10ｍ</t>
    <rPh sb="0" eb="2">
      <t>サンプ</t>
    </rPh>
    <rPh sb="2" eb="3">
      <t>ハバ</t>
    </rPh>
    <phoneticPr fontId="5"/>
  </si>
  <si>
    <t>ｍｌ</t>
    <phoneticPr fontId="5"/>
  </si>
  <si>
    <t>㎏</t>
  </si>
  <si>
    <t>㎏</t>
    <phoneticPr fontId="5"/>
  </si>
  <si>
    <t>㎏</t>
    <phoneticPr fontId="5"/>
  </si>
  <si>
    <t>耕起作業（トラクター）</t>
    <rPh sb="0" eb="2">
      <t>コウキ</t>
    </rPh>
    <rPh sb="2" eb="4">
      <t>サギョウ</t>
    </rPh>
    <phoneticPr fontId="5"/>
  </si>
  <si>
    <t>代かき作業（トラクター）</t>
    <rPh sb="0" eb="1">
      <t>シロ</t>
    </rPh>
    <rPh sb="3" eb="5">
      <t>サギョウ</t>
    </rPh>
    <phoneticPr fontId="5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</si>
  <si>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5"/>
  </si>
  <si>
    <t>ℓ・kw／時</t>
    <rPh sb="5" eb="6">
      <t>ジ</t>
    </rPh>
    <phoneticPr fontId="5"/>
  </si>
  <si>
    <t>収穫作業（コンバイン）</t>
    <rPh sb="0" eb="2">
      <t>シュウカク</t>
    </rPh>
    <rPh sb="2" eb="4">
      <t>サギョウ</t>
    </rPh>
    <phoneticPr fontId="5"/>
  </si>
  <si>
    <t>乾燥作業（乾燥機）</t>
    <rPh sb="0" eb="2">
      <t>カンソウ</t>
    </rPh>
    <rPh sb="2" eb="4">
      <t>サギョウ</t>
    </rPh>
    <rPh sb="5" eb="8">
      <t>カンソウキ</t>
    </rPh>
    <phoneticPr fontId="5"/>
  </si>
  <si>
    <t>防除作業（管理ビーグル）</t>
    <rPh sb="0" eb="2">
      <t>ボウジョ</t>
    </rPh>
    <rPh sb="2" eb="4">
      <t>サギョウ</t>
    </rPh>
    <rPh sb="5" eb="7">
      <t>カンリ</t>
    </rPh>
    <phoneticPr fontId="5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</si>
  <si>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5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</si>
  <si>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5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</si>
  <si>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5"/>
  </si>
  <si>
    <t>堆肥散布作業（ﾏﾆｭｱｽﾌﾟﾚｯﾀﾞ）</t>
    <rPh sb="0" eb="2">
      <t>タイヒ</t>
    </rPh>
    <rPh sb="2" eb="4">
      <t>サンプ</t>
    </rPh>
    <rPh sb="4" eb="6">
      <t>サギョウ</t>
    </rPh>
    <phoneticPr fontId="5"/>
  </si>
  <si>
    <t>ｍｌ</t>
  </si>
  <si>
    <t>ﾊﾞｯｸﾎｰ</t>
  </si>
  <si>
    <t>乾燥調製施設</t>
  </si>
  <si>
    <t>農機具庫</t>
    <rPh sb="3" eb="4">
      <t>コ</t>
    </rPh>
    <phoneticPr fontId="5"/>
  </si>
  <si>
    <t>鎌，鍬</t>
    <rPh sb="0" eb="1">
      <t>カマ</t>
    </rPh>
    <rPh sb="2" eb="3">
      <t>クワ</t>
    </rPh>
    <phoneticPr fontId="5"/>
  </si>
  <si>
    <t>種子予措</t>
    <rPh sb="0" eb="2">
      <t>シュシ</t>
    </rPh>
    <rPh sb="2" eb="3">
      <t>ヨ</t>
    </rPh>
    <rPh sb="3" eb="4">
      <t>ソ</t>
    </rPh>
    <phoneticPr fontId="5"/>
  </si>
  <si>
    <t>育苗管理</t>
    <rPh sb="0" eb="2">
      <t>イクビョウ</t>
    </rPh>
    <rPh sb="2" eb="4">
      <t>カンリ</t>
    </rPh>
    <phoneticPr fontId="5"/>
  </si>
  <si>
    <t>耕起</t>
    <rPh sb="0" eb="2">
      <t>コウキ</t>
    </rPh>
    <phoneticPr fontId="5"/>
  </si>
  <si>
    <t>田植</t>
    <rPh sb="0" eb="2">
      <t>タウエ</t>
    </rPh>
    <phoneticPr fontId="5"/>
  </si>
  <si>
    <t>除草</t>
    <rPh sb="0" eb="2">
      <t>ジョソウ</t>
    </rPh>
    <phoneticPr fontId="5"/>
  </si>
  <si>
    <t>追肥</t>
    <rPh sb="0" eb="2">
      <t>ツイヒ</t>
    </rPh>
    <phoneticPr fontId="5"/>
  </si>
  <si>
    <t>防除</t>
    <rPh sb="0" eb="2">
      <t>ボウジョ</t>
    </rPh>
    <phoneticPr fontId="5"/>
  </si>
  <si>
    <t>刈取，脱穀</t>
    <rPh sb="0" eb="2">
      <t>カリト</t>
    </rPh>
    <rPh sb="3" eb="5">
      <t>ダッコク</t>
    </rPh>
    <phoneticPr fontId="5"/>
  </si>
  <si>
    <t>乾燥調製出荷</t>
    <rPh sb="0" eb="2">
      <t>カンソウ</t>
    </rPh>
    <rPh sb="2" eb="4">
      <t>チョウセイ</t>
    </rPh>
    <rPh sb="4" eb="6">
      <t>シュッカ</t>
    </rPh>
    <phoneticPr fontId="5"/>
  </si>
  <si>
    <t>堆肥，改良資材散布</t>
    <rPh sb="0" eb="2">
      <t>タイヒ</t>
    </rPh>
    <rPh sb="3" eb="5">
      <t>カイリョウ</t>
    </rPh>
    <rPh sb="5" eb="7">
      <t>シザイ</t>
    </rPh>
    <rPh sb="7" eb="9">
      <t>サンプ</t>
    </rPh>
    <phoneticPr fontId="5"/>
  </si>
  <si>
    <t>収穫</t>
    <rPh sb="0" eb="2">
      <t>シュウカク</t>
    </rPh>
    <phoneticPr fontId="5"/>
  </si>
  <si>
    <t>ＷＣＳ</t>
    <phoneticPr fontId="5"/>
  </si>
  <si>
    <t>１種類</t>
  </si>
  <si>
    <t>混合剤</t>
    <rPh sb="0" eb="3">
      <t>コンゴウザイ</t>
    </rPh>
    <phoneticPr fontId="5"/>
  </si>
  <si>
    <t>3種類</t>
    <phoneticPr fontId="5"/>
  </si>
  <si>
    <t>殺虫剤</t>
    <rPh sb="0" eb="3">
      <t>サッチュウザイ</t>
    </rPh>
    <phoneticPr fontId="5"/>
  </si>
  <si>
    <t>2種類</t>
    <phoneticPr fontId="5"/>
  </si>
  <si>
    <t>6作業</t>
    <rPh sb="1" eb="3">
      <t>サギョウ</t>
    </rPh>
    <phoneticPr fontId="5"/>
  </si>
  <si>
    <t>1作業</t>
    <rPh sb="1" eb="3">
      <t>サギョウ</t>
    </rPh>
    <phoneticPr fontId="5"/>
  </si>
  <si>
    <t>3作業</t>
    <rPh sb="1" eb="3">
      <t>サギョウ</t>
    </rPh>
    <phoneticPr fontId="5"/>
  </si>
  <si>
    <t>ha</t>
  </si>
  <si>
    <t>ha</t>
    <phoneticPr fontId="4"/>
  </si>
  <si>
    <t>飼料用稲（ＷＣＳ）</t>
    <rPh sb="0" eb="3">
      <t>シリョウヨウ</t>
    </rPh>
    <rPh sb="3" eb="4">
      <t>イネ</t>
    </rPh>
    <phoneticPr fontId="4"/>
  </si>
  <si>
    <t>たちすずか</t>
  </si>
  <si>
    <t>たちすずか</t>
    <phoneticPr fontId="5"/>
  </si>
  <si>
    <t>2種類</t>
    <phoneticPr fontId="5"/>
  </si>
  <si>
    <t>水稲（食用米）</t>
    <rPh sb="0" eb="2">
      <t>スイトウ</t>
    </rPh>
    <rPh sb="3" eb="5">
      <t>ショクヨウ</t>
    </rPh>
    <rPh sb="5" eb="6">
      <t>マイ</t>
    </rPh>
    <phoneticPr fontId="5"/>
  </si>
  <si>
    <t>円/10a</t>
    <rPh sb="0" eb="1">
      <t>エン</t>
    </rPh>
    <phoneticPr fontId="5"/>
  </si>
  <si>
    <t>オペ労賃</t>
    <phoneticPr fontId="7"/>
  </si>
  <si>
    <t>補助労務賃金</t>
    <phoneticPr fontId="7"/>
  </si>
  <si>
    <t>オペ</t>
    <phoneticPr fontId="5"/>
  </si>
  <si>
    <t>補助</t>
    <rPh sb="0" eb="2">
      <t>ホジョ</t>
    </rPh>
    <phoneticPr fontId="5"/>
  </si>
  <si>
    <t>合計</t>
    <rPh sb="0" eb="2">
      <t>ゴウケイ</t>
    </rPh>
    <phoneticPr fontId="5"/>
  </si>
  <si>
    <t>食用米（普通コシヒカリ）</t>
    <rPh sb="0" eb="2">
      <t>ショクヨウ</t>
    </rPh>
    <rPh sb="2" eb="3">
      <t>マイ</t>
    </rPh>
    <rPh sb="4" eb="6">
      <t>フツウ</t>
    </rPh>
    <phoneticPr fontId="4"/>
  </si>
  <si>
    <t>販売量</t>
    <phoneticPr fontId="5"/>
  </si>
  <si>
    <t>米袋</t>
    <rPh sb="0" eb="1">
      <t>コメ</t>
    </rPh>
    <rPh sb="1" eb="2">
      <t>フクロ</t>
    </rPh>
    <phoneticPr fontId="5"/>
  </si>
  <si>
    <t>検査手数料</t>
    <rPh sb="0" eb="2">
      <t>ケンサ</t>
    </rPh>
    <rPh sb="2" eb="5">
      <t>テスウリョウ</t>
    </rPh>
    <phoneticPr fontId="5"/>
  </si>
  <si>
    <t>部門面積</t>
    <rPh sb="0" eb="2">
      <t>ブモン</t>
    </rPh>
    <rPh sb="2" eb="4">
      <t>メンセキ</t>
    </rPh>
    <phoneticPr fontId="5"/>
  </si>
  <si>
    <t>倒伏しやすい品種</t>
    <rPh sb="0" eb="2">
      <t>トウフク</t>
    </rPh>
    <rPh sb="6" eb="8">
      <t>ヒンシュ</t>
    </rPh>
    <phoneticPr fontId="5"/>
  </si>
  <si>
    <t>倒伏しにくい品種</t>
    <rPh sb="0" eb="2">
      <t>トウフク</t>
    </rPh>
    <rPh sb="6" eb="8">
      <t>ヒンシュ</t>
    </rPh>
    <phoneticPr fontId="5"/>
  </si>
  <si>
    <t>加工多収</t>
    <rPh sb="0" eb="2">
      <t>カコウ</t>
    </rPh>
    <rPh sb="2" eb="4">
      <t>タシュウ</t>
    </rPh>
    <phoneticPr fontId="5"/>
  </si>
  <si>
    <t>米粉飼料</t>
    <rPh sb="0" eb="1">
      <t>コメ</t>
    </rPh>
    <rPh sb="1" eb="2">
      <t>コ</t>
    </rPh>
    <rPh sb="2" eb="4">
      <t>シリョウ</t>
    </rPh>
    <phoneticPr fontId="5"/>
  </si>
  <si>
    <t>ＷＣＳ</t>
    <phoneticPr fontId="5"/>
  </si>
  <si>
    <t>大豆</t>
    <rPh sb="0" eb="2">
      <t>ダイズ</t>
    </rPh>
    <phoneticPr fontId="5"/>
  </si>
  <si>
    <t>麦</t>
    <rPh sb="0" eb="1">
      <t>ムギ</t>
    </rPh>
    <phoneticPr fontId="5"/>
  </si>
  <si>
    <t>○○</t>
    <phoneticPr fontId="5"/>
  </si>
  <si>
    <t>１ha当り償却額</t>
    <rPh sb="3" eb="4">
      <t>アタ</t>
    </rPh>
    <rPh sb="5" eb="8">
      <t>ショウキャクガク</t>
    </rPh>
    <phoneticPr fontId="5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</si>
  <si>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/>
  </si>
  <si>
    <t>一式</t>
    <rPh sb="0" eb="2">
      <t>イッシキ</t>
    </rPh>
    <phoneticPr fontId="5"/>
  </si>
  <si>
    <t>対象</t>
    <phoneticPr fontId="5"/>
  </si>
  <si>
    <t>集落法人</t>
    <rPh sb="0" eb="2">
      <t>シュウラク</t>
    </rPh>
    <rPh sb="2" eb="4">
      <t>ホウジン</t>
    </rPh>
    <phoneticPr fontId="4"/>
  </si>
  <si>
    <t>中部</t>
    <rPh sb="0" eb="1">
      <t>チュウブ</t>
    </rPh>
    <phoneticPr fontId="4"/>
  </si>
  <si>
    <t>30ha（借地30ha）</t>
    <phoneticPr fontId="5"/>
  </si>
  <si>
    <t>○</t>
    <phoneticPr fontId="5"/>
  </si>
  <si>
    <t>×</t>
    <phoneticPr fontId="5"/>
  </si>
  <si>
    <t>×</t>
    <phoneticPr fontId="5"/>
  </si>
  <si>
    <t>組織経営体構成員　</t>
    <rPh sb="0" eb="2">
      <t>ソシキ</t>
    </rPh>
    <rPh sb="2" eb="5">
      <t>ケイエイタイ</t>
    </rPh>
    <rPh sb="5" eb="8">
      <t>コウセイイン</t>
    </rPh>
    <phoneticPr fontId="4"/>
  </si>
  <si>
    <t>あきさかり</t>
    <phoneticPr fontId="5"/>
  </si>
  <si>
    <t>ほ場整備完了水田　平均30ａ規模</t>
    <phoneticPr fontId="4"/>
  </si>
  <si>
    <t>食用米（あきさかり）</t>
    <rPh sb="0" eb="2">
      <t>ショクヨウ</t>
    </rPh>
    <rPh sb="2" eb="3">
      <t>マイ</t>
    </rPh>
    <phoneticPr fontId="4"/>
  </si>
  <si>
    <t>○</t>
    <phoneticPr fontId="4"/>
  </si>
  <si>
    <t>７－３　経営収支（WCS部門，1ha当たり）</t>
    <rPh sb="12" eb="14">
      <t>ブモン</t>
    </rPh>
    <rPh sb="18" eb="19">
      <t>ア</t>
    </rPh>
    <phoneticPr fontId="5"/>
  </si>
  <si>
    <t>牛ふん堆肥</t>
    <rPh sb="0" eb="1">
      <t>ギュウ</t>
    </rPh>
    <rPh sb="3" eb="5">
      <t>タイヒ</t>
    </rPh>
    <phoneticPr fontId="5"/>
  </si>
  <si>
    <t>ｍｌ</t>
    <phoneticPr fontId="5"/>
  </si>
  <si>
    <t>㎏</t>
    <phoneticPr fontId="5"/>
  </si>
  <si>
    <t>t</t>
    <phoneticPr fontId="5"/>
  </si>
  <si>
    <t>処理量200㎏</t>
    <rPh sb="0" eb="2">
      <t>ショリ</t>
    </rPh>
    <rPh sb="2" eb="3">
      <t>リョウ</t>
    </rPh>
    <phoneticPr fontId="5"/>
  </si>
  <si>
    <t>750枚</t>
    <rPh sb="3" eb="4">
      <t>マイ</t>
    </rPh>
    <phoneticPr fontId="5"/>
  </si>
  <si>
    <t>ﾏﾆｭｱｽﾌﾟﾚｯﾀﾞ</t>
    <phoneticPr fontId="5"/>
  </si>
  <si>
    <t>2トン牽引式</t>
    <rPh sb="3" eb="5">
      <t>ケンイン</t>
    </rPh>
    <rPh sb="5" eb="6">
      <t>シキ</t>
    </rPh>
    <phoneticPr fontId="5"/>
  </si>
  <si>
    <t>あきさかり</t>
    <phoneticPr fontId="5"/>
  </si>
  <si>
    <t>46psキャビン付（ﾛｰﾀﾘｰ）</t>
    <phoneticPr fontId="5"/>
  </si>
  <si>
    <t>トラクター</t>
    <phoneticPr fontId="5"/>
  </si>
  <si>
    <t>32ｐｓ（ﾛｰﾀﾘｰ）</t>
    <phoneticPr fontId="5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</si>
  <si>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5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</si>
  <si>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5"/>
  </si>
  <si>
    <t>コンポキャスター</t>
    <phoneticPr fontId="5"/>
  </si>
  <si>
    <t>乾燥調製プラント</t>
    <rPh sb="0" eb="2">
      <t>カンソウ</t>
    </rPh>
    <rPh sb="2" eb="4">
      <t>チョウセイ</t>
    </rPh>
    <phoneticPr fontId="5"/>
  </si>
  <si>
    <t>式</t>
    <rPh sb="0" eb="1">
      <t>シキ</t>
    </rPh>
    <phoneticPr fontId="5"/>
  </si>
  <si>
    <t>高圧洗車機</t>
    <rPh sb="0" eb="2">
      <t>コウアツ</t>
    </rPh>
    <rPh sb="2" eb="5">
      <t>センシャキ</t>
    </rPh>
    <phoneticPr fontId="5"/>
  </si>
  <si>
    <t>2ｔﾄﾗｯｸ</t>
    <phoneticPr fontId="5"/>
  </si>
  <si>
    <t>大型機械化体系
WCS用稲の収穫作業は広酪に委託する
畦畔管理作業，水管理作業は，構成員へ委託する</t>
    <rPh sb="0" eb="1">
      <t>ダイ</t>
    </rPh>
    <rPh sb="11" eb="12">
      <t>ヨウ</t>
    </rPh>
    <rPh sb="12" eb="13">
      <t>イネ</t>
    </rPh>
    <rPh sb="14" eb="16">
      <t>シュウカク</t>
    </rPh>
    <rPh sb="16" eb="18">
      <t>サギョウ</t>
    </rPh>
    <rPh sb="19" eb="20">
      <t>ヒロ</t>
    </rPh>
    <rPh sb="20" eb="21">
      <t>ラク</t>
    </rPh>
    <rPh sb="22" eb="24">
      <t>イタク</t>
    </rPh>
    <phoneticPr fontId="4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</si>
  <si>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4"/>
  </si>
  <si>
    <t>育苗</t>
    <rPh sb="0" eb="2">
      <t>イクビョウ</t>
    </rPh>
    <phoneticPr fontId="5"/>
  </si>
  <si>
    <t>土づくり・本田準備</t>
    <rPh sb="0" eb="1">
      <t>ツチ</t>
    </rPh>
    <rPh sb="5" eb="7">
      <t>ホンデン</t>
    </rPh>
    <rPh sb="7" eb="9">
      <t>ジュンビ</t>
    </rPh>
    <phoneticPr fontId="5"/>
  </si>
  <si>
    <t>収穫・調製</t>
    <rPh sb="0" eb="2">
      <t>シュウカク</t>
    </rPh>
    <rPh sb="3" eb="5">
      <t>チョウセイ</t>
    </rPh>
    <phoneticPr fontId="5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</si>
  <si>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5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</si>
  <si>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5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</si>
  <si>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5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</si>
  <si>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5"/>
  </si>
  <si>
    <t>3月下旬～5月下旬</t>
    <rPh sb="1" eb="2">
      <t>ガツ</t>
    </rPh>
    <rPh sb="2" eb="3">
      <t>シタ</t>
    </rPh>
    <rPh sb="6" eb="7">
      <t>ガツ</t>
    </rPh>
    <rPh sb="7" eb="9">
      <t>ゲジュン</t>
    </rPh>
    <phoneticPr fontId="5"/>
  </si>
  <si>
    <t>5月上旬～5月下旬</t>
    <rPh sb="1" eb="2">
      <t>ガツ</t>
    </rPh>
    <rPh sb="2" eb="3">
      <t>ウエ</t>
    </rPh>
    <rPh sb="6" eb="7">
      <t>ガツ</t>
    </rPh>
    <rPh sb="7" eb="8">
      <t>ゲ</t>
    </rPh>
    <phoneticPr fontId="5"/>
  </si>
  <si>
    <t>6月上旬～6月下旬</t>
    <rPh sb="1" eb="2">
      <t>ガツ</t>
    </rPh>
    <rPh sb="2" eb="4">
      <t>ジョウジュン</t>
    </rPh>
    <rPh sb="6" eb="7">
      <t>ガツ</t>
    </rPh>
    <rPh sb="7" eb="8">
      <t>シタ</t>
    </rPh>
    <phoneticPr fontId="5"/>
  </si>
  <si>
    <t>5月上旬～9月上旬</t>
    <rPh sb="1" eb="2">
      <t>ガツ</t>
    </rPh>
    <rPh sb="2" eb="4">
      <t>ジョウジュン</t>
    </rPh>
    <rPh sb="6" eb="7">
      <t>ガツ</t>
    </rPh>
    <rPh sb="7" eb="8">
      <t>ウエ</t>
    </rPh>
    <phoneticPr fontId="5"/>
  </si>
  <si>
    <t>6月下旬～8月下旬</t>
    <rPh sb="1" eb="2">
      <t>ガツ</t>
    </rPh>
    <rPh sb="2" eb="3">
      <t>シタ</t>
    </rPh>
    <rPh sb="6" eb="7">
      <t>ガツ</t>
    </rPh>
    <rPh sb="7" eb="8">
      <t>シタ</t>
    </rPh>
    <phoneticPr fontId="5"/>
  </si>
  <si>
    <t>コンバイン
乾燥機
籾摺り
石抜き
色彩選別機</t>
    <rPh sb="6" eb="9">
      <t>カンソウキ</t>
    </rPh>
    <phoneticPr fontId="5"/>
  </si>
  <si>
    <t>土づくり肥料</t>
    <rPh sb="0" eb="1">
      <t>ツチ</t>
    </rPh>
    <rPh sb="4" eb="6">
      <t>ヒリョウ</t>
    </rPh>
    <phoneticPr fontId="5"/>
  </si>
  <si>
    <t>殺虫剤，殺菌剤
　または殺虫殺菌剤（混合剤）</t>
    <rPh sb="0" eb="2">
      <t>サッチュウ</t>
    </rPh>
    <rPh sb="2" eb="3">
      <t>ザイ</t>
    </rPh>
    <rPh sb="4" eb="7">
      <t>サッキンザイ</t>
    </rPh>
    <rPh sb="12" eb="14">
      <t>サッチュウ</t>
    </rPh>
    <rPh sb="14" eb="16">
      <t>サッキン</t>
    </rPh>
    <rPh sb="16" eb="17">
      <t>ザイ</t>
    </rPh>
    <rPh sb="18" eb="21">
      <t>コンゴウザイ</t>
    </rPh>
    <phoneticPr fontId="5"/>
  </si>
  <si>
    <t>普通　　（中部）</t>
    <rPh sb="0" eb="2">
      <t>フツウ</t>
    </rPh>
    <rPh sb="5" eb="6">
      <t>チュウ</t>
    </rPh>
    <phoneticPr fontId="5"/>
  </si>
  <si>
    <t>本田準備</t>
    <rPh sb="0" eb="2">
      <t>ホンデン</t>
    </rPh>
    <rPh sb="2" eb="4">
      <t>ジュンビ</t>
    </rPh>
    <phoneticPr fontId="5"/>
  </si>
  <si>
    <t>（除草）</t>
    <rPh sb="1" eb="3">
      <t>ジョソウ</t>
    </rPh>
    <phoneticPr fontId="5"/>
  </si>
  <si>
    <t>土づくり</t>
    <rPh sb="0" eb="1">
      <t>ツチ</t>
    </rPh>
    <phoneticPr fontId="5"/>
  </si>
  <si>
    <t>その他</t>
    <rPh sb="2" eb="3">
      <t>タ</t>
    </rPh>
    <phoneticPr fontId="3"/>
  </si>
  <si>
    <t>田植機（肥料、育苗箱施用剤、除草剤散布機付）</t>
    <rPh sb="7" eb="9">
      <t>イクビョウ</t>
    </rPh>
    <phoneticPr fontId="5"/>
  </si>
  <si>
    <t>種籾　　　35ｋｇ
種子消毒剤
土壌消毒剤
育苗培土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6" eb="18">
      <t>ドジョウ</t>
    </rPh>
    <rPh sb="18" eb="20">
      <t>ショウドク</t>
    </rPh>
    <rPh sb="20" eb="21">
      <t>ザイ</t>
    </rPh>
    <phoneticPr fontId="5"/>
  </si>
  <si>
    <t>普通　　（中部）</t>
    <rPh sb="0" eb="2">
      <t>フツウ</t>
    </rPh>
    <rPh sb="5" eb="6">
      <t>ナカ</t>
    </rPh>
    <phoneticPr fontId="5"/>
  </si>
  <si>
    <t>活着するまで深水管理
初期生育期から最高分げつ期まで間断かんがい
無効分げつ期頃中干し
幼穂形成期以降間断かんがい
出穂したら落水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3" eb="65">
      <t>ラクスイ</t>
    </rPh>
    <phoneticPr fontId="5"/>
  </si>
  <si>
    <t>5月下旬～6月中旬</t>
    <rPh sb="1" eb="2">
      <t>ガツ</t>
    </rPh>
    <rPh sb="2" eb="3">
      <t>シタ</t>
    </rPh>
    <rPh sb="6" eb="7">
      <t>ガツ</t>
    </rPh>
    <rPh sb="7" eb="8">
      <t>ナカ</t>
    </rPh>
    <phoneticPr fontId="5"/>
  </si>
  <si>
    <t>7月上旬～7月下旬</t>
    <rPh sb="1" eb="2">
      <t>ガツ</t>
    </rPh>
    <rPh sb="2" eb="4">
      <t>ジョウジュン</t>
    </rPh>
    <rPh sb="6" eb="7">
      <t>ガツ</t>
    </rPh>
    <rPh sb="7" eb="8">
      <t>シタ</t>
    </rPh>
    <phoneticPr fontId="5"/>
  </si>
  <si>
    <t>9月上旬～9月下旬</t>
    <rPh sb="1" eb="2">
      <t>ガツ</t>
    </rPh>
    <rPh sb="2" eb="3">
      <t>ウエ</t>
    </rPh>
    <rPh sb="6" eb="7">
      <t>ガツ</t>
    </rPh>
    <rPh sb="7" eb="8">
      <t>シタ</t>
    </rPh>
    <phoneticPr fontId="5"/>
  </si>
  <si>
    <t>田植機（肥料、箱施用剤、除草剤散布機付）</t>
    <phoneticPr fontId="5"/>
  </si>
  <si>
    <t>飼料用稲専用収穫機
ラッピングマシン</t>
    <phoneticPr fontId="5"/>
  </si>
  <si>
    <t>トラクター</t>
    <phoneticPr fontId="5"/>
  </si>
  <si>
    <t>3月下旬～5月下旬</t>
    <rPh sb="1" eb="2">
      <t>ガツ</t>
    </rPh>
    <rPh sb="2" eb="3">
      <t>ゲ</t>
    </rPh>
    <rPh sb="6" eb="7">
      <t>ガツ</t>
    </rPh>
    <rPh sb="7" eb="8">
      <t>ゲ</t>
    </rPh>
    <phoneticPr fontId="5"/>
  </si>
  <si>
    <t>6月下旬～8月中旬</t>
    <rPh sb="1" eb="2">
      <t>ガツ</t>
    </rPh>
    <rPh sb="2" eb="3">
      <t>シタ</t>
    </rPh>
    <rPh sb="6" eb="7">
      <t>ガツ</t>
    </rPh>
    <rPh sb="7" eb="8">
      <t>チュウ</t>
    </rPh>
    <phoneticPr fontId="5"/>
  </si>
  <si>
    <t>10月中旬～11月下旬</t>
    <rPh sb="2" eb="3">
      <t>ガツ</t>
    </rPh>
    <rPh sb="3" eb="4">
      <t>ナカ</t>
    </rPh>
    <rPh sb="8" eb="9">
      <t>ガツ</t>
    </rPh>
    <rPh sb="9" eb="11">
      <t>ゲジュン</t>
    </rPh>
    <phoneticPr fontId="5"/>
  </si>
  <si>
    <t xml:space="preserve">トラクター
</t>
    <phoneticPr fontId="5"/>
  </si>
  <si>
    <t>その他</t>
    <rPh sb="2" eb="3">
      <t>タ</t>
    </rPh>
    <phoneticPr fontId="5"/>
  </si>
  <si>
    <t>4月下旬～6月上旬</t>
    <rPh sb="1" eb="2">
      <t>ガツ</t>
    </rPh>
    <rPh sb="2" eb="3">
      <t>ゲ</t>
    </rPh>
    <rPh sb="6" eb="7">
      <t>ガツ</t>
    </rPh>
    <rPh sb="7" eb="8">
      <t>ジョウ</t>
    </rPh>
    <phoneticPr fontId="5"/>
  </si>
  <si>
    <t>4月下旬～5月下旬</t>
    <rPh sb="1" eb="2">
      <t>ガツ</t>
    </rPh>
    <rPh sb="2" eb="3">
      <t>ゲ</t>
    </rPh>
    <rPh sb="6" eb="7">
      <t>ガツ</t>
    </rPh>
    <rPh sb="7" eb="8">
      <t>シタ</t>
    </rPh>
    <phoneticPr fontId="5"/>
  </si>
  <si>
    <t>10月上旬～10月下旬</t>
    <rPh sb="2" eb="3">
      <t>ガツ</t>
    </rPh>
    <rPh sb="3" eb="4">
      <t>ジョウ</t>
    </rPh>
    <rPh sb="8" eb="9">
      <t>ガツ</t>
    </rPh>
    <rPh sb="9" eb="10">
      <t>シタ</t>
    </rPh>
    <phoneticPr fontId="5"/>
  </si>
  <si>
    <t>10月下旬～11月下旬</t>
    <rPh sb="2" eb="3">
      <t>ガツ</t>
    </rPh>
    <rPh sb="3" eb="4">
      <t>ゲ</t>
    </rPh>
    <rPh sb="8" eb="9">
      <t>ガツ</t>
    </rPh>
    <rPh sb="9" eb="11">
      <t>ゲジュン</t>
    </rPh>
    <phoneticPr fontId="5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</si>
  <si>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5"/>
  </si>
  <si>
    <t>○</t>
    <phoneticPr fontId="4"/>
  </si>
  <si>
    <t>水稲（ＷＣＳ用稲）</t>
    <rPh sb="0" eb="2">
      <t>スイトウ</t>
    </rPh>
    <rPh sb="6" eb="7">
      <t>ヨウ</t>
    </rPh>
    <rPh sb="7" eb="8">
      <t>イネ</t>
    </rPh>
    <phoneticPr fontId="5"/>
  </si>
  <si>
    <t>水稲（食用米）</t>
    <rPh sb="0" eb="2">
      <t>スイトウ</t>
    </rPh>
    <rPh sb="3" eb="5">
      <t>ショクヨウ</t>
    </rPh>
    <rPh sb="5" eb="6">
      <t>コメ</t>
    </rPh>
    <phoneticPr fontId="5"/>
  </si>
  <si>
    <t>フォークリフトを108,000円×3ヶ月リース</t>
    <rPh sb="15" eb="16">
      <t>エン</t>
    </rPh>
    <rPh sb="19" eb="20">
      <t>ゲツ</t>
    </rPh>
    <phoneticPr fontId="5"/>
  </si>
  <si>
    <t>水稲20ha</t>
    <rPh sb="0" eb="2">
      <t>スイトウ</t>
    </rPh>
    <phoneticPr fontId="5"/>
  </si>
  <si>
    <t>WCS用稲10ha</t>
    <rPh sb="3" eb="4">
      <t>ヨウ</t>
    </rPh>
    <rPh sb="4" eb="5">
      <t>イネ</t>
    </rPh>
    <phoneticPr fontId="5"/>
  </si>
  <si>
    <r>
      <t>水稲20</t>
    </r>
    <r>
      <rPr>
        <sz val="11"/>
        <color indexed="8"/>
        <rFont val="ＭＳ Ｐゴシック"/>
        <family val="3"/>
        <charset val="128"/>
      </rPr>
      <t>ha＋WCS用稲</t>
    </r>
    <r>
      <rPr>
        <sz val="11"/>
        <color indexed="8"/>
        <rFont val="ＭＳ Ｐゴシック"/>
        <family val="3"/>
        <charset val="128"/>
      </rPr>
      <t>10</t>
    </r>
    <r>
      <rPr>
        <sz val="11"/>
        <color indexed="8"/>
        <rFont val="ＭＳ Ｐゴシック"/>
        <family val="3"/>
        <charset val="128"/>
      </rPr>
      <t>ha</t>
    </r>
    <rPh sb="10" eb="11">
      <t>ヨウ</t>
    </rPh>
    <rPh sb="11" eb="12">
      <t>イネ</t>
    </rPh>
    <phoneticPr fontId="4"/>
  </si>
  <si>
    <t>フォークリフトは3ヵ月間リースする。</t>
    <rPh sb="10" eb="12">
      <t>ゲツカン</t>
    </rPh>
    <phoneticPr fontId="5"/>
  </si>
  <si>
    <t>水稲（コシヒカリ）</t>
    <rPh sb="0" eb="2">
      <t>スイトウ</t>
    </rPh>
    <phoneticPr fontId="5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</si>
  <si>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5"/>
  </si>
  <si>
    <t>水稲（あきさかり）</t>
    <rPh sb="0" eb="2">
      <t>スイトウ</t>
    </rPh>
    <phoneticPr fontId="5"/>
  </si>
  <si>
    <t>水稲（WCS用稲）</t>
    <rPh sb="0" eb="2">
      <t>スイトウ</t>
    </rPh>
    <rPh sb="6" eb="7">
      <t>ヨウ</t>
    </rPh>
    <rPh sb="7" eb="8">
      <t>イネ</t>
    </rPh>
    <phoneticPr fontId="5"/>
  </si>
  <si>
    <t>広酪収穫委託</t>
  </si>
  <si>
    <t>フォークリフトリース</t>
    <phoneticPr fontId="5"/>
  </si>
  <si>
    <t>８－１　経費の算出基礎（水稲（コシヒカリ），1ha当たり）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25" eb="26">
      <t>ア</t>
    </rPh>
    <phoneticPr fontId="5"/>
  </si>
  <si>
    <t>８－２　経費の算出基礎（水稲（あきさかり），1ha当たり）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25" eb="26">
      <t>ア</t>
    </rPh>
    <phoneticPr fontId="5"/>
  </si>
  <si>
    <t>８－３　経費の算出基礎（水稲（WCS用稲），1ha当たり）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8" eb="19">
      <t>ヨウ</t>
    </rPh>
    <rPh sb="19" eb="20">
      <t>イネ</t>
    </rPh>
    <rPh sb="25" eb="26">
      <t>ア</t>
    </rPh>
    <phoneticPr fontId="5"/>
  </si>
  <si>
    <t>水稲20.0ha</t>
    <rPh sb="0" eb="2">
      <t>スイトウ</t>
    </rPh>
    <phoneticPr fontId="5"/>
  </si>
  <si>
    <t>WCS10ha</t>
    <phoneticPr fontId="5"/>
  </si>
  <si>
    <t>育苗関連機械</t>
    <rPh sb="2" eb="4">
      <t>カンレン</t>
    </rPh>
    <rPh sb="4" eb="6">
      <t>キカイ</t>
    </rPh>
    <phoneticPr fontId="5"/>
  </si>
  <si>
    <t>催芽機，播種プラント，育苗器等</t>
    <rPh sb="0" eb="1">
      <t>サイ</t>
    </rPh>
    <rPh sb="1" eb="2">
      <t>ガ</t>
    </rPh>
    <rPh sb="2" eb="3">
      <t>キ</t>
    </rPh>
    <rPh sb="4" eb="6">
      <t>ハシュ</t>
    </rPh>
    <rPh sb="11" eb="13">
      <t>イクビョウ</t>
    </rPh>
    <rPh sb="13" eb="14">
      <t>キ</t>
    </rPh>
    <rPh sb="14" eb="15">
      <t>トウ</t>
    </rPh>
    <phoneticPr fontId="5"/>
  </si>
  <si>
    <t>式</t>
    <phoneticPr fontId="5"/>
  </si>
  <si>
    <t>車両</t>
    <rPh sb="0" eb="2">
      <t>シャリョウ</t>
    </rPh>
    <phoneticPr fontId="5"/>
  </si>
  <si>
    <t>普通トラック，軽トラック</t>
    <rPh sb="0" eb="2">
      <t>フツウ</t>
    </rPh>
    <rPh sb="7" eb="8">
      <t>ケイ</t>
    </rPh>
    <phoneticPr fontId="5"/>
  </si>
  <si>
    <t>車両関連</t>
    <rPh sb="0" eb="2">
      <t>シャリョウ</t>
    </rPh>
    <rPh sb="2" eb="4">
      <t>カンレン</t>
    </rPh>
    <phoneticPr fontId="5"/>
  </si>
  <si>
    <t>高圧洗車機等</t>
    <rPh sb="0" eb="2">
      <t>コウアツ</t>
    </rPh>
    <rPh sb="2" eb="5">
      <t>センシャキ</t>
    </rPh>
    <rPh sb="4" eb="5">
      <t>キ</t>
    </rPh>
    <rPh sb="5" eb="6">
      <t>トウ</t>
    </rPh>
    <phoneticPr fontId="5"/>
  </si>
  <si>
    <t>　　合　　計</t>
  </si>
  <si>
    <t>水稲20ha</t>
  </si>
  <si>
    <t>WCS用稲10ha</t>
  </si>
  <si>
    <t>乗用管理機，マニュアスプレッダは他法人と共同利用する。</t>
    <rPh sb="0" eb="2">
      <t>ジョウヨウ</t>
    </rPh>
    <rPh sb="2" eb="4">
      <t>カンリ</t>
    </rPh>
    <rPh sb="4" eb="5">
      <t>キ</t>
    </rPh>
    <rPh sb="16" eb="19">
      <t>タホウジン</t>
    </rPh>
    <rPh sb="20" eb="22">
      <t>キョウドウ</t>
    </rPh>
    <rPh sb="22" eb="24">
      <t>リヨウ</t>
    </rPh>
    <phoneticPr fontId="5"/>
  </si>
  <si>
    <t>4条刈</t>
    <rPh sb="1" eb="2">
      <t>ジョウ</t>
    </rPh>
    <rPh sb="2" eb="3">
      <t>ガ</t>
    </rPh>
    <phoneticPr fontId="5"/>
  </si>
  <si>
    <t>日本型直接支払いで支出</t>
    <rPh sb="0" eb="2">
      <t>ニホン</t>
    </rPh>
    <rPh sb="2" eb="3">
      <t>ガタ</t>
    </rPh>
    <rPh sb="3" eb="5">
      <t>チョクセツ</t>
    </rPh>
    <rPh sb="5" eb="7">
      <t>シハラ</t>
    </rPh>
    <rPh sb="9" eb="11">
      <t>シシュツ</t>
    </rPh>
    <phoneticPr fontId="5"/>
  </si>
  <si>
    <t>シート他</t>
    <rPh sb="3" eb="4">
      <t>ホカ</t>
    </rPh>
    <phoneticPr fontId="5"/>
  </si>
  <si>
    <t>㎡</t>
    <phoneticPr fontId="5"/>
  </si>
  <si>
    <t>3年間</t>
    <rPh sb="1" eb="3">
      <t>ネンカン</t>
    </rPh>
    <phoneticPr fontId="5"/>
  </si>
  <si>
    <t>　</t>
    <phoneticPr fontId="4"/>
  </si>
  <si>
    <t>備　考</t>
    <phoneticPr fontId="5"/>
  </si>
  <si>
    <t>品種の組み合わせで，機械の効率的利用を図る</t>
    <rPh sb="0" eb="2">
      <t>ヒンシュ</t>
    </rPh>
    <rPh sb="3" eb="4">
      <t>ク</t>
    </rPh>
    <rPh sb="5" eb="6">
      <t>ア</t>
    </rPh>
    <rPh sb="10" eb="12">
      <t>キカイ</t>
    </rPh>
    <rPh sb="13" eb="15">
      <t>コウリツ</t>
    </rPh>
    <rPh sb="15" eb="16">
      <t>テキ</t>
    </rPh>
    <rPh sb="16" eb="18">
      <t>リヨウ</t>
    </rPh>
    <rPh sb="19" eb="20">
      <t>ハカ</t>
    </rPh>
    <phoneticPr fontId="5"/>
  </si>
  <si>
    <t>耕起
入水後代かきを2回</t>
    <rPh sb="0" eb="2">
      <t>コウキ</t>
    </rPh>
    <rPh sb="3" eb="5">
      <t>ニュウスイ</t>
    </rPh>
    <rPh sb="5" eb="6">
      <t>ゴ</t>
    </rPh>
    <rPh sb="6" eb="7">
      <t>シロ</t>
    </rPh>
    <rPh sb="11" eb="12">
      <t>カイ</t>
    </rPh>
    <phoneticPr fontId="5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</si>
  <si>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5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</si>
  <si>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5"/>
  </si>
  <si>
    <t>土づくり肥料を散布して耕起</t>
    <rPh sb="0" eb="1">
      <t>ツチ</t>
    </rPh>
    <rPh sb="4" eb="6">
      <t>ヒリョウ</t>
    </rPh>
    <rPh sb="7" eb="9">
      <t>サンプ</t>
    </rPh>
    <rPh sb="11" eb="13">
      <t>コウキ</t>
    </rPh>
    <phoneticPr fontId="5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</si>
  <si>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5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</si>
  <si>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5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</si>
  <si>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5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</si>
  <si>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5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</si>
  <si>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5"/>
  </si>
  <si>
    <t>適期防除</t>
    <rPh sb="0" eb="2">
      <t>テッキ</t>
    </rPh>
    <rPh sb="2" eb="4">
      <t>ボウジョ</t>
    </rPh>
    <phoneticPr fontId="5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</si>
  <si>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5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</si>
  <si>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5"/>
  </si>
  <si>
    <t>トラクター
コンポキャスター</t>
    <phoneticPr fontId="5"/>
  </si>
  <si>
    <t>トラクター
ﾏﾆｭｱｽﾌﾟﾚｯﾀﾞ
コンポキャスター</t>
    <phoneticPr fontId="5"/>
  </si>
  <si>
    <t>機械時間（1ha当たり）</t>
    <rPh sb="0" eb="2">
      <t>キカイ</t>
    </rPh>
    <rPh sb="2" eb="4">
      <t>ジカン</t>
    </rPh>
    <phoneticPr fontId="5"/>
  </si>
  <si>
    <t>人力時間（1ha当たり）</t>
    <rPh sb="0" eb="2">
      <t>ジンリキ</t>
    </rPh>
    <rPh sb="2" eb="4">
      <t>ジカン</t>
    </rPh>
    <phoneticPr fontId="5"/>
  </si>
  <si>
    <t>使用資材
（1ha当たり）</t>
    <rPh sb="0" eb="2">
      <t>シヨウ</t>
    </rPh>
    <rPh sb="2" eb="4">
      <t>シザイ</t>
    </rPh>
    <rPh sb="9" eb="10">
      <t>ア</t>
    </rPh>
    <phoneticPr fontId="5"/>
  </si>
  <si>
    <t>牛ふん堆肥
土づくり肥料</t>
    <rPh sb="0" eb="1">
      <t>ギュウ</t>
    </rPh>
    <rPh sb="3" eb="5">
      <t>タイヒ</t>
    </rPh>
    <phoneticPr fontId="5"/>
  </si>
  <si>
    <t>いもち病
紋枯病
セジロウンカ
トビイロウンカ
カメムシ類
等病害虫の発生が多発の場合、防除の有無を検討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rPh sb="31" eb="34">
      <t>ビョウガイチュウ</t>
    </rPh>
    <rPh sb="35" eb="37">
      <t>ハッセイ</t>
    </rPh>
    <rPh sb="38" eb="40">
      <t>タハツ</t>
    </rPh>
    <rPh sb="41" eb="43">
      <t>バアイ</t>
    </rPh>
    <rPh sb="44" eb="46">
      <t>ボウジョ</t>
    </rPh>
    <rPh sb="47" eb="49">
      <t>ウム</t>
    </rPh>
    <rPh sb="50" eb="52">
      <t>ケントウ</t>
    </rPh>
    <phoneticPr fontId="5"/>
  </si>
  <si>
    <t>飼料用稲専用収穫機による収穫、ラッピングマシンによるラッピング</t>
    <rPh sb="0" eb="2">
      <t>シリョウ</t>
    </rPh>
    <rPh sb="2" eb="3">
      <t>ヨウ</t>
    </rPh>
    <rPh sb="3" eb="4">
      <t>イネ</t>
    </rPh>
    <rPh sb="4" eb="6">
      <t>センヨウ</t>
    </rPh>
    <rPh sb="6" eb="8">
      <t>シュウカク</t>
    </rPh>
    <rPh sb="8" eb="9">
      <t>キ</t>
    </rPh>
    <rPh sb="12" eb="14">
      <t>シュウカク</t>
    </rPh>
    <phoneticPr fontId="5"/>
  </si>
  <si>
    <t>堆肥、土づくり肥料を散布して耕起</t>
    <rPh sb="0" eb="2">
      <t>タイヒ</t>
    </rPh>
    <rPh sb="3" eb="4">
      <t>ツチ</t>
    </rPh>
    <rPh sb="7" eb="9">
      <t>ヒリョウ</t>
    </rPh>
    <rPh sb="10" eb="12">
      <t>サンプ</t>
    </rPh>
    <rPh sb="14" eb="16">
      <t>コウキ</t>
    </rPh>
    <phoneticPr fontId="5"/>
  </si>
  <si>
    <t>肥料
　基肥一発型緩効性肥料　270kg
箱施用剤
除草剤
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1" eb="22">
      <t>ハコ</t>
    </rPh>
    <rPh sb="22" eb="24">
      <t>セヨウ</t>
    </rPh>
    <rPh sb="24" eb="25">
      <t>ザイ</t>
    </rPh>
    <rPh sb="26" eb="29">
      <t>ジョソウザイ</t>
    </rPh>
    <phoneticPr fontId="5"/>
  </si>
  <si>
    <t>ラップフィルム
ネット</t>
    <phoneticPr fontId="5"/>
  </si>
  <si>
    <t>種籾　　　20ｋｇ
種子消毒剤
土壌消毒剤
育苗培土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6" eb="18">
      <t>ドジョウ</t>
    </rPh>
    <rPh sb="18" eb="20">
      <t>ショウドク</t>
    </rPh>
    <rPh sb="20" eb="21">
      <t>ザイ</t>
    </rPh>
    <phoneticPr fontId="5"/>
  </si>
  <si>
    <t>肥料
　基肥一発型緩効性肥料　300kg～400kg
箱施用剤
除草剤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2" eb="35">
      <t>ジョソウザイ</t>
    </rPh>
    <phoneticPr fontId="5"/>
  </si>
  <si>
    <t>適期防除
防除可能な農薬・期間を確認</t>
    <rPh sb="0" eb="2">
      <t>テッキ</t>
    </rPh>
    <rPh sb="2" eb="4">
      <t>ボウジョ</t>
    </rPh>
    <rPh sb="5" eb="7">
      <t>ボウジョ</t>
    </rPh>
    <rPh sb="7" eb="9">
      <t>カノウ</t>
    </rPh>
    <rPh sb="10" eb="12">
      <t>ノウヤク</t>
    </rPh>
    <rPh sb="13" eb="15">
      <t>キカン</t>
    </rPh>
    <rPh sb="16" eb="18">
      <t>カクニン</t>
    </rPh>
    <phoneticPr fontId="5"/>
  </si>
  <si>
    <t>適期刈取
均一にラッピングする。</t>
    <rPh sb="0" eb="2">
      <t>テッキ</t>
    </rPh>
    <rPh sb="2" eb="4">
      <t>カリト</t>
    </rPh>
    <rPh sb="5" eb="7">
      <t>キンイツ</t>
    </rPh>
    <phoneticPr fontId="5"/>
  </si>
  <si>
    <t>３－１　標準技術（食用米)は19Ｐを参照</t>
    <rPh sb="4" eb="6">
      <t>ヒョウジュン</t>
    </rPh>
    <rPh sb="6" eb="8">
      <t>ギジュツ</t>
    </rPh>
    <rPh sb="9" eb="11">
      <t>ショクヨウ</t>
    </rPh>
    <rPh sb="11" eb="12">
      <t>マイ</t>
    </rPh>
    <rPh sb="18" eb="20">
      <t>サンショウ</t>
    </rPh>
    <phoneticPr fontId="5"/>
  </si>
  <si>
    <t>右表（イ）　</t>
    <phoneticPr fontId="5"/>
  </si>
  <si>
    <t>右表（ウ）　</t>
    <phoneticPr fontId="5"/>
  </si>
  <si>
    <t>右表（エ）　</t>
    <phoneticPr fontId="5"/>
  </si>
  <si>
    <t>右表（エ）</t>
    <phoneticPr fontId="5"/>
  </si>
  <si>
    <t>右表（イ）</t>
    <phoneticPr fontId="5"/>
  </si>
  <si>
    <t>水稲：系統利用（一部構成員に販売）
WCS用稲：広酪出荷（複数年契約）</t>
    <rPh sb="0" eb="2">
      <t>スイトウ</t>
    </rPh>
    <rPh sb="10" eb="13">
      <t>コウセイイン</t>
    </rPh>
    <rPh sb="14" eb="16">
      <t>ハンバイ</t>
    </rPh>
    <rPh sb="21" eb="22">
      <t>ヨウ</t>
    </rPh>
    <rPh sb="22" eb="23">
      <t>イネ</t>
    </rPh>
    <rPh sb="24" eb="25">
      <t>ヒロ</t>
    </rPh>
    <rPh sb="25" eb="26">
      <t>ラク</t>
    </rPh>
    <rPh sb="26" eb="28">
      <t>シュッカ</t>
    </rPh>
    <rPh sb="29" eb="31">
      <t>フクスウ</t>
    </rPh>
    <rPh sb="31" eb="32">
      <t>ネン</t>
    </rPh>
    <rPh sb="32" eb="34">
      <t>ケイヤク</t>
    </rPh>
    <phoneticPr fontId="4"/>
  </si>
  <si>
    <t>水田利用の直接支払交付金</t>
    <rPh sb="0" eb="2">
      <t>スイデン</t>
    </rPh>
    <rPh sb="2" eb="4">
      <t>リヨウ</t>
    </rPh>
    <rPh sb="5" eb="7">
      <t>チョクセツ</t>
    </rPh>
    <rPh sb="7" eb="9">
      <t>シハライ</t>
    </rPh>
    <rPh sb="9" eb="12">
      <t>コウフキン</t>
    </rPh>
    <phoneticPr fontId="5"/>
  </si>
  <si>
    <t>土づくり肥料</t>
    <rPh sb="0" eb="1">
      <t>ツチ</t>
    </rPh>
    <rPh sb="4" eb="6">
      <t>ヒリョウ</t>
    </rPh>
    <phoneticPr fontId="4"/>
  </si>
  <si>
    <t>緩効性肥料</t>
    <rPh sb="0" eb="3">
      <t>カンコウセイ</t>
    </rPh>
    <rPh sb="3" eb="5">
      <t>ヒリョウ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</si>
  <si>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</si>
  <si>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</si>
  <si>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</si>
  <si>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殺菌剤</t>
    <rPh sb="0" eb="3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</si>
  <si>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</si>
  <si>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殺虫剤</t>
    <rPh sb="0" eb="3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</si>
  <si>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</si>
  <si>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</si>
  <si>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</si>
  <si>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６（参考）　固定資本装備と減価償却費（食用米，1ha当たり・1年当たり）</t>
    <rPh sb="2" eb="4">
      <t>サンコウ</t>
    </rPh>
    <rPh sb="19" eb="21">
      <t>ショクヨウ</t>
    </rPh>
    <rPh sb="21" eb="22">
      <t>マイ</t>
    </rPh>
    <rPh sb="26" eb="27">
      <t>ア</t>
    </rPh>
    <rPh sb="31" eb="32">
      <t>ネン</t>
    </rPh>
    <rPh sb="32" eb="33">
      <t>ア</t>
    </rPh>
    <phoneticPr fontId="5"/>
  </si>
  <si>
    <t>６（参考）　固定資本装備と減価償却費（WCS用稲，1ha当たり・1年当たり）</t>
    <rPh sb="2" eb="4">
      <t>サンコウ</t>
    </rPh>
    <rPh sb="22" eb="23">
      <t>ヨウ</t>
    </rPh>
    <rPh sb="23" eb="24">
      <t>イネ</t>
    </rPh>
    <rPh sb="28" eb="29">
      <t>ア</t>
    </rPh>
    <rPh sb="33" eb="34">
      <t>ネン</t>
    </rPh>
    <rPh sb="34" eb="35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</si>
</sst>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#,##0.00_);[Red]\(#,##0.00\)"/>
    <numFmt numFmtId="187" formatCode="&quot;水&quot;&quot;稲&quot;#,##0.0&quot;ha&quot;"/>
    <numFmt numFmtId="188" formatCode="&quot;大豆&quot;#,##0.0&quot;ha&quot;"/>
    <numFmt numFmtId="189" formatCode="0&quot;円/時&quot;"/>
    <numFmt numFmtId="190" formatCode="0&quot;円/袋&quot;"/>
    <numFmt numFmtId="191" formatCode="0&quot;円/10a&quot;"/>
    <numFmt numFmtId="192" formatCode="0.0_);\(0.0\)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</fills>
  <borders count="19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7" fontId="14" fillId="0" borderId="0"/>
    <xf numFmtId="0" fontId="2" fillId="0" borderId="0"/>
    <xf numFmtId="0" fontId="15" fillId="0" borderId="0"/>
    <xf numFmtId="0" fontId="2" fillId="0" borderId="0"/>
    <xf numFmtId="0" fontId="2" fillId="0" borderId="0">
      <alignment vertical="center"/>
    </xf>
    <xf numFmtId="0" fontId="13" fillId="0" borderId="0"/>
    <xf numFmtId="0" fontId="13" fillId="0" borderId="0"/>
  </cellStyleXfs>
  <cellXfs count="882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176" fontId="10" fillId="0" borderId="1" xfId="0" applyNumberFormat="1" applyFont="1" applyBorder="1" applyAlignment="1">
      <alignment vertical="center" shrinkToFit="1"/>
    </xf>
    <xf numFmtId="179" fontId="1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9" fontId="2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9" fontId="10" fillId="0" borderId="1" xfId="0" applyNumberFormat="1" applyFont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176" fontId="10" fillId="2" borderId="7" xfId="0" applyNumberFormat="1" applyFont="1" applyFill="1" applyBorder="1" applyAlignment="1">
      <alignment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vertical="center" shrinkToFit="1"/>
    </xf>
    <xf numFmtId="176" fontId="10" fillId="0" borderId="10" xfId="0" applyNumberFormat="1" applyFont="1" applyFill="1" applyBorder="1" applyAlignment="1">
      <alignment vertical="center" shrinkToFit="1"/>
    </xf>
    <xf numFmtId="176" fontId="10" fillId="0" borderId="10" xfId="0" applyNumberFormat="1" applyFont="1" applyFill="1" applyBorder="1" applyAlignment="1">
      <alignment horizontal="left" vertical="center" shrinkToFit="1"/>
    </xf>
    <xf numFmtId="179" fontId="10" fillId="0" borderId="10" xfId="0" applyNumberFormat="1" applyFont="1" applyFill="1" applyBorder="1" applyAlignment="1">
      <alignment vertical="center" shrinkToFit="1"/>
    </xf>
    <xf numFmtId="9" fontId="10" fillId="0" borderId="1" xfId="0" applyNumberFormat="1" applyFont="1" applyFill="1" applyBorder="1" applyAlignment="1">
      <alignment vertical="center" shrinkToFit="1"/>
    </xf>
    <xf numFmtId="9" fontId="10" fillId="0" borderId="1" xfId="1" applyFont="1" applyBorder="1" applyAlignment="1">
      <alignment vertical="center" shrinkToFit="1"/>
    </xf>
    <xf numFmtId="182" fontId="10" fillId="0" borderId="1" xfId="1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9" fontId="10" fillId="0" borderId="6" xfId="0" applyNumberFormat="1" applyFont="1" applyBorder="1" applyAlignment="1">
      <alignment vertical="center" shrinkToFit="1"/>
    </xf>
    <xf numFmtId="182" fontId="10" fillId="0" borderId="6" xfId="1" applyNumberFormat="1" applyFont="1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176" fontId="10" fillId="0" borderId="6" xfId="0" applyNumberFormat="1" applyFont="1" applyBorder="1" applyAlignment="1">
      <alignment horizontal="right" vertical="center" shrinkToFit="1"/>
    </xf>
    <xf numFmtId="176" fontId="10" fillId="0" borderId="6" xfId="0" applyNumberFormat="1" applyFont="1" applyBorder="1" applyAlignment="1">
      <alignment horizontal="left" vertical="center" shrinkToFit="1"/>
    </xf>
    <xf numFmtId="176" fontId="10" fillId="2" borderId="6" xfId="0" applyNumberFormat="1" applyFont="1" applyFill="1" applyBorder="1" applyAlignment="1">
      <alignment vertical="center" shrinkToFit="1"/>
    </xf>
    <xf numFmtId="176" fontId="10" fillId="2" borderId="6" xfId="0" applyNumberFormat="1" applyFont="1" applyFill="1" applyBorder="1" applyAlignment="1">
      <alignment horizontal="left" vertical="center" shrinkToFit="1"/>
    </xf>
    <xf numFmtId="179" fontId="10" fillId="2" borderId="6" xfId="0" applyNumberFormat="1" applyFont="1" applyFill="1" applyBorder="1" applyAlignment="1">
      <alignment vertical="center" shrinkToFit="1"/>
    </xf>
    <xf numFmtId="9" fontId="10" fillId="0" borderId="6" xfId="1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3" applyFont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181" fontId="0" fillId="0" borderId="14" xfId="0" applyNumberFormat="1" applyFont="1" applyBorder="1" applyAlignment="1">
      <alignment horizontal="right" vertical="center"/>
    </xf>
    <xf numFmtId="38" fontId="0" fillId="0" borderId="15" xfId="3" applyFont="1" applyBorder="1" applyAlignment="1">
      <alignment vertical="center" shrinkToFi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181" fontId="0" fillId="0" borderId="17" xfId="0" applyNumberFormat="1" applyFont="1" applyBorder="1" applyAlignment="1">
      <alignment horizontal="right" vertical="center"/>
    </xf>
    <xf numFmtId="38" fontId="0" fillId="0" borderId="18" xfId="3" applyFont="1" applyBorder="1" applyAlignment="1">
      <alignment vertical="center" shrinkToFit="1"/>
    </xf>
    <xf numFmtId="181" fontId="0" fillId="3" borderId="17" xfId="0" applyNumberFormat="1" applyFont="1" applyFill="1" applyBorder="1" applyAlignment="1">
      <alignment horizontal="right" vertical="center"/>
    </xf>
    <xf numFmtId="181" fontId="0" fillId="3" borderId="19" xfId="0" applyNumberFormat="1" applyFont="1" applyFill="1" applyBorder="1" applyAlignment="1">
      <alignment horizontal="right" vertical="center"/>
    </xf>
    <xf numFmtId="181" fontId="0" fillId="0" borderId="20" xfId="0" applyNumberFormat="1" applyFont="1" applyBorder="1" applyAlignment="1">
      <alignment horizontal="right" vertical="center"/>
    </xf>
    <xf numFmtId="0" fontId="0" fillId="0" borderId="20" xfId="0" applyFont="1" applyBorder="1" applyAlignment="1">
      <alignment vertical="center"/>
    </xf>
    <xf numFmtId="181" fontId="0" fillId="4" borderId="17" xfId="0" applyNumberFormat="1" applyFont="1" applyFill="1" applyBorder="1" applyAlignment="1">
      <alignment horizontal="right" vertical="center"/>
    </xf>
    <xf numFmtId="181" fontId="0" fillId="0" borderId="16" xfId="0" applyNumberFormat="1" applyFont="1" applyBorder="1" applyAlignment="1">
      <alignment horizontal="right" vertical="center"/>
    </xf>
    <xf numFmtId="0" fontId="0" fillId="0" borderId="20" xfId="0" applyFont="1" applyFill="1" applyBorder="1" applyAlignment="1">
      <alignment vertical="center"/>
    </xf>
    <xf numFmtId="0" fontId="17" fillId="0" borderId="17" xfId="0" applyFont="1" applyBorder="1" applyAlignment="1">
      <alignment vertical="center"/>
    </xf>
    <xf numFmtId="181" fontId="0" fillId="4" borderId="21" xfId="0" applyNumberFormat="1" applyFont="1" applyFill="1" applyBorder="1" applyAlignment="1">
      <alignment horizontal="right" vertical="center"/>
    </xf>
    <xf numFmtId="38" fontId="0" fillId="0" borderId="22" xfId="3" applyFont="1" applyBorder="1" applyAlignment="1">
      <alignment vertical="center" shrinkToFit="1"/>
    </xf>
    <xf numFmtId="181" fontId="0" fillId="3" borderId="23" xfId="3" applyNumberFormat="1" applyFont="1" applyFill="1" applyBorder="1" applyAlignment="1">
      <alignment horizontal="right" vertical="center"/>
    </xf>
    <xf numFmtId="38" fontId="0" fillId="0" borderId="24" xfId="3" applyFont="1" applyBorder="1" applyAlignment="1">
      <alignment vertical="center" shrinkToFit="1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181" fontId="0" fillId="0" borderId="11" xfId="3" applyNumberFormat="1" applyFont="1" applyBorder="1" applyAlignment="1">
      <alignment horizontal="right" vertical="center"/>
    </xf>
    <xf numFmtId="181" fontId="0" fillId="0" borderId="20" xfId="3" applyNumberFormat="1" applyFont="1" applyBorder="1" applyAlignment="1">
      <alignment horizontal="right" vertical="center"/>
    </xf>
    <xf numFmtId="38" fontId="0" fillId="0" borderId="27" xfId="3" applyFont="1" applyBorder="1" applyAlignment="1">
      <alignment vertical="center" shrinkToFit="1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181" fontId="0" fillId="0" borderId="29" xfId="3" applyNumberFormat="1" applyFont="1" applyBorder="1" applyAlignment="1">
      <alignment horizontal="right" vertical="center"/>
    </xf>
    <xf numFmtId="38" fontId="0" fillId="0" borderId="30" xfId="3" applyFont="1" applyBorder="1" applyAlignment="1">
      <alignment vertical="center" shrinkToFit="1"/>
    </xf>
    <xf numFmtId="181" fontId="0" fillId="4" borderId="31" xfId="3" applyNumberFormat="1" applyFont="1" applyFill="1" applyBorder="1" applyAlignment="1">
      <alignment horizontal="right" vertical="center"/>
    </xf>
    <xf numFmtId="181" fontId="0" fillId="3" borderId="32" xfId="3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5" xfId="0" applyNumberFormat="1" applyFont="1" applyBorder="1" applyAlignment="1">
      <alignment horizontal="center" vertical="center" shrinkToFit="1"/>
    </xf>
    <xf numFmtId="179" fontId="0" fillId="0" borderId="5" xfId="0" applyNumberFormat="1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2" fontId="0" fillId="0" borderId="1" xfId="1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1" applyFont="1" applyBorder="1" applyAlignment="1">
      <alignment vertical="center" shrinkToFit="1"/>
    </xf>
    <xf numFmtId="176" fontId="0" fillId="2" borderId="7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>
      <alignment horizontal="left"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vertical="center"/>
    </xf>
    <xf numFmtId="176" fontId="0" fillId="0" borderId="36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35" xfId="0" applyNumberFormat="1" applyFont="1" applyBorder="1" applyAlignment="1">
      <alignment vertical="center"/>
    </xf>
    <xf numFmtId="176" fontId="0" fillId="0" borderId="37" xfId="0" applyNumberFormat="1" applyFont="1" applyBorder="1" applyAlignment="1">
      <alignment vertical="center"/>
    </xf>
    <xf numFmtId="176" fontId="0" fillId="0" borderId="38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34" xfId="0" applyNumberFormat="1" applyFont="1" applyBorder="1" applyAlignment="1">
      <alignment vertical="center" shrinkToFit="1"/>
    </xf>
    <xf numFmtId="179" fontId="0" fillId="0" borderId="39" xfId="0" applyNumberFormat="1" applyFont="1" applyBorder="1" applyAlignment="1">
      <alignment vertical="center" shrinkToFit="1"/>
    </xf>
    <xf numFmtId="176" fontId="0" fillId="0" borderId="38" xfId="0" applyNumberFormat="1" applyFont="1" applyBorder="1" applyAlignment="1">
      <alignment horizontal="center" vertical="center"/>
    </xf>
    <xf numFmtId="179" fontId="0" fillId="0" borderId="33" xfId="0" applyNumberFormat="1" applyFont="1" applyBorder="1" applyAlignment="1">
      <alignment vertical="center" shrinkToFit="1"/>
    </xf>
    <xf numFmtId="179" fontId="0" fillId="0" borderId="35" xfId="0" applyNumberFormat="1" applyFont="1" applyBorder="1" applyAlignment="1">
      <alignment vertical="center" shrinkToFit="1"/>
    </xf>
    <xf numFmtId="176" fontId="0" fillId="0" borderId="40" xfId="0" applyNumberFormat="1" applyFont="1" applyBorder="1" applyAlignment="1">
      <alignment horizontal="center"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41" xfId="0" applyNumberFormat="1" applyFont="1" applyBorder="1" applyAlignment="1">
      <alignment vertical="center" shrinkToFit="1"/>
    </xf>
    <xf numFmtId="0" fontId="2" fillId="0" borderId="0" xfId="8" applyFont="1" applyBorder="1" applyAlignment="1">
      <alignment vertical="center"/>
    </xf>
    <xf numFmtId="0" fontId="2" fillId="0" borderId="0" xfId="8" applyFont="1" applyAlignment="1">
      <alignment vertical="center"/>
    </xf>
    <xf numFmtId="0" fontId="9" fillId="0" borderId="42" xfId="8" applyFont="1" applyBorder="1" applyAlignment="1">
      <alignment horizontal="center" vertical="center" wrapText="1"/>
    </xf>
    <xf numFmtId="0" fontId="12" fillId="0" borderId="0" xfId="8" applyFont="1" applyAlignment="1">
      <alignment horizontal="justify" vertical="center"/>
    </xf>
    <xf numFmtId="0" fontId="2" fillId="0" borderId="0" xfId="0" applyFont="1" applyAlignment="1">
      <alignment vertical="center"/>
    </xf>
    <xf numFmtId="0" fontId="9" fillId="0" borderId="43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9" fillId="0" borderId="0" xfId="8" applyFont="1" applyAlignment="1">
      <alignment horizontal="justify" vertical="center"/>
    </xf>
    <xf numFmtId="0" fontId="2" fillId="0" borderId="44" xfId="8" applyFont="1" applyBorder="1" applyAlignment="1">
      <alignment horizontal="center" vertical="center" wrapText="1"/>
    </xf>
    <xf numFmtId="0" fontId="2" fillId="0" borderId="45" xfId="8" applyFont="1" applyBorder="1" applyAlignment="1">
      <alignment horizontal="center" vertical="center" wrapText="1"/>
    </xf>
    <xf numFmtId="0" fontId="2" fillId="0" borderId="46" xfId="8" applyFont="1" applyBorder="1" applyAlignment="1">
      <alignment horizontal="center" vertical="center" wrapText="1"/>
    </xf>
    <xf numFmtId="0" fontId="2" fillId="0" borderId="47" xfId="8" applyFont="1" applyBorder="1" applyAlignment="1">
      <alignment horizontal="center" vertical="center" wrapText="1"/>
    </xf>
    <xf numFmtId="0" fontId="2" fillId="0" borderId="48" xfId="8" applyFont="1" applyBorder="1" applyAlignment="1">
      <alignment horizontal="center" vertical="center" wrapText="1"/>
    </xf>
    <xf numFmtId="0" fontId="2" fillId="0" borderId="3" xfId="8" applyFont="1" applyBorder="1" applyAlignment="1">
      <alignment horizontal="center" vertical="center" wrapText="1"/>
    </xf>
    <xf numFmtId="0" fontId="2" fillId="0" borderId="49" xfId="8" applyFont="1" applyBorder="1" applyAlignment="1">
      <alignment horizontal="center" vertical="center" wrapText="1"/>
    </xf>
    <xf numFmtId="0" fontId="2" fillId="0" borderId="50" xfId="8" applyFont="1" applyBorder="1" applyAlignment="1">
      <alignment horizontal="center" vertical="center" wrapText="1"/>
    </xf>
    <xf numFmtId="0" fontId="2" fillId="0" borderId="51" xfId="8" applyFont="1" applyBorder="1" applyAlignment="1">
      <alignment horizontal="center" vertical="center" wrapText="1"/>
    </xf>
    <xf numFmtId="0" fontId="2" fillId="0" borderId="52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2" fillId="0" borderId="35" xfId="8" applyFont="1" applyBorder="1" applyAlignment="1">
      <alignment horizontal="center" vertical="center" wrapText="1"/>
    </xf>
    <xf numFmtId="0" fontId="2" fillId="0" borderId="53" xfId="8" applyFont="1" applyBorder="1" applyAlignment="1">
      <alignment horizontal="center" vertical="center" wrapText="1"/>
    </xf>
    <xf numFmtId="0" fontId="2" fillId="0" borderId="54" xfId="8" applyFont="1" applyBorder="1" applyAlignment="1">
      <alignment horizontal="center" vertical="center" wrapText="1"/>
    </xf>
    <xf numFmtId="0" fontId="2" fillId="0" borderId="55" xfId="8" applyFont="1" applyBorder="1" applyAlignment="1">
      <alignment horizontal="center" vertical="center" wrapText="1"/>
    </xf>
    <xf numFmtId="0" fontId="2" fillId="0" borderId="37" xfId="8" applyFont="1" applyBorder="1" applyAlignment="1">
      <alignment horizontal="center" vertical="center" wrapText="1"/>
    </xf>
    <xf numFmtId="0" fontId="9" fillId="0" borderId="0" xfId="8" applyFont="1" applyBorder="1" applyAlignment="1">
      <alignment vertical="center" wrapText="1"/>
    </xf>
    <xf numFmtId="0" fontId="9" fillId="0" borderId="36" xfId="8" applyFont="1" applyBorder="1" applyAlignment="1">
      <alignment vertical="center" wrapText="1"/>
    </xf>
    <xf numFmtId="0" fontId="2" fillId="0" borderId="0" xfId="8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56" xfId="0" applyNumberFormat="1" applyFont="1" applyBorder="1" applyAlignment="1">
      <alignment vertical="center"/>
    </xf>
    <xf numFmtId="177" fontId="0" fillId="0" borderId="57" xfId="0" applyNumberFormat="1" applyFont="1" applyBorder="1" applyAlignment="1">
      <alignment vertical="center"/>
    </xf>
    <xf numFmtId="177" fontId="0" fillId="0" borderId="56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7" xfId="0" applyNumberFormat="1" applyFont="1" applyBorder="1" applyAlignment="1">
      <alignment vertical="center" shrinkToFit="1"/>
    </xf>
    <xf numFmtId="177" fontId="0" fillId="2" borderId="7" xfId="0" applyNumberFormat="1" applyFont="1" applyFill="1" applyBorder="1" applyAlignment="1">
      <alignment horizontal="center" vertical="center" shrinkToFit="1"/>
    </xf>
    <xf numFmtId="177" fontId="0" fillId="2" borderId="58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59" xfId="0" applyNumberFormat="1" applyFont="1" applyFill="1" applyBorder="1" applyAlignment="1">
      <alignment vertical="center"/>
    </xf>
    <xf numFmtId="177" fontId="0" fillId="2" borderId="60" xfId="0" applyNumberFormat="1" applyFont="1" applyFill="1" applyBorder="1" applyAlignment="1">
      <alignment vertical="center"/>
    </xf>
    <xf numFmtId="177" fontId="0" fillId="0" borderId="49" xfId="0" applyNumberFormat="1" applyFont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horizontal="left" vertical="center"/>
    </xf>
    <xf numFmtId="177" fontId="0" fillId="0" borderId="4" xfId="0" applyNumberFormat="1" applyFont="1" applyBorder="1" applyAlignment="1">
      <alignment vertical="center"/>
    </xf>
    <xf numFmtId="177" fontId="0" fillId="0" borderId="0" xfId="9" applyNumberFormat="1" applyFont="1" applyAlignment="1">
      <alignment vertical="center"/>
    </xf>
    <xf numFmtId="177" fontId="0" fillId="0" borderId="0" xfId="9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2" xfId="0" applyNumberFormat="1" applyFont="1" applyFill="1" applyBorder="1" applyAlignment="1">
      <alignment vertical="center"/>
    </xf>
    <xf numFmtId="177" fontId="0" fillId="2" borderId="10" xfId="0" applyNumberFormat="1" applyFont="1" applyFill="1" applyBorder="1" applyAlignment="1">
      <alignment vertical="center"/>
    </xf>
    <xf numFmtId="177" fontId="0" fillId="0" borderId="61" xfId="9" applyNumberFormat="1" applyFont="1" applyBorder="1" applyAlignment="1">
      <alignment vertical="center"/>
    </xf>
    <xf numFmtId="181" fontId="0" fillId="0" borderId="62" xfId="3" applyNumberFormat="1" applyFont="1" applyBorder="1" applyAlignment="1">
      <alignment vertical="center"/>
    </xf>
    <xf numFmtId="177" fontId="0" fillId="0" borderId="63" xfId="9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9" applyNumberFormat="1" applyFont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/>
    </xf>
    <xf numFmtId="177" fontId="0" fillId="0" borderId="6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vertical="center" shrinkToFit="1"/>
    </xf>
    <xf numFmtId="176" fontId="0" fillId="0" borderId="64" xfId="0" applyNumberFormat="1" applyFont="1" applyBorder="1" applyAlignment="1">
      <alignment horizontal="center" vertical="center" shrinkToFit="1"/>
    </xf>
    <xf numFmtId="176" fontId="0" fillId="0" borderId="65" xfId="0" applyNumberFormat="1" applyFont="1" applyBorder="1" applyAlignment="1">
      <alignment vertical="center" shrinkToFit="1"/>
    </xf>
    <xf numFmtId="176" fontId="0" fillId="0" borderId="39" xfId="0" applyNumberFormat="1" applyFont="1" applyBorder="1" applyAlignment="1">
      <alignment vertical="center" shrinkToFit="1"/>
    </xf>
    <xf numFmtId="176" fontId="0" fillId="2" borderId="58" xfId="0" applyNumberFormat="1" applyFont="1" applyFill="1" applyBorder="1" applyAlignment="1">
      <alignment vertical="center" shrinkToFit="1"/>
    </xf>
    <xf numFmtId="176" fontId="0" fillId="2" borderId="66" xfId="0" applyNumberFormat="1" applyFont="1" applyFill="1" applyBorder="1" applyAlignment="1">
      <alignment vertical="center" shrinkToFit="1"/>
    </xf>
    <xf numFmtId="176" fontId="0" fillId="2" borderId="60" xfId="0" applyNumberFormat="1" applyFont="1" applyFill="1" applyBorder="1" applyAlignment="1">
      <alignment horizontal="center" vertical="center" shrinkToFit="1"/>
    </xf>
    <xf numFmtId="176" fontId="0" fillId="2" borderId="60" xfId="0" applyNumberFormat="1" applyFont="1" applyFill="1" applyBorder="1" applyAlignment="1">
      <alignment vertical="center" shrinkToFit="1"/>
    </xf>
    <xf numFmtId="176" fontId="0" fillId="2" borderId="67" xfId="0" applyNumberFormat="1" applyFont="1" applyFill="1" applyBorder="1" applyAlignment="1">
      <alignment vertical="center" shrinkToFit="1"/>
    </xf>
    <xf numFmtId="176" fontId="0" fillId="2" borderId="10" xfId="0" applyNumberFormat="1" applyFont="1" applyFill="1" applyBorder="1" applyAlignment="1">
      <alignment horizontal="center"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2" borderId="41" xfId="0" applyNumberFormat="1" applyFont="1" applyFill="1" applyBorder="1" applyAlignment="1">
      <alignment vertical="center" shrinkToFit="1"/>
    </xf>
    <xf numFmtId="176" fontId="0" fillId="0" borderId="20" xfId="0" applyNumberFormat="1" applyFont="1" applyBorder="1" applyAlignment="1">
      <alignment vertical="center" shrinkToFit="1"/>
    </xf>
    <xf numFmtId="176" fontId="0" fillId="0" borderId="42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9" fontId="0" fillId="0" borderId="11" xfId="0" applyNumberFormat="1" applyFont="1" applyBorder="1" applyAlignment="1">
      <alignment horizontal="center" vertical="center" shrinkToFit="1"/>
    </xf>
    <xf numFmtId="176" fontId="0" fillId="2" borderId="68" xfId="0" applyNumberFormat="1" applyFont="1" applyFill="1" applyBorder="1" applyAlignment="1">
      <alignment vertical="center" shrinkToFit="1"/>
    </xf>
    <xf numFmtId="179" fontId="0" fillId="0" borderId="32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2" borderId="58" xfId="0" applyNumberFormat="1" applyFont="1" applyFill="1" applyBorder="1" applyAlignment="1">
      <alignment vertical="center" shrinkToFit="1"/>
    </xf>
    <xf numFmtId="183" fontId="0" fillId="2" borderId="69" xfId="0" applyNumberFormat="1" applyFont="1" applyFill="1" applyBorder="1" applyAlignment="1">
      <alignment vertical="center" shrinkToFit="1"/>
    </xf>
    <xf numFmtId="183" fontId="0" fillId="2" borderId="7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65" xfId="0" applyNumberFormat="1" applyFont="1" applyBorder="1" applyAlignment="1">
      <alignment vertical="center" shrinkToFit="1"/>
    </xf>
    <xf numFmtId="177" fontId="0" fillId="2" borderId="71" xfId="0" applyNumberFormat="1" applyFont="1" applyFill="1" applyBorder="1" applyAlignment="1">
      <alignment vertical="center" shrinkToFit="1"/>
    </xf>
    <xf numFmtId="177" fontId="0" fillId="2" borderId="72" xfId="0" applyNumberFormat="1" applyFont="1" applyFill="1" applyBorder="1" applyAlignment="1">
      <alignment vertical="center" shrinkToFit="1"/>
    </xf>
    <xf numFmtId="177" fontId="0" fillId="2" borderId="68" xfId="0" applyNumberFormat="1" applyFont="1" applyFill="1" applyBorder="1" applyAlignment="1">
      <alignment vertical="center" shrinkToFit="1"/>
    </xf>
    <xf numFmtId="177" fontId="0" fillId="2" borderId="73" xfId="0" applyNumberFormat="1" applyFont="1" applyFill="1" applyBorder="1" applyAlignment="1">
      <alignment vertical="center" shrinkToFit="1"/>
    </xf>
    <xf numFmtId="177" fontId="0" fillId="0" borderId="6" xfId="0" applyNumberFormat="1" applyFont="1" applyBorder="1" applyAlignment="1">
      <alignment horizontal="center" vertical="center" shrinkToFit="1"/>
    </xf>
    <xf numFmtId="181" fontId="0" fillId="0" borderId="16" xfId="3" applyNumberFormat="1" applyFont="1" applyFill="1" applyBorder="1" applyAlignment="1">
      <alignment vertical="center"/>
    </xf>
    <xf numFmtId="181" fontId="0" fillId="0" borderId="20" xfId="3" applyNumberFormat="1" applyFont="1" applyFill="1" applyBorder="1" applyAlignment="1">
      <alignment vertical="center"/>
    </xf>
    <xf numFmtId="181" fontId="2" fillId="2" borderId="31" xfId="3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74" xfId="0" applyFont="1" applyBorder="1" applyAlignment="1">
      <alignment vertical="center"/>
    </xf>
    <xf numFmtId="0" fontId="0" fillId="0" borderId="75" xfId="0" applyFont="1" applyBorder="1" applyAlignment="1">
      <alignment vertical="center"/>
    </xf>
    <xf numFmtId="181" fontId="0" fillId="0" borderId="76" xfId="3" applyNumberFormat="1" applyFont="1" applyFill="1" applyBorder="1" applyAlignment="1">
      <alignment vertical="center"/>
    </xf>
    <xf numFmtId="177" fontId="0" fillId="0" borderId="77" xfId="9" applyNumberFormat="1" applyFont="1" applyBorder="1" applyAlignment="1">
      <alignment vertical="center"/>
    </xf>
    <xf numFmtId="177" fontId="0" fillId="2" borderId="78" xfId="0" applyNumberFormat="1" applyFont="1" applyFill="1" applyBorder="1" applyAlignment="1">
      <alignment vertical="center" shrinkToFit="1"/>
    </xf>
    <xf numFmtId="177" fontId="0" fillId="0" borderId="78" xfId="9" applyNumberFormat="1" applyFont="1" applyBorder="1" applyAlignment="1">
      <alignment vertical="center"/>
    </xf>
    <xf numFmtId="177" fontId="0" fillId="0" borderId="79" xfId="9" applyNumberFormat="1" applyFont="1" applyBorder="1" applyAlignment="1">
      <alignment horizontal="right" vertical="center"/>
    </xf>
    <xf numFmtId="177" fontId="0" fillId="0" borderId="79" xfId="9" applyNumberFormat="1" applyFont="1" applyBorder="1" applyAlignment="1">
      <alignment horizontal="left" vertical="center" shrinkToFit="1"/>
    </xf>
    <xf numFmtId="177" fontId="0" fillId="0" borderId="80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horizontal="left" vertical="center"/>
    </xf>
    <xf numFmtId="178" fontId="0" fillId="0" borderId="35" xfId="0" applyNumberFormat="1" applyFont="1" applyBorder="1" applyAlignment="1">
      <alignment horizontal="left" vertical="center"/>
    </xf>
    <xf numFmtId="177" fontId="0" fillId="0" borderId="35" xfId="9" applyNumberFormat="1" applyFont="1" applyBorder="1" applyAlignment="1">
      <alignment vertical="center" shrinkToFit="1"/>
    </xf>
    <xf numFmtId="177" fontId="0" fillId="0" borderId="81" xfId="9" applyNumberFormat="1" applyFont="1" applyBorder="1" applyAlignment="1">
      <alignment vertical="center"/>
    </xf>
    <xf numFmtId="177" fontId="0" fillId="0" borderId="82" xfId="9" applyNumberFormat="1" applyFont="1" applyBorder="1" applyAlignment="1">
      <alignment vertical="center"/>
    </xf>
    <xf numFmtId="177" fontId="0" fillId="0" borderId="35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177" fontId="0" fillId="0" borderId="35" xfId="0" applyNumberForma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9" fontId="0" fillId="0" borderId="49" xfId="0" applyNumberFormat="1" applyFont="1" applyFill="1" applyBorder="1" applyAlignment="1">
      <alignment vertical="center"/>
    </xf>
    <xf numFmtId="177" fontId="0" fillId="0" borderId="83" xfId="0" applyNumberFormat="1" applyFill="1" applyBorder="1" applyAlignment="1">
      <alignment vertical="center"/>
    </xf>
    <xf numFmtId="177" fontId="0" fillId="0" borderId="84" xfId="0" applyNumberFormat="1" applyFont="1" applyFill="1" applyBorder="1" applyAlignment="1">
      <alignment vertical="center"/>
    </xf>
    <xf numFmtId="177" fontId="0" fillId="0" borderId="83" xfId="0" applyNumberFormat="1" applyFont="1" applyFill="1" applyBorder="1" applyAlignment="1">
      <alignment horizontal="center" vertical="center"/>
    </xf>
    <xf numFmtId="177" fontId="0" fillId="0" borderId="85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86" xfId="0" applyNumberForma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horizontal="center" vertical="center" shrinkToFit="1"/>
    </xf>
    <xf numFmtId="177" fontId="0" fillId="0" borderId="83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vertical="center" shrinkToFit="1"/>
    </xf>
    <xf numFmtId="177" fontId="0" fillId="0" borderId="38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38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35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88" xfId="0" applyNumberForma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7" fontId="0" fillId="0" borderId="4" xfId="0" applyNumberFormat="1" applyFont="1" applyFill="1" applyBorder="1" applyAlignment="1">
      <alignment vertical="center"/>
    </xf>
    <xf numFmtId="177" fontId="0" fillId="0" borderId="37" xfId="0" applyNumberFormat="1" applyFont="1" applyFill="1" applyBorder="1" applyAlignment="1">
      <alignment vertical="center"/>
    </xf>
    <xf numFmtId="177" fontId="0" fillId="0" borderId="3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1" xfId="9" applyNumberFormat="1" applyFont="1" applyFill="1" applyBorder="1" applyAlignment="1">
      <alignment vertical="center"/>
    </xf>
    <xf numFmtId="0" fontId="0" fillId="0" borderId="49" xfId="9" applyFont="1" applyFill="1" applyBorder="1" applyAlignment="1">
      <alignment vertical="center" shrinkToFit="1"/>
    </xf>
    <xf numFmtId="0" fontId="0" fillId="0" borderId="4" xfId="9" applyFont="1" applyFill="1" applyBorder="1" applyAlignment="1">
      <alignment vertical="center" shrinkToFit="1"/>
    </xf>
    <xf numFmtId="178" fontId="0" fillId="0" borderId="4" xfId="0" applyNumberFormat="1" applyFont="1" applyFill="1" applyBorder="1" applyAlignment="1">
      <alignment horizontal="left" vertical="center"/>
    </xf>
    <xf numFmtId="0" fontId="0" fillId="0" borderId="49" xfId="9" applyFont="1" applyFill="1" applyBorder="1" applyAlignment="1">
      <alignment vertical="center"/>
    </xf>
    <xf numFmtId="0" fontId="0" fillId="0" borderId="4" xfId="9" applyFont="1" applyFill="1" applyBorder="1" applyAlignment="1">
      <alignment vertical="center"/>
    </xf>
    <xf numFmtId="177" fontId="0" fillId="0" borderId="49" xfId="9" applyNumberFormat="1" applyFont="1" applyFill="1" applyBorder="1" applyAlignment="1">
      <alignment vertical="center"/>
    </xf>
    <xf numFmtId="177" fontId="0" fillId="0" borderId="4" xfId="9" applyNumberFormat="1" applyFont="1" applyFill="1" applyBorder="1" applyAlignment="1">
      <alignment vertical="center"/>
    </xf>
    <xf numFmtId="178" fontId="0" fillId="0" borderId="49" xfId="0" applyNumberFormat="1" applyFont="1" applyFill="1" applyBorder="1" applyAlignment="1">
      <alignment horizontal="left" vertical="center"/>
    </xf>
    <xf numFmtId="177" fontId="0" fillId="0" borderId="49" xfId="9" applyNumberFormat="1" applyFont="1" applyFill="1" applyBorder="1" applyAlignment="1">
      <alignment vertical="center" shrinkToFit="1"/>
    </xf>
    <xf numFmtId="178" fontId="0" fillId="0" borderId="35" xfId="0" applyNumberFormat="1" applyFont="1" applyFill="1" applyBorder="1" applyAlignment="1">
      <alignment horizontal="left" vertical="center"/>
    </xf>
    <xf numFmtId="177" fontId="0" fillId="0" borderId="35" xfId="9" applyNumberFormat="1" applyFont="1" applyFill="1" applyBorder="1" applyAlignment="1">
      <alignment vertical="center" shrinkToFit="1"/>
    </xf>
    <xf numFmtId="178" fontId="0" fillId="0" borderId="37" xfId="0" applyNumberFormat="1" applyFont="1" applyFill="1" applyBorder="1" applyAlignment="1">
      <alignment horizontal="left" vertical="center"/>
    </xf>
    <xf numFmtId="177" fontId="0" fillId="0" borderId="1" xfId="9" applyNumberFormat="1" applyFont="1" applyFill="1" applyBorder="1" applyAlignment="1">
      <alignment vertical="center" shrinkToFit="1"/>
    </xf>
    <xf numFmtId="182" fontId="0" fillId="0" borderId="49" xfId="0" applyNumberFormat="1" applyFont="1" applyFill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7" fontId="0" fillId="0" borderId="89" xfId="9" applyNumberFormat="1" applyFont="1" applyBorder="1" applyAlignment="1">
      <alignment horizontal="center" vertical="center" shrinkToFit="1"/>
    </xf>
    <xf numFmtId="177" fontId="0" fillId="0" borderId="11" xfId="9" applyNumberFormat="1" applyFont="1" applyBorder="1" applyAlignment="1">
      <alignment horizontal="center" vertical="center" shrinkToFit="1"/>
    </xf>
    <xf numFmtId="176" fontId="0" fillId="2" borderId="90" xfId="0" applyNumberFormat="1" applyFont="1" applyFill="1" applyBorder="1" applyAlignment="1">
      <alignment horizontal="center" vertical="center" shrinkToFit="1"/>
    </xf>
    <xf numFmtId="177" fontId="0" fillId="2" borderId="90" xfId="0" applyNumberFormat="1" applyFont="1" applyFill="1" applyBorder="1" applyAlignment="1">
      <alignment vertical="center" shrinkToFit="1"/>
    </xf>
    <xf numFmtId="177" fontId="0" fillId="0" borderId="91" xfId="9" applyNumberFormat="1" applyFont="1" applyBorder="1" applyAlignment="1">
      <alignment vertical="center" shrinkToFit="1"/>
    </xf>
    <xf numFmtId="176" fontId="0" fillId="0" borderId="91" xfId="0" applyNumberFormat="1" applyFont="1" applyBorder="1" applyAlignment="1">
      <alignment vertical="center"/>
    </xf>
    <xf numFmtId="177" fontId="0" fillId="0" borderId="20" xfId="9" applyNumberFormat="1" applyFont="1" applyBorder="1" applyAlignment="1">
      <alignment vertical="center" shrinkToFit="1"/>
    </xf>
    <xf numFmtId="177" fontId="0" fillId="0" borderId="20" xfId="9" applyNumberFormat="1" applyFont="1" applyFill="1" applyBorder="1" applyAlignment="1">
      <alignment vertical="center" shrinkToFit="1"/>
    </xf>
    <xf numFmtId="176" fontId="0" fillId="2" borderId="29" xfId="0" applyNumberFormat="1" applyFont="1" applyFill="1" applyBorder="1" applyAlignment="1">
      <alignment horizontal="center" vertical="center" shrinkToFit="1"/>
    </xf>
    <xf numFmtId="177" fontId="0" fillId="2" borderId="29" xfId="0" applyNumberFormat="1" applyFont="1" applyFill="1" applyBorder="1" applyAlignment="1">
      <alignment vertical="center" shrinkToFit="1"/>
    </xf>
    <xf numFmtId="176" fontId="0" fillId="2" borderId="92" xfId="0" applyNumberFormat="1" applyFont="1" applyFill="1" applyBorder="1" applyAlignment="1">
      <alignment vertical="center" shrinkToFit="1"/>
    </xf>
    <xf numFmtId="176" fontId="0" fillId="2" borderId="30" xfId="0" applyNumberFormat="1" applyFont="1" applyFill="1" applyBorder="1" applyAlignment="1">
      <alignment vertical="center" shrinkToFit="1"/>
    </xf>
    <xf numFmtId="177" fontId="0" fillId="0" borderId="14" xfId="9" applyNumberFormat="1" applyFont="1" applyBorder="1" applyAlignment="1">
      <alignment horizontal="center" vertical="center" shrinkToFit="1"/>
    </xf>
    <xf numFmtId="176" fontId="0" fillId="0" borderId="18" xfId="0" applyNumberFormat="1" applyFont="1" applyBorder="1" applyAlignment="1">
      <alignment vertical="center"/>
    </xf>
    <xf numFmtId="177" fontId="0" fillId="2" borderId="90" xfId="9" applyNumberFormat="1" applyFont="1" applyFill="1" applyBorder="1" applyAlignment="1">
      <alignment horizontal="center" vertical="center" shrinkToFit="1"/>
    </xf>
    <xf numFmtId="177" fontId="0" fillId="2" borderId="90" xfId="9" applyNumberFormat="1" applyFont="1" applyFill="1" applyBorder="1" applyAlignment="1">
      <alignment vertical="center" shrinkToFit="1"/>
    </xf>
    <xf numFmtId="176" fontId="0" fillId="2" borderId="92" xfId="0" applyNumberFormat="1" applyFont="1" applyFill="1" applyBorder="1" applyAlignment="1">
      <alignment vertical="center"/>
    </xf>
    <xf numFmtId="176" fontId="0" fillId="0" borderId="20" xfId="9" applyNumberFormat="1" applyFont="1" applyFill="1" applyBorder="1" applyAlignment="1">
      <alignment vertical="center" shrinkToFit="1"/>
    </xf>
    <xf numFmtId="176" fontId="0" fillId="0" borderId="93" xfId="0" applyNumberFormat="1" applyFont="1" applyBorder="1" applyAlignment="1">
      <alignment vertical="center" shrinkToFit="1"/>
    </xf>
    <xf numFmtId="177" fontId="0" fillId="0" borderId="93" xfId="0" applyNumberFormat="1" applyFont="1" applyBorder="1" applyAlignment="1">
      <alignment horizontal="center" vertical="center" shrinkToFit="1"/>
    </xf>
    <xf numFmtId="177" fontId="0" fillId="0" borderId="42" xfId="0" applyNumberFormat="1" applyFont="1" applyBorder="1" applyAlignment="1">
      <alignment horizontal="center" vertical="center" shrinkToFit="1"/>
    </xf>
    <xf numFmtId="177" fontId="0" fillId="0" borderId="64" xfId="0" applyNumberFormat="1" applyFont="1" applyBorder="1" applyAlignment="1">
      <alignment horizontal="center" vertical="center" shrinkToFit="1"/>
    </xf>
    <xf numFmtId="177" fontId="0" fillId="0" borderId="94" xfId="0" applyNumberFormat="1" applyFont="1" applyBorder="1" applyAlignment="1">
      <alignment vertical="center" shrinkToFit="1"/>
    </xf>
    <xf numFmtId="176" fontId="0" fillId="2" borderId="58" xfId="0" applyNumberFormat="1" applyFont="1" applyFill="1" applyBorder="1" applyAlignment="1">
      <alignment horizontal="center" vertical="center" shrinkToFit="1"/>
    </xf>
    <xf numFmtId="177" fontId="0" fillId="0" borderId="11" xfId="0" applyNumberFormat="1" applyFont="1" applyBorder="1" applyAlignment="1">
      <alignment horizontal="center" vertical="center" shrinkToFit="1"/>
    </xf>
    <xf numFmtId="177" fontId="0" fillId="0" borderId="95" xfId="0" applyNumberFormat="1" applyFont="1" applyBorder="1" applyAlignment="1">
      <alignment horizontal="center" vertical="center" shrinkToFit="1"/>
    </xf>
    <xf numFmtId="177" fontId="0" fillId="2" borderId="71" xfId="0" applyNumberFormat="1" applyFont="1" applyFill="1" applyBorder="1" applyAlignment="1">
      <alignment horizontal="center" vertical="center" shrinkToFit="1"/>
    </xf>
    <xf numFmtId="177" fontId="0" fillId="0" borderId="14" xfId="0" applyNumberFormat="1" applyFont="1" applyBorder="1" applyAlignment="1">
      <alignment horizontal="center" vertical="center" shrinkToFit="1"/>
    </xf>
    <xf numFmtId="177" fontId="0" fillId="0" borderId="15" xfId="0" applyNumberFormat="1" applyFont="1" applyBorder="1" applyAlignment="1">
      <alignment horizontal="center" vertical="center" shrinkToFit="1"/>
    </xf>
    <xf numFmtId="176" fontId="0" fillId="0" borderId="96" xfId="0" applyNumberFormat="1" applyFont="1" applyBorder="1" applyAlignment="1">
      <alignment vertical="center"/>
    </xf>
    <xf numFmtId="176" fontId="0" fillId="0" borderId="97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9" fontId="0" fillId="0" borderId="20" xfId="0" applyNumberFormat="1" applyFont="1" applyFill="1" applyBorder="1" applyAlignment="1">
      <alignment vertical="center"/>
    </xf>
    <xf numFmtId="9" fontId="0" fillId="0" borderId="20" xfId="9" applyNumberFormat="1" applyFont="1" applyFill="1" applyBorder="1" applyAlignment="1">
      <alignment vertical="center" shrinkToFit="1"/>
    </xf>
    <xf numFmtId="179" fontId="0" fillId="0" borderId="91" xfId="0" applyNumberFormat="1" applyBorder="1" applyAlignment="1">
      <alignment vertical="center" shrinkToFit="1"/>
    </xf>
    <xf numFmtId="9" fontId="0" fillId="0" borderId="91" xfId="9" applyNumberFormat="1" applyFont="1" applyFill="1" applyBorder="1" applyAlignment="1">
      <alignment vertical="center" shrinkToFit="1"/>
    </xf>
    <xf numFmtId="3" fontId="0" fillId="0" borderId="20" xfId="10" applyNumberFormat="1" applyFont="1" applyFill="1" applyBorder="1" applyAlignment="1">
      <alignment vertical="center" shrinkToFit="1"/>
    </xf>
    <xf numFmtId="176" fontId="0" fillId="0" borderId="18" xfId="0" applyNumberFormat="1" applyFont="1" applyBorder="1" applyAlignment="1">
      <alignment vertical="center" shrinkToFit="1"/>
    </xf>
    <xf numFmtId="177" fontId="0" fillId="2" borderId="29" xfId="9" applyNumberFormat="1" applyFont="1" applyFill="1" applyBorder="1" applyAlignment="1">
      <alignment horizontal="center" vertical="center" shrinkToFit="1"/>
    </xf>
    <xf numFmtId="177" fontId="0" fillId="2" borderId="29" xfId="9" applyNumberFormat="1" applyFont="1" applyFill="1" applyBorder="1" applyAlignment="1">
      <alignment vertical="center" shrinkToFit="1"/>
    </xf>
    <xf numFmtId="176" fontId="0" fillId="2" borderId="30" xfId="0" applyNumberFormat="1" applyFon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181" fontId="0" fillId="0" borderId="32" xfId="0" applyNumberFormat="1" applyFont="1" applyBorder="1" applyAlignment="1">
      <alignment horizontal="right" vertical="center"/>
    </xf>
    <xf numFmtId="181" fontId="0" fillId="3" borderId="98" xfId="3" applyNumberFormat="1" applyFont="1" applyFill="1" applyBorder="1" applyAlignment="1">
      <alignment horizontal="right" vertical="center"/>
    </xf>
    <xf numFmtId="177" fontId="0" fillId="0" borderId="38" xfId="0" applyNumberFormat="1" applyFill="1" applyBorder="1" applyAlignment="1">
      <alignment vertical="center" shrinkToFit="1"/>
    </xf>
    <xf numFmtId="181" fontId="0" fillId="0" borderId="11" xfId="0" applyNumberFormat="1" applyFont="1" applyBorder="1" applyAlignment="1">
      <alignment horizontal="right" vertical="center"/>
    </xf>
    <xf numFmtId="0" fontId="0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83" xfId="0" applyNumberFormat="1" applyFill="1" applyBorder="1" applyAlignment="1">
      <alignment horizontal="center" vertical="center"/>
    </xf>
    <xf numFmtId="177" fontId="0" fillId="0" borderId="83" xfId="0" applyNumberFormat="1" applyFill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vertical="center" shrinkToFit="1"/>
    </xf>
    <xf numFmtId="176" fontId="0" fillId="0" borderId="40" xfId="0" applyNumberFormat="1" applyFont="1" applyBorder="1" applyAlignment="1">
      <alignment horizontal="center" vertical="center" shrinkToFit="1"/>
    </xf>
    <xf numFmtId="176" fontId="2" fillId="0" borderId="99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wrapText="1" shrinkToFit="1"/>
    </xf>
    <xf numFmtId="176" fontId="10" fillId="0" borderId="39" xfId="0" applyNumberFormat="1" applyFont="1" applyBorder="1" applyAlignment="1">
      <alignment vertical="center" shrinkToFit="1"/>
    </xf>
    <xf numFmtId="176" fontId="10" fillId="2" borderId="39" xfId="0" applyNumberFormat="1" applyFont="1" applyFill="1" applyBorder="1" applyAlignment="1">
      <alignment vertical="center" shrinkToFit="1"/>
    </xf>
    <xf numFmtId="176" fontId="10" fillId="0" borderId="41" xfId="0" applyNumberFormat="1" applyFont="1" applyFill="1" applyBorder="1" applyAlignment="1">
      <alignment vertical="center" shrinkToFit="1"/>
    </xf>
    <xf numFmtId="176" fontId="0" fillId="0" borderId="99" xfId="0" applyNumberFormat="1" applyFont="1" applyBorder="1" applyAlignment="1">
      <alignment horizontal="center" vertical="center" shrinkToFit="1"/>
    </xf>
    <xf numFmtId="176" fontId="0" fillId="0" borderId="39" xfId="0" applyNumberFormat="1" applyFont="1" applyBorder="1" applyAlignment="1">
      <alignment horizontal="center" vertical="center" shrinkToFit="1"/>
    </xf>
    <xf numFmtId="176" fontId="0" fillId="2" borderId="39" xfId="0" applyNumberFormat="1" applyFont="1" applyFill="1" applyBorder="1" applyAlignment="1">
      <alignment vertical="center" shrinkToFit="1"/>
    </xf>
    <xf numFmtId="184" fontId="2" fillId="0" borderId="100" xfId="8" applyNumberFormat="1" applyFont="1" applyBorder="1" applyAlignment="1">
      <alignment vertical="center" wrapText="1"/>
    </xf>
    <xf numFmtId="0" fontId="9" fillId="0" borderId="49" xfId="8" applyFont="1" applyBorder="1" applyAlignment="1">
      <alignment vertical="center" wrapText="1"/>
    </xf>
    <xf numFmtId="0" fontId="9" fillId="0" borderId="50" xfId="8" applyFont="1" applyBorder="1" applyAlignment="1">
      <alignment vertical="center" wrapText="1"/>
    </xf>
    <xf numFmtId="0" fontId="2" fillId="0" borderId="49" xfId="8" applyFont="1" applyBorder="1" applyAlignment="1">
      <alignment vertical="center" wrapText="1"/>
    </xf>
    <xf numFmtId="0" fontId="2" fillId="0" borderId="50" xfId="8" applyFont="1" applyBorder="1" applyAlignment="1">
      <alignment vertical="center" wrapText="1"/>
    </xf>
    <xf numFmtId="0" fontId="9" fillId="0" borderId="3" xfId="8" applyFont="1" applyBorder="1" applyAlignment="1">
      <alignment horizontal="left" vertical="center"/>
    </xf>
    <xf numFmtId="0" fontId="9" fillId="0" borderId="3" xfId="8" applyFont="1" applyBorder="1" applyAlignment="1">
      <alignment vertical="center"/>
    </xf>
    <xf numFmtId="0" fontId="0" fillId="0" borderId="3" xfId="8" applyFont="1" applyBorder="1" applyAlignment="1">
      <alignment vertical="center"/>
    </xf>
    <xf numFmtId="181" fontId="0" fillId="0" borderId="101" xfId="0" applyNumberFormat="1" applyFont="1" applyBorder="1" applyAlignment="1">
      <alignment horizontal="right" vertical="center"/>
    </xf>
    <xf numFmtId="3" fontId="7" fillId="0" borderId="104" xfId="0" applyNumberFormat="1" applyFont="1" applyFill="1" applyBorder="1" applyAlignment="1"/>
    <xf numFmtId="177" fontId="0" fillId="0" borderId="50" xfId="0" applyNumberFormat="1" applyFont="1" applyBorder="1" applyAlignment="1">
      <alignment horizontal="center" vertical="center" shrinkToFit="1"/>
    </xf>
    <xf numFmtId="183" fontId="0" fillId="2" borderId="60" xfId="0" applyNumberFormat="1" applyFont="1" applyFill="1" applyBorder="1" applyAlignment="1">
      <alignment vertical="center" shrinkToFit="1"/>
    </xf>
    <xf numFmtId="176" fontId="0" fillId="0" borderId="105" xfId="0" applyNumberFormat="1" applyFont="1" applyBorder="1" applyAlignment="1">
      <alignment vertical="center" shrinkToFit="1"/>
    </xf>
    <xf numFmtId="176" fontId="0" fillId="2" borderId="106" xfId="0" applyNumberFormat="1" applyFont="1" applyFill="1" applyBorder="1" applyAlignment="1">
      <alignment vertical="center" shrinkToFit="1"/>
    </xf>
    <xf numFmtId="176" fontId="0" fillId="2" borderId="107" xfId="0" applyNumberFormat="1" applyFont="1" applyFill="1" applyBorder="1" applyAlignment="1">
      <alignment vertical="center" shrinkToFit="1"/>
    </xf>
    <xf numFmtId="176" fontId="0" fillId="2" borderId="108" xfId="0" applyNumberFormat="1" applyFont="1" applyFill="1" applyBorder="1" applyAlignment="1">
      <alignment horizontal="center" vertical="center" shrinkToFit="1"/>
    </xf>
    <xf numFmtId="183" fontId="0" fillId="2" borderId="108" xfId="0" applyNumberFormat="1" applyFont="1" applyFill="1" applyBorder="1" applyAlignment="1">
      <alignment vertical="center" shrinkToFit="1"/>
    </xf>
    <xf numFmtId="183" fontId="0" fillId="2" borderId="109" xfId="0" applyNumberFormat="1" applyFont="1" applyFill="1" applyBorder="1" applyAlignment="1">
      <alignment vertical="center" shrinkToFit="1"/>
    </xf>
    <xf numFmtId="183" fontId="0" fillId="2" borderId="110" xfId="0" applyNumberFormat="1" applyFont="1" applyFill="1" applyBorder="1" applyAlignment="1">
      <alignment vertical="center" shrinkToFit="1"/>
    </xf>
    <xf numFmtId="176" fontId="0" fillId="2" borderId="111" xfId="0" applyNumberFormat="1" applyFont="1" applyFill="1" applyBorder="1" applyAlignment="1">
      <alignment vertical="center" shrinkToFit="1"/>
    </xf>
    <xf numFmtId="176" fontId="0" fillId="0" borderId="112" xfId="0" applyNumberFormat="1" applyFont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6" fontId="0" fillId="0" borderId="114" xfId="0" applyNumberFormat="1" applyFont="1" applyBorder="1" applyAlignment="1">
      <alignment vertical="center" shrinkToFit="1"/>
    </xf>
    <xf numFmtId="176" fontId="0" fillId="0" borderId="115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vertical="center" shrinkToFit="1"/>
    </xf>
    <xf numFmtId="176" fontId="0" fillId="0" borderId="117" xfId="0" applyNumberFormat="1" applyFont="1" applyBorder="1" applyAlignment="1">
      <alignment vertical="center" shrinkToFit="1"/>
    </xf>
    <xf numFmtId="176" fontId="0" fillId="0" borderId="42" xfId="0" applyNumberFormat="1" applyFont="1" applyFill="1" applyBorder="1" applyAlignment="1">
      <alignment horizontal="center" vertical="center" shrinkToFit="1"/>
    </xf>
    <xf numFmtId="185" fontId="0" fillId="0" borderId="6" xfId="0" applyNumberFormat="1" applyFont="1" applyBorder="1" applyAlignment="1">
      <alignment horizontal="right" vertical="center" shrinkToFit="1"/>
    </xf>
    <xf numFmtId="176" fontId="17" fillId="0" borderId="6" xfId="0" applyNumberFormat="1" applyFont="1" applyBorder="1" applyAlignment="1">
      <alignment vertical="center" shrinkToFit="1"/>
    </xf>
    <xf numFmtId="186" fontId="0" fillId="0" borderId="1" xfId="0" applyNumberFormat="1" applyFont="1" applyBorder="1" applyAlignment="1">
      <alignment vertical="center" shrinkToFit="1"/>
    </xf>
    <xf numFmtId="187" fontId="0" fillId="0" borderId="1" xfId="0" applyNumberFormat="1" applyFont="1" applyBorder="1" applyAlignment="1">
      <alignment vertical="center" shrinkToFit="1"/>
    </xf>
    <xf numFmtId="188" fontId="0" fillId="0" borderId="1" xfId="0" applyNumberFormat="1" applyFont="1" applyBorder="1" applyAlignment="1">
      <alignment vertical="center" shrinkToFit="1"/>
    </xf>
    <xf numFmtId="183" fontId="0" fillId="0" borderId="1" xfId="0" applyNumberFormat="1" applyFont="1" applyFill="1" applyBorder="1" applyAlignment="1">
      <alignment vertical="center" shrinkToFit="1"/>
    </xf>
    <xf numFmtId="38" fontId="0" fillId="0" borderId="1" xfId="3" applyFont="1" applyFill="1" applyBorder="1" applyAlignment="1">
      <alignment vertical="center" shrinkToFit="1"/>
    </xf>
    <xf numFmtId="184" fontId="0" fillId="0" borderId="120" xfId="0" applyNumberFormat="1" applyFont="1" applyBorder="1" applyAlignment="1">
      <alignment horizontal="center" vertical="center"/>
    </xf>
    <xf numFmtId="190" fontId="0" fillId="0" borderId="37" xfId="0" applyNumberFormat="1" applyFont="1" applyFill="1" applyBorder="1" applyAlignment="1">
      <alignment vertical="center"/>
    </xf>
    <xf numFmtId="190" fontId="0" fillId="0" borderId="4" xfId="0" applyNumberFormat="1" applyFont="1" applyFill="1" applyBorder="1" applyAlignment="1">
      <alignment vertical="center"/>
    </xf>
    <xf numFmtId="191" fontId="0" fillId="0" borderId="121" xfId="9" applyNumberFormat="1" applyFont="1" applyBorder="1" applyAlignment="1">
      <alignment vertical="center"/>
    </xf>
    <xf numFmtId="177" fontId="0" fillId="0" borderId="104" xfId="0" applyNumberFormat="1" applyFont="1" applyFill="1" applyBorder="1" applyAlignment="1">
      <alignment vertical="center" shrinkToFit="1"/>
    </xf>
    <xf numFmtId="177" fontId="0" fillId="0" borderId="122" xfId="0" applyNumberFormat="1" applyFont="1" applyFill="1" applyBorder="1" applyAlignment="1">
      <alignment vertical="center" shrinkToFit="1"/>
    </xf>
    <xf numFmtId="184" fontId="9" fillId="0" borderId="102" xfId="8" applyNumberFormat="1" applyFont="1" applyFill="1" applyBorder="1" applyAlignment="1">
      <alignment vertical="center" wrapText="1"/>
    </xf>
    <xf numFmtId="184" fontId="9" fillId="0" borderId="6" xfId="8" applyNumberFormat="1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0" fillId="0" borderId="5" xfId="0" applyNumberFormat="1" applyFill="1" applyBorder="1" applyAlignment="1">
      <alignment horizontal="center" vertical="center" shrinkToFit="1"/>
    </xf>
    <xf numFmtId="179" fontId="0" fillId="5" borderId="20" xfId="0" applyNumberFormat="1" applyFont="1" applyFill="1" applyBorder="1" applyAlignment="1">
      <alignment vertical="center"/>
    </xf>
    <xf numFmtId="179" fontId="0" fillId="0" borderId="2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0" fontId="9" fillId="0" borderId="123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6" borderId="124" xfId="0" applyFont="1" applyFill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86" fontId="0" fillId="0" borderId="1" xfId="0" applyNumberFormat="1" applyFont="1" applyFill="1" applyBorder="1" applyAlignment="1">
      <alignment vertical="center" shrinkToFit="1"/>
    </xf>
    <xf numFmtId="177" fontId="0" fillId="0" borderId="94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7" fontId="0" fillId="0" borderId="65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176" fontId="10" fillId="0" borderId="6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vertical="center" shrinkToFit="1"/>
    </xf>
    <xf numFmtId="9" fontId="10" fillId="0" borderId="6" xfId="0" applyNumberFormat="1" applyFont="1" applyFill="1" applyBorder="1" applyAlignment="1">
      <alignment vertical="center" shrinkToFit="1"/>
    </xf>
    <xf numFmtId="182" fontId="10" fillId="0" borderId="6" xfId="1" applyNumberFormat="1" applyFont="1" applyFill="1" applyBorder="1" applyAlignment="1">
      <alignment vertical="center" shrinkToFit="1"/>
    </xf>
    <xf numFmtId="176" fontId="10" fillId="0" borderId="39" xfId="0" applyNumberFormat="1" applyFon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82" fontId="10" fillId="0" borderId="1" xfId="1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1" fillId="0" borderId="42" xfId="8" applyFont="1" applyBorder="1" applyAlignment="1">
      <alignment horizontal="center" vertical="center" wrapText="1"/>
    </xf>
    <xf numFmtId="0" fontId="1" fillId="0" borderId="64" xfId="8" applyFont="1" applyBorder="1" applyAlignment="1">
      <alignment horizontal="center" vertical="center" wrapText="1"/>
    </xf>
    <xf numFmtId="0" fontId="1" fillId="0" borderId="6" xfId="8" applyFont="1" applyBorder="1" applyAlignment="1">
      <alignment vertical="center" wrapText="1"/>
    </xf>
    <xf numFmtId="0" fontId="1" fillId="0" borderId="65" xfId="8" applyFont="1" applyBorder="1" applyAlignment="1">
      <alignment vertical="center" wrapText="1"/>
    </xf>
    <xf numFmtId="0" fontId="2" fillId="0" borderId="6" xfId="8" applyFont="1" applyBorder="1" applyAlignment="1">
      <alignment horizontal="left" vertical="center" wrapText="1"/>
    </xf>
    <xf numFmtId="0" fontId="2" fillId="0" borderId="65" xfId="8" applyFont="1" applyBorder="1" applyAlignment="1">
      <alignment horizontal="left" vertical="center" wrapText="1"/>
    </xf>
    <xf numFmtId="0" fontId="1" fillId="0" borderId="72" xfId="8" applyFont="1" applyBorder="1" applyAlignment="1">
      <alignment horizontal="left" vertical="center" wrapText="1"/>
    </xf>
    <xf numFmtId="0" fontId="0" fillId="0" borderId="72" xfId="8" applyFont="1" applyBorder="1" applyAlignment="1">
      <alignment horizontal="left" vertical="center" wrapText="1"/>
    </xf>
    <xf numFmtId="0" fontId="2" fillId="0" borderId="72" xfId="8" applyFont="1" applyBorder="1" applyAlignment="1">
      <alignment horizontal="left" vertical="center" wrapText="1"/>
    </xf>
    <xf numFmtId="0" fontId="2" fillId="0" borderId="68" xfId="8" applyFont="1" applyBorder="1" applyAlignment="1">
      <alignment horizontal="left" vertical="center" wrapText="1"/>
    </xf>
    <xf numFmtId="0" fontId="1" fillId="0" borderId="6" xfId="8" applyFont="1" applyFill="1" applyBorder="1" applyAlignment="1">
      <alignment horizontal="center" vertical="center" wrapText="1"/>
    </xf>
    <xf numFmtId="0" fontId="1" fillId="0" borderId="65" xfId="8" applyFont="1" applyFill="1" applyBorder="1" applyAlignment="1">
      <alignment horizontal="center" vertical="center" wrapText="1"/>
    </xf>
    <xf numFmtId="177" fontId="0" fillId="0" borderId="35" xfId="0" applyNumberFormat="1" applyFill="1" applyBorder="1" applyAlignment="1">
      <alignment vertical="center" shrinkToFit="1"/>
    </xf>
    <xf numFmtId="182" fontId="2" fillId="2" borderId="1" xfId="1" applyNumberFormat="1" applyFont="1" applyFill="1" applyBorder="1" applyAlignment="1">
      <alignment vertical="center" shrinkToFit="1"/>
    </xf>
    <xf numFmtId="9" fontId="0" fillId="2" borderId="1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9" fontId="0" fillId="2" borderId="7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0" fontId="0" fillId="0" borderId="88" xfId="0" applyBorder="1" applyAlignment="1">
      <alignment horizontal="center" vertical="center" textRotation="255" shrinkToFit="1"/>
    </xf>
    <xf numFmtId="0" fontId="0" fillId="0" borderId="127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82" fontId="0" fillId="0" borderId="128" xfId="1" applyNumberFormat="1" applyFont="1" applyFill="1" applyBorder="1" applyAlignment="1">
      <alignment vertical="center" shrinkToFit="1"/>
    </xf>
    <xf numFmtId="176" fontId="0" fillId="0" borderId="20" xfId="0" applyNumberFormat="1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vertical="center" shrinkToFit="1"/>
    </xf>
    <xf numFmtId="176" fontId="0" fillId="0" borderId="129" xfId="0" applyNumberFormat="1" applyFont="1" applyFill="1" applyBorder="1" applyAlignment="1">
      <alignment vertical="center" shrinkToFit="1"/>
    </xf>
    <xf numFmtId="179" fontId="0" fillId="0" borderId="130" xfId="0" applyNumberFormat="1" applyFont="1" applyFill="1" applyBorder="1" applyAlignment="1">
      <alignment vertical="center" shrinkToFit="1"/>
    </xf>
    <xf numFmtId="176" fontId="0" fillId="0" borderId="31" xfId="0" applyNumberFormat="1" applyFont="1" applyFill="1" applyBorder="1" applyAlignment="1">
      <alignment vertical="center" shrinkToFit="1"/>
    </xf>
    <xf numFmtId="176" fontId="0" fillId="0" borderId="22" xfId="0" applyNumberFormat="1" applyFont="1" applyFill="1" applyBorder="1" applyAlignment="1">
      <alignment vertical="center" shrinkToFit="1"/>
    </xf>
    <xf numFmtId="188" fontId="0" fillId="0" borderId="1" xfId="0" applyNumberFormat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187" fontId="0" fillId="0" borderId="6" xfId="0" applyNumberFormat="1" applyFont="1" applyBorder="1" applyAlignment="1">
      <alignment vertical="center" shrinkToFit="1"/>
    </xf>
    <xf numFmtId="188" fontId="0" fillId="0" borderId="119" xfId="0" applyNumberFormat="1" applyBorder="1" applyAlignment="1">
      <alignment vertical="center" shrinkToFit="1"/>
    </xf>
    <xf numFmtId="188" fontId="0" fillId="0" borderId="72" xfId="0" applyNumberFormat="1" applyFont="1" applyBorder="1" applyAlignment="1">
      <alignment vertical="center" shrinkToFit="1"/>
    </xf>
    <xf numFmtId="183" fontId="0" fillId="0" borderId="112" xfId="0" applyNumberFormat="1" applyFont="1" applyFill="1" applyBorder="1" applyAlignment="1">
      <alignment vertical="center" shrinkToFit="1"/>
    </xf>
    <xf numFmtId="183" fontId="0" fillId="0" borderId="114" xfId="0" applyNumberFormat="1" applyFont="1" applyFill="1" applyBorder="1" applyAlignment="1">
      <alignment vertical="center" shrinkToFit="1"/>
    </xf>
    <xf numFmtId="183" fontId="0" fillId="0" borderId="116" xfId="0" applyNumberFormat="1" applyFont="1" applyFill="1" applyBorder="1" applyAlignment="1">
      <alignment vertical="center" shrinkToFit="1"/>
    </xf>
    <xf numFmtId="0" fontId="2" fillId="0" borderId="144" xfId="8" applyFont="1" applyFill="1" applyBorder="1" applyAlignment="1">
      <alignment vertical="center" wrapText="1"/>
    </xf>
    <xf numFmtId="0" fontId="2" fillId="0" borderId="0" xfId="8" applyFont="1" applyFill="1" applyBorder="1" applyAlignment="1">
      <alignment vertical="center" wrapText="1"/>
    </xf>
    <xf numFmtId="0" fontId="2" fillId="0" borderId="77" xfId="8" applyFont="1" applyFill="1" applyBorder="1" applyAlignment="1">
      <alignment vertical="center" wrapText="1"/>
    </xf>
    <xf numFmtId="0" fontId="0" fillId="0" borderId="144" xfId="8" applyFont="1" applyFill="1" applyBorder="1" applyAlignment="1">
      <alignment vertical="center" wrapText="1"/>
    </xf>
    <xf numFmtId="177" fontId="0" fillId="0" borderId="49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 shrinkToFit="1"/>
    </xf>
    <xf numFmtId="176" fontId="0" fillId="0" borderId="20" xfId="0" applyNumberFormat="1" applyFont="1" applyBorder="1" applyAlignment="1">
      <alignment vertical="center"/>
    </xf>
    <xf numFmtId="0" fontId="1" fillId="0" borderId="109" xfId="8" applyFont="1" applyBorder="1" applyAlignment="1">
      <alignment horizontal="left" vertical="center" wrapText="1"/>
    </xf>
    <xf numFmtId="0" fontId="0" fillId="0" borderId="109" xfId="8" applyFont="1" applyBorder="1" applyAlignment="1">
      <alignment horizontal="left" vertical="center" wrapText="1"/>
    </xf>
    <xf numFmtId="0" fontId="18" fillId="0" borderId="6" xfId="8" applyFont="1" applyBorder="1" applyAlignment="1">
      <alignment vertical="center" wrapText="1"/>
    </xf>
    <xf numFmtId="0" fontId="18" fillId="0" borderId="6" xfId="8" applyFont="1" applyFill="1" applyBorder="1" applyAlignment="1">
      <alignment horizontal="center" vertical="center" wrapText="1"/>
    </xf>
    <xf numFmtId="0" fontId="19" fillId="0" borderId="6" xfId="8" applyFont="1" applyBorder="1" applyAlignment="1">
      <alignment horizontal="left" vertical="center" wrapText="1"/>
    </xf>
    <xf numFmtId="0" fontId="18" fillId="0" borderId="109" xfId="8" applyFont="1" applyBorder="1" applyAlignment="1">
      <alignment horizontal="left" vertical="center" wrapText="1"/>
    </xf>
    <xf numFmtId="0" fontId="18" fillId="0" borderId="6" xfId="8" applyFont="1" applyBorder="1" applyAlignment="1">
      <alignment horizontal="center" vertical="center" wrapText="1"/>
    </xf>
    <xf numFmtId="192" fontId="18" fillId="0" borderId="6" xfId="8" applyNumberFormat="1" applyFont="1" applyFill="1" applyBorder="1" applyAlignment="1">
      <alignment horizontal="center" vertical="center" wrapText="1"/>
    </xf>
    <xf numFmtId="0" fontId="18" fillId="0" borderId="6" xfId="8" applyFont="1" applyBorder="1" applyAlignment="1">
      <alignment horizontal="left" vertical="center" wrapText="1"/>
    </xf>
    <xf numFmtId="0" fontId="18" fillId="0" borderId="72" xfId="8" applyFont="1" applyBorder="1" applyAlignment="1">
      <alignment horizontal="left" vertical="center" wrapText="1"/>
    </xf>
    <xf numFmtId="0" fontId="18" fillId="0" borderId="6" xfId="8" applyFont="1" applyFill="1" applyBorder="1" applyAlignment="1">
      <alignment horizontal="center" vertical="center"/>
    </xf>
    <xf numFmtId="181" fontId="0" fillId="0" borderId="17" xfId="0" applyNumberFormat="1" applyFont="1" applyFill="1" applyBorder="1" applyAlignment="1">
      <alignment horizontal="right" vertical="center"/>
    </xf>
    <xf numFmtId="38" fontId="0" fillId="0" borderId="18" xfId="3" applyFont="1" applyFill="1" applyBorder="1" applyAlignment="1">
      <alignment vertical="center" shrinkToFit="1"/>
    </xf>
    <xf numFmtId="182" fontId="0" fillId="0" borderId="35" xfId="0" applyNumberFormat="1" applyFont="1" applyFill="1" applyBorder="1" applyAlignment="1">
      <alignment vertical="center"/>
    </xf>
    <xf numFmtId="189" fontId="0" fillId="0" borderId="37" xfId="0" applyNumberFormat="1" applyFont="1" applyFill="1" applyBorder="1" applyAlignment="1">
      <alignment vertical="center"/>
    </xf>
    <xf numFmtId="177" fontId="0" fillId="0" borderId="49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191" fontId="0" fillId="0" borderId="35" xfId="0" applyNumberFormat="1" applyFill="1" applyBorder="1" applyAlignment="1">
      <alignment vertical="center" shrinkToFit="1"/>
    </xf>
    <xf numFmtId="191" fontId="0" fillId="0" borderId="37" xfId="0" applyNumberFormat="1" applyFill="1" applyBorder="1" applyAlignment="1">
      <alignment vertical="center" shrinkToFit="1"/>
    </xf>
    <xf numFmtId="176" fontId="0" fillId="0" borderId="105" xfId="0" applyNumberFormat="1" applyFont="1" applyFill="1" applyBorder="1" applyAlignment="1">
      <alignment vertical="center" shrinkToFit="1"/>
    </xf>
    <xf numFmtId="177" fontId="2" fillId="0" borderId="20" xfId="9" applyNumberFormat="1" applyFont="1" applyFill="1" applyBorder="1" applyAlignment="1">
      <alignment vertical="center" shrinkToFit="1"/>
    </xf>
    <xf numFmtId="3" fontId="7" fillId="0" borderId="125" xfId="0" applyNumberFormat="1" applyFont="1" applyFill="1" applyBorder="1" applyAlignment="1"/>
    <xf numFmtId="176" fontId="0" fillId="0" borderId="112" xfId="0" applyNumberFormat="1" applyFont="1" applyFill="1" applyBorder="1" applyAlignment="1">
      <alignment vertical="center" shrinkToFit="1"/>
    </xf>
    <xf numFmtId="176" fontId="0" fillId="0" borderId="113" xfId="0" applyNumberFormat="1" applyFont="1" applyFill="1" applyBorder="1" applyAlignment="1">
      <alignment vertical="center" shrinkToFit="1"/>
    </xf>
    <xf numFmtId="176" fontId="0" fillId="0" borderId="114" xfId="0" applyNumberFormat="1" applyFont="1" applyFill="1" applyBorder="1" applyAlignment="1">
      <alignment vertical="center" shrinkToFit="1"/>
    </xf>
    <xf numFmtId="176" fontId="0" fillId="0" borderId="115" xfId="0" applyNumberFormat="1" applyFont="1" applyFill="1" applyBorder="1" applyAlignment="1">
      <alignment vertical="center" shrinkToFit="1"/>
    </xf>
    <xf numFmtId="0" fontId="1" fillId="0" borderId="42" xfId="8" applyFont="1" applyBorder="1" applyAlignment="1">
      <alignment horizontal="center" vertical="center" wrapText="1"/>
    </xf>
    <xf numFmtId="0" fontId="18" fillId="0" borderId="6" xfId="8" applyFont="1" applyFill="1" applyBorder="1" applyAlignment="1">
      <alignment horizontal="center" vertical="center" shrinkToFit="1"/>
    </xf>
    <xf numFmtId="0" fontId="1" fillId="0" borderId="65" xfId="8" applyFont="1" applyFill="1" applyBorder="1" applyAlignment="1">
      <alignment horizontal="center" vertical="center" shrinkToFit="1"/>
    </xf>
    <xf numFmtId="0" fontId="18" fillId="0" borderId="6" xfId="8" applyFont="1" applyFill="1" applyBorder="1" applyAlignment="1">
      <alignment vertical="center" wrapText="1"/>
    </xf>
    <xf numFmtId="0" fontId="1" fillId="0" borderId="65" xfId="8" applyFont="1" applyFill="1" applyBorder="1" applyAlignment="1">
      <alignment vertical="center" wrapText="1"/>
    </xf>
    <xf numFmtId="0" fontId="0" fillId="0" borderId="0" xfId="8" applyFont="1" applyBorder="1" applyAlignment="1">
      <alignment vertical="center"/>
    </xf>
    <xf numFmtId="176" fontId="0" fillId="0" borderId="102" xfId="0" applyNumberFormat="1" applyFont="1" applyFill="1" applyBorder="1" applyAlignment="1">
      <alignment vertical="center" shrinkToFit="1"/>
    </xf>
    <xf numFmtId="187" fontId="0" fillId="0" borderId="1" xfId="0" applyNumberFormat="1" applyFill="1" applyBorder="1" applyAlignment="1">
      <alignment horizontal="right" vertical="center" shrinkToFit="1"/>
    </xf>
    <xf numFmtId="176" fontId="10" fillId="0" borderId="6" xfId="0" applyNumberFormat="1" applyFont="1" applyFill="1" applyBorder="1" applyAlignment="1">
      <alignment horizontal="right" vertical="center" shrinkToFit="1"/>
    </xf>
    <xf numFmtId="176" fontId="10" fillId="0" borderId="6" xfId="0" applyNumberFormat="1" applyFont="1" applyFill="1" applyBorder="1" applyAlignment="1">
      <alignment horizontal="left" vertical="center" shrinkToFit="1"/>
    </xf>
    <xf numFmtId="176" fontId="2" fillId="0" borderId="102" xfId="0" applyNumberFormat="1" applyFont="1" applyFill="1" applyBorder="1" applyAlignment="1">
      <alignment vertical="center" shrinkToFit="1"/>
    </xf>
    <xf numFmtId="185" fontId="0" fillId="0" borderId="6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184" fontId="9" fillId="0" borderId="3" xfId="8" applyNumberFormat="1" applyFont="1" applyBorder="1" applyAlignment="1">
      <alignment horizontal="center" vertical="center" wrapText="1"/>
    </xf>
    <xf numFmtId="184" fontId="9" fillId="0" borderId="49" xfId="8" applyNumberFormat="1" applyFont="1" applyBorder="1" applyAlignment="1">
      <alignment horizontal="center" vertical="center" wrapText="1"/>
    </xf>
    <xf numFmtId="184" fontId="9" fillId="0" borderId="50" xfId="8" applyNumberFormat="1" applyFont="1" applyBorder="1" applyAlignment="1">
      <alignment horizontal="center" vertical="center" wrapText="1"/>
    </xf>
    <xf numFmtId="0" fontId="9" fillId="0" borderId="49" xfId="8" applyFont="1" applyBorder="1" applyAlignment="1">
      <alignment horizontal="center" vertical="center" wrapText="1"/>
    </xf>
    <xf numFmtId="0" fontId="9" fillId="0" borderId="4" xfId="8" applyFont="1" applyBorder="1" applyAlignment="1">
      <alignment horizontal="center" vertical="center" wrapText="1"/>
    </xf>
    <xf numFmtId="0" fontId="9" fillId="0" borderId="3" xfId="8" applyFont="1" applyBorder="1" applyAlignment="1">
      <alignment horizontal="center" vertical="center" wrapText="1"/>
    </xf>
    <xf numFmtId="0" fontId="9" fillId="0" borderId="50" xfId="8" applyFont="1" applyBorder="1" applyAlignment="1">
      <alignment horizontal="center" vertical="center" wrapText="1"/>
    </xf>
    <xf numFmtId="0" fontId="9" fillId="0" borderId="3" xfId="8" applyFont="1" applyBorder="1" applyAlignment="1">
      <alignment vertical="center" wrapText="1"/>
    </xf>
    <xf numFmtId="0" fontId="9" fillId="0" borderId="49" xfId="8" applyFont="1" applyBorder="1" applyAlignment="1">
      <alignment vertical="center" wrapText="1"/>
    </xf>
    <xf numFmtId="0" fontId="9" fillId="0" borderId="50" xfId="8" applyFont="1" applyBorder="1" applyAlignment="1">
      <alignment vertical="center" wrapText="1"/>
    </xf>
    <xf numFmtId="184" fontId="9" fillId="0" borderId="4" xfId="8" applyNumberFormat="1" applyFont="1" applyBorder="1" applyAlignment="1">
      <alignment horizontal="center" vertical="center" wrapText="1"/>
    </xf>
    <xf numFmtId="0" fontId="2" fillId="0" borderId="3" xfId="8" applyFont="1" applyBorder="1" applyAlignment="1">
      <alignment horizontal="left" vertical="center" wrapText="1"/>
    </xf>
    <xf numFmtId="0" fontId="2" fillId="0" borderId="49" xfId="8" applyFont="1" applyBorder="1" applyAlignment="1">
      <alignment horizontal="left" vertical="center" wrapText="1"/>
    </xf>
    <xf numFmtId="0" fontId="2" fillId="0" borderId="50" xfId="8" applyFont="1" applyBorder="1" applyAlignment="1">
      <alignment horizontal="left" vertical="center" wrapText="1"/>
    </xf>
    <xf numFmtId="0" fontId="9" fillId="0" borderId="57" xfId="8" applyFont="1" applyBorder="1" applyAlignment="1">
      <alignment horizontal="center" vertical="center" wrapText="1"/>
    </xf>
    <xf numFmtId="0" fontId="9" fillId="0" borderId="56" xfId="8" applyFont="1" applyBorder="1" applyAlignment="1">
      <alignment horizontal="center" vertical="center" wrapText="1"/>
    </xf>
    <xf numFmtId="0" fontId="9" fillId="0" borderId="148" xfId="8" applyFont="1" applyBorder="1" applyAlignment="1">
      <alignment horizontal="center" vertical="center" wrapText="1"/>
    </xf>
    <xf numFmtId="0" fontId="9" fillId="0" borderId="132" xfId="8" applyFont="1" applyBorder="1" applyAlignment="1">
      <alignment horizontal="center" vertical="center" wrapText="1"/>
    </xf>
    <xf numFmtId="0" fontId="9" fillId="0" borderId="100" xfId="8" applyFont="1" applyBorder="1" applyAlignment="1">
      <alignment horizontal="center" vertical="center" wrapText="1"/>
    </xf>
    <xf numFmtId="0" fontId="9" fillId="0" borderId="7" xfId="8" applyFont="1" applyBorder="1" applyAlignment="1">
      <alignment vertical="center" wrapText="1"/>
    </xf>
    <xf numFmtId="0" fontId="9" fillId="0" borderId="0" xfId="8" applyFont="1" applyBorder="1" applyAlignment="1">
      <alignment vertical="center" wrapText="1"/>
    </xf>
    <xf numFmtId="0" fontId="9" fillId="0" borderId="149" xfId="0" quotePrefix="1" applyFont="1" applyBorder="1" applyAlignment="1">
      <alignment horizontal="center" vertical="center" shrinkToFit="1"/>
    </xf>
    <xf numFmtId="0" fontId="9" fillId="0" borderId="149" xfId="0" applyFont="1" applyBorder="1" applyAlignment="1">
      <alignment horizontal="center" vertical="center" shrinkToFit="1"/>
    </xf>
    <xf numFmtId="0" fontId="9" fillId="0" borderId="103" xfId="0" applyFont="1" applyBorder="1" applyAlignment="1">
      <alignment horizontal="center" vertical="center" shrinkToFit="1"/>
    </xf>
    <xf numFmtId="0" fontId="2" fillId="0" borderId="150" xfId="0" applyFont="1" applyBorder="1" applyAlignment="1">
      <alignment horizontal="center" vertical="center" shrinkToFit="1"/>
    </xf>
    <xf numFmtId="0" fontId="2" fillId="0" borderId="151" xfId="0" applyFont="1" applyBorder="1" applyAlignment="1">
      <alignment horizontal="center" vertical="center" shrinkToFit="1"/>
    </xf>
    <xf numFmtId="0" fontId="2" fillId="0" borderId="152" xfId="0" applyFont="1" applyBorder="1" applyAlignment="1">
      <alignment horizontal="center" vertical="center" shrinkToFit="1"/>
    </xf>
    <xf numFmtId="0" fontId="1" fillId="0" borderId="123" xfId="0" applyFont="1" applyBorder="1" applyAlignment="1">
      <alignment horizontal="center" vertical="center" shrinkToFit="1"/>
    </xf>
    <xf numFmtId="0" fontId="2" fillId="0" borderId="123" xfId="0" applyFont="1" applyBorder="1" applyAlignment="1">
      <alignment horizontal="center" vertical="center" shrinkToFit="1"/>
    </xf>
    <xf numFmtId="0" fontId="9" fillId="0" borderId="150" xfId="0" applyFont="1" applyBorder="1" applyAlignment="1">
      <alignment horizontal="center" vertical="center" shrinkToFit="1"/>
    </xf>
    <xf numFmtId="0" fontId="9" fillId="0" borderId="152" xfId="0" applyFont="1" applyBorder="1" applyAlignment="1">
      <alignment horizontal="center" vertical="center" shrinkToFit="1"/>
    </xf>
    <xf numFmtId="0" fontId="1" fillId="0" borderId="150" xfId="0" applyFont="1" applyBorder="1" applyAlignment="1">
      <alignment horizontal="center" vertical="center" shrinkToFit="1"/>
    </xf>
    <xf numFmtId="0" fontId="9" fillId="0" borderId="151" xfId="0" applyFont="1" applyBorder="1" applyAlignment="1">
      <alignment horizontal="center" vertical="center" shrinkToFit="1"/>
    </xf>
    <xf numFmtId="0" fontId="9" fillId="0" borderId="123" xfId="0" applyFont="1" applyBorder="1" applyAlignment="1">
      <alignment horizontal="center" vertical="center" shrinkToFit="1"/>
    </xf>
    <xf numFmtId="0" fontId="9" fillId="0" borderId="153" xfId="8" applyFont="1" applyBorder="1" applyAlignment="1">
      <alignment horizontal="center" vertical="center" wrapText="1"/>
    </xf>
    <xf numFmtId="0" fontId="1" fillId="0" borderId="3" xfId="8" applyFont="1" applyBorder="1" applyAlignment="1">
      <alignment horizontal="left" vertical="center" wrapText="1"/>
    </xf>
    <xf numFmtId="0" fontId="9" fillId="0" borderId="49" xfId="8" applyFont="1" applyBorder="1" applyAlignment="1">
      <alignment horizontal="left" vertical="center" wrapText="1"/>
    </xf>
    <xf numFmtId="0" fontId="9" fillId="0" borderId="50" xfId="8" applyFont="1" applyBorder="1" applyAlignment="1">
      <alignment horizontal="left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3" xfId="8" applyFont="1" applyBorder="1" applyAlignment="1">
      <alignment horizontal="center" vertical="center" wrapText="1"/>
    </xf>
    <xf numFmtId="0" fontId="9" fillId="0" borderId="154" xfId="8" applyFont="1" applyBorder="1" applyAlignment="1">
      <alignment horizontal="center" vertical="center" wrapText="1"/>
    </xf>
    <xf numFmtId="0" fontId="2" fillId="0" borderId="100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9" fillId="0" borderId="57" xfId="8" applyFont="1" applyBorder="1" applyAlignment="1">
      <alignment vertical="center" wrapText="1"/>
    </xf>
    <xf numFmtId="0" fontId="9" fillId="0" borderId="56" xfId="8" applyFont="1" applyBorder="1" applyAlignment="1">
      <alignment vertical="center" wrapText="1"/>
    </xf>
    <xf numFmtId="0" fontId="9" fillId="0" borderId="134" xfId="8" applyFont="1" applyBorder="1" applyAlignment="1">
      <alignment vertical="center" wrapText="1"/>
    </xf>
    <xf numFmtId="0" fontId="9" fillId="0" borderId="94" xfId="8" applyFont="1" applyBorder="1" applyAlignment="1">
      <alignment horizontal="center" vertical="center" wrapText="1"/>
    </xf>
    <xf numFmtId="0" fontId="9" fillId="0" borderId="6" xfId="8" applyFont="1" applyBorder="1" applyAlignment="1">
      <alignment horizontal="center" vertical="center" wrapText="1"/>
    </xf>
    <xf numFmtId="0" fontId="2" fillId="0" borderId="73" xfId="8" applyFont="1" applyBorder="1" applyAlignment="1">
      <alignment horizontal="left" vertical="center" wrapText="1"/>
    </xf>
    <xf numFmtId="0" fontId="2" fillId="0" borderId="155" xfId="8" applyFont="1" applyBorder="1" applyAlignment="1">
      <alignment horizontal="left" vertical="center" wrapText="1"/>
    </xf>
    <xf numFmtId="0" fontId="2" fillId="0" borderId="9" xfId="8" applyFont="1" applyBorder="1" applyAlignment="1">
      <alignment horizontal="left" vertical="center" wrapText="1"/>
    </xf>
    <xf numFmtId="184" fontId="9" fillId="0" borderId="73" xfId="8" applyNumberFormat="1" applyFont="1" applyBorder="1" applyAlignment="1">
      <alignment horizontal="center" vertical="center" wrapText="1"/>
    </xf>
    <xf numFmtId="184" fontId="9" fillId="0" borderId="155" xfId="8" applyNumberFormat="1" applyFont="1" applyBorder="1" applyAlignment="1">
      <alignment horizontal="center" vertical="center" wrapText="1"/>
    </xf>
    <xf numFmtId="184" fontId="9" fillId="0" borderId="156" xfId="8" applyNumberFormat="1" applyFont="1" applyBorder="1" applyAlignment="1">
      <alignment horizontal="center" vertical="center" wrapText="1"/>
    </xf>
    <xf numFmtId="0" fontId="9" fillId="0" borderId="134" xfId="8" applyFont="1" applyBorder="1" applyAlignment="1">
      <alignment horizontal="center" vertical="center" wrapText="1"/>
    </xf>
    <xf numFmtId="0" fontId="9" fillId="0" borderId="157" xfId="8" applyFont="1" applyBorder="1" applyAlignment="1">
      <alignment horizontal="center" vertical="center" wrapText="1"/>
    </xf>
    <xf numFmtId="0" fontId="9" fillId="0" borderId="158" xfId="8" applyFont="1" applyBorder="1" applyAlignment="1">
      <alignment horizontal="center" vertical="center" wrapText="1"/>
    </xf>
    <xf numFmtId="184" fontId="9" fillId="0" borderId="9" xfId="8" applyNumberFormat="1" applyFont="1" applyBorder="1" applyAlignment="1">
      <alignment horizontal="center" vertical="center" wrapText="1"/>
    </xf>
    <xf numFmtId="0" fontId="9" fillId="0" borderId="73" xfId="8" applyFont="1" applyBorder="1" applyAlignment="1">
      <alignment vertical="center" wrapText="1"/>
    </xf>
    <xf numFmtId="0" fontId="9" fillId="0" borderId="155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2" fillId="0" borderId="159" xfId="8" applyFont="1" applyBorder="1" applyAlignment="1">
      <alignment horizontal="center" vertical="center"/>
    </xf>
    <xf numFmtId="0" fontId="2" fillId="0" borderId="20" xfId="8" applyFont="1" applyBorder="1" applyAlignment="1">
      <alignment horizontal="center" vertical="center"/>
    </xf>
    <xf numFmtId="0" fontId="0" fillId="0" borderId="20" xfId="8" applyFont="1" applyBorder="1" applyAlignment="1">
      <alignment vertical="center" wrapText="1"/>
    </xf>
    <xf numFmtId="0" fontId="2" fillId="0" borderId="20" xfId="8" applyFont="1" applyBorder="1" applyAlignment="1">
      <alignment vertical="center" wrapText="1"/>
    </xf>
    <xf numFmtId="0" fontId="2" fillId="0" borderId="18" xfId="8" applyFont="1" applyBorder="1" applyAlignment="1">
      <alignment vertical="center" wrapText="1"/>
    </xf>
    <xf numFmtId="0" fontId="2" fillId="0" borderId="17" xfId="8" applyFont="1" applyBorder="1" applyAlignment="1">
      <alignment horizontal="center" vertical="center"/>
    </xf>
    <xf numFmtId="0" fontId="2" fillId="0" borderId="21" xfId="8" applyFont="1" applyBorder="1" applyAlignment="1">
      <alignment horizontal="center" vertical="center"/>
    </xf>
    <xf numFmtId="0" fontId="2" fillId="0" borderId="31" xfId="8" applyFont="1" applyBorder="1" applyAlignment="1">
      <alignment horizontal="center" vertical="center"/>
    </xf>
    <xf numFmtId="0" fontId="0" fillId="0" borderId="25" xfId="8" applyFont="1" applyBorder="1" applyAlignment="1">
      <alignment horizontal="left" vertical="center" wrapText="1"/>
    </xf>
    <xf numFmtId="0" fontId="2" fillId="0" borderId="144" xfId="8" applyFont="1" applyBorder="1" applyAlignment="1">
      <alignment horizontal="left" vertical="center" wrapText="1"/>
    </xf>
    <xf numFmtId="0" fontId="2" fillId="0" borderId="160" xfId="8" applyFont="1" applyBorder="1" applyAlignment="1">
      <alignment horizontal="left" vertical="center" wrapText="1"/>
    </xf>
    <xf numFmtId="0" fontId="2" fillId="0" borderId="74" xfId="8" applyFont="1" applyBorder="1" applyAlignment="1">
      <alignment horizontal="left" vertical="center" wrapText="1"/>
    </xf>
    <xf numFmtId="0" fontId="2" fillId="0" borderId="0" xfId="8" applyFont="1" applyBorder="1" applyAlignment="1">
      <alignment horizontal="left" vertical="center" wrapText="1"/>
    </xf>
    <xf numFmtId="0" fontId="2" fillId="0" borderId="161" xfId="8" applyFont="1" applyBorder="1" applyAlignment="1">
      <alignment horizontal="left" vertical="center" wrapText="1"/>
    </xf>
    <xf numFmtId="0" fontId="2" fillId="0" borderId="76" xfId="8" applyFont="1" applyBorder="1" applyAlignment="1">
      <alignment horizontal="left" vertical="center" wrapText="1"/>
    </xf>
    <xf numFmtId="0" fontId="2" fillId="0" borderId="77" xfId="8" applyFont="1" applyBorder="1" applyAlignment="1">
      <alignment horizontal="left" vertical="center" wrapText="1"/>
    </xf>
    <xf numFmtId="0" fontId="2" fillId="0" borderId="162" xfId="8" applyFont="1" applyBorder="1" applyAlignment="1">
      <alignment horizontal="left" vertical="center" wrapText="1"/>
    </xf>
    <xf numFmtId="0" fontId="2" fillId="0" borderId="143" xfId="8" applyFont="1" applyBorder="1" applyAlignment="1">
      <alignment horizontal="center" vertical="center"/>
    </xf>
    <xf numFmtId="0" fontId="2" fillId="0" borderId="144" xfId="8" applyFont="1" applyBorder="1" applyAlignment="1">
      <alignment horizontal="center" vertical="center"/>
    </xf>
    <xf numFmtId="0" fontId="2" fillId="0" borderId="26" xfId="8" applyFont="1" applyBorder="1" applyAlignment="1">
      <alignment horizontal="center" vertical="center"/>
    </xf>
    <xf numFmtId="0" fontId="2" fillId="0" borderId="163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2" fillId="0" borderId="75" xfId="8" applyFont="1" applyBorder="1" applyAlignment="1">
      <alignment horizontal="center" vertical="center"/>
    </xf>
    <xf numFmtId="0" fontId="2" fillId="0" borderId="164" xfId="8" applyFont="1" applyBorder="1" applyAlignment="1">
      <alignment horizontal="center" vertical="center"/>
    </xf>
    <xf numFmtId="0" fontId="2" fillId="0" borderId="77" xfId="8" applyFont="1" applyBorder="1" applyAlignment="1">
      <alignment horizontal="center" vertical="center"/>
    </xf>
    <xf numFmtId="0" fontId="2" fillId="0" borderId="101" xfId="8" applyFont="1" applyBorder="1" applyAlignment="1">
      <alignment horizontal="center" vertical="center"/>
    </xf>
    <xf numFmtId="0" fontId="2" fillId="0" borderId="31" xfId="8" applyFont="1" applyBorder="1" applyAlignment="1">
      <alignment vertical="center" wrapText="1"/>
    </xf>
    <xf numFmtId="0" fontId="2" fillId="0" borderId="22" xfId="8" applyFont="1" applyBorder="1" applyAlignment="1">
      <alignment vertical="center" wrapText="1"/>
    </xf>
    <xf numFmtId="0" fontId="2" fillId="0" borderId="165" xfId="8" applyFont="1" applyBorder="1" applyAlignment="1">
      <alignment horizontal="center" vertical="center"/>
    </xf>
    <xf numFmtId="0" fontId="0" fillId="0" borderId="31" xfId="8" applyFont="1" applyBorder="1" applyAlignment="1">
      <alignment vertical="center" wrapText="1"/>
    </xf>
    <xf numFmtId="0" fontId="2" fillId="0" borderId="77" xfId="8" applyFont="1" applyFill="1" applyBorder="1" applyAlignment="1">
      <alignment horizontal="center" vertical="center" wrapText="1"/>
    </xf>
    <xf numFmtId="0" fontId="2" fillId="0" borderId="162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161" xfId="8" applyFont="1" applyFill="1" applyBorder="1" applyAlignment="1">
      <alignment horizontal="center" vertical="center" wrapText="1"/>
    </xf>
    <xf numFmtId="0" fontId="2" fillId="0" borderId="74" xfId="8" applyFont="1" applyFill="1" applyBorder="1" applyAlignment="1">
      <alignment horizontal="left" vertical="center" wrapText="1"/>
    </xf>
    <xf numFmtId="0" fontId="2" fillId="0" borderId="0" xfId="8" applyFont="1" applyFill="1" applyBorder="1" applyAlignment="1">
      <alignment horizontal="left" vertical="center" wrapText="1"/>
    </xf>
    <xf numFmtId="0" fontId="2" fillId="0" borderId="76" xfId="8" applyFont="1" applyFill="1" applyBorder="1" applyAlignment="1">
      <alignment horizontal="left" vertical="center" wrapText="1"/>
    </xf>
    <xf numFmtId="0" fontId="2" fillId="0" borderId="77" xfId="8" applyFont="1" applyFill="1" applyBorder="1" applyAlignment="1">
      <alignment horizontal="left" vertical="center" wrapText="1"/>
    </xf>
    <xf numFmtId="0" fontId="9" fillId="0" borderId="7" xfId="8" applyFont="1" applyBorder="1" applyAlignment="1">
      <alignment horizontal="left" vertical="center" indent="1"/>
    </xf>
    <xf numFmtId="0" fontId="9" fillId="0" borderId="0" xfId="8" applyFont="1" applyBorder="1" applyAlignment="1">
      <alignment horizontal="left" vertical="center" indent="1"/>
    </xf>
    <xf numFmtId="0" fontId="2" fillId="0" borderId="10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66" xfId="8" applyFont="1" applyBorder="1" applyAlignment="1">
      <alignment horizontal="center" vertical="center" wrapText="1"/>
    </xf>
    <xf numFmtId="0" fontId="9" fillId="0" borderId="167" xfId="8" applyFont="1" applyBorder="1" applyAlignment="1">
      <alignment horizontal="center" vertical="center" wrapText="1"/>
    </xf>
    <xf numFmtId="0" fontId="9" fillId="0" borderId="168" xfId="8" applyFont="1" applyBorder="1" applyAlignment="1">
      <alignment horizontal="center" vertical="center" wrapText="1"/>
    </xf>
    <xf numFmtId="0" fontId="9" fillId="0" borderId="169" xfId="8" applyFont="1" applyBorder="1" applyAlignment="1">
      <alignment horizontal="center" vertical="center" wrapText="1"/>
    </xf>
    <xf numFmtId="0" fontId="2" fillId="0" borderId="170" xfId="8" applyFont="1" applyBorder="1" applyAlignment="1">
      <alignment horizontal="center" vertical="center"/>
    </xf>
    <xf numFmtId="0" fontId="2" fillId="0" borderId="98" xfId="8" applyFont="1" applyBorder="1" applyAlignment="1">
      <alignment horizontal="center" vertical="center"/>
    </xf>
    <xf numFmtId="0" fontId="2" fillId="0" borderId="171" xfId="8" applyFont="1" applyBorder="1" applyAlignment="1">
      <alignment horizontal="center" vertical="center"/>
    </xf>
    <xf numFmtId="0" fontId="9" fillId="0" borderId="131" xfId="8" applyFont="1" applyBorder="1" applyAlignment="1">
      <alignment horizontal="center" vertical="center" wrapText="1"/>
    </xf>
    <xf numFmtId="0" fontId="2" fillId="0" borderId="144" xfId="8" applyFont="1" applyFill="1" applyBorder="1" applyAlignment="1">
      <alignment horizontal="left" vertical="center" shrinkToFit="1"/>
    </xf>
    <xf numFmtId="0" fontId="0" fillId="0" borderId="144" xfId="8" applyFont="1" applyFill="1" applyBorder="1" applyAlignment="1">
      <alignment horizontal="center" vertical="center" wrapText="1"/>
    </xf>
    <xf numFmtId="0" fontId="2" fillId="0" borderId="144" xfId="8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left" vertical="center" shrinkToFit="1"/>
    </xf>
    <xf numFmtId="0" fontId="9" fillId="0" borderId="135" xfId="8" applyFont="1" applyBorder="1" applyAlignment="1">
      <alignment horizontal="center" vertical="center" textRotation="255" shrinkToFit="1"/>
    </xf>
    <xf numFmtId="0" fontId="9" fillId="0" borderId="132" xfId="8" applyFont="1" applyBorder="1" applyAlignment="1">
      <alignment horizontal="center" vertical="center" textRotation="255" shrinkToFit="1"/>
    </xf>
    <xf numFmtId="0" fontId="9" fillId="0" borderId="133" xfId="8" applyFont="1" applyBorder="1" applyAlignment="1">
      <alignment horizontal="center" vertical="center" textRotation="255" shrinkToFit="1"/>
    </xf>
    <xf numFmtId="0" fontId="2" fillId="0" borderId="44" xfId="8" applyFont="1" applyBorder="1" applyAlignment="1">
      <alignment horizontal="center" vertical="center" wrapText="1"/>
    </xf>
    <xf numFmtId="0" fontId="2" fillId="0" borderId="45" xfId="8" applyFont="1" applyBorder="1" applyAlignment="1">
      <alignment horizontal="center" vertical="center" wrapText="1"/>
    </xf>
    <xf numFmtId="0" fontId="2" fillId="0" borderId="48" xfId="8" applyFont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center" shrinkToFit="1"/>
    </xf>
    <xf numFmtId="0" fontId="2" fillId="0" borderId="160" xfId="8" applyFont="1" applyFill="1" applyBorder="1" applyAlignment="1">
      <alignment horizontal="center" vertical="center" wrapText="1"/>
    </xf>
    <xf numFmtId="0" fontId="18" fillId="0" borderId="94" xfId="8" applyFont="1" applyBorder="1" applyAlignment="1">
      <alignment horizontal="center" vertical="center" textRotation="255" wrapText="1"/>
    </xf>
    <xf numFmtId="0" fontId="1" fillId="0" borderId="93" xfId="8" applyFont="1" applyBorder="1" applyAlignment="1">
      <alignment horizontal="center" vertical="center" wrapText="1"/>
    </xf>
    <xf numFmtId="0" fontId="1" fillId="0" borderId="42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18" fillId="0" borderId="87" xfId="8" applyFont="1" applyBorder="1" applyAlignment="1">
      <alignment horizontal="center" vertical="center" wrapText="1"/>
    </xf>
    <xf numFmtId="0" fontId="18" fillId="0" borderId="50" xfId="8" applyFont="1" applyBorder="1" applyAlignment="1">
      <alignment horizontal="center" vertical="center"/>
    </xf>
    <xf numFmtId="0" fontId="1" fillId="0" borderId="153" xfId="8" applyFont="1" applyBorder="1" applyAlignment="1">
      <alignment horizontal="center" vertical="center" wrapText="1"/>
    </xf>
    <xf numFmtId="0" fontId="1" fillId="0" borderId="134" xfId="8" applyFont="1" applyBorder="1" applyAlignment="1">
      <alignment horizontal="center" vertical="center" wrapText="1"/>
    </xf>
    <xf numFmtId="0" fontId="18" fillId="0" borderId="131" xfId="8" applyFont="1" applyBorder="1" applyAlignment="1">
      <alignment horizontal="center" vertical="center" textRotation="255" wrapText="1"/>
    </xf>
    <xf numFmtId="0" fontId="18" fillId="0" borderId="132" xfId="8" applyFont="1" applyBorder="1" applyAlignment="1">
      <alignment horizontal="center" vertical="center" textRotation="255" wrapText="1"/>
    </xf>
    <xf numFmtId="0" fontId="18" fillId="0" borderId="133" xfId="8" applyFont="1" applyBorder="1" applyAlignment="1">
      <alignment horizontal="center" vertical="center" textRotation="255" wrapText="1"/>
    </xf>
    <xf numFmtId="0" fontId="18" fillId="0" borderId="50" xfId="8" applyFont="1" applyBorder="1" applyAlignment="1">
      <alignment horizontal="center" vertical="center" wrapText="1"/>
    </xf>
    <xf numFmtId="0" fontId="0" fillId="3" borderId="140" xfId="0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14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142" xfId="0" applyFont="1" applyBorder="1" applyAlignment="1">
      <alignment horizontal="center" vertical="center" textRotation="255"/>
    </xf>
    <xf numFmtId="0" fontId="0" fillId="0" borderId="141" xfId="0" applyFont="1" applyBorder="1" applyAlignment="1">
      <alignment horizontal="center" vertical="center" textRotation="255"/>
    </xf>
    <xf numFmtId="0" fontId="0" fillId="0" borderId="118" xfId="0" applyFont="1" applyBorder="1" applyAlignment="1">
      <alignment horizontal="center" vertical="center" textRotation="255"/>
    </xf>
    <xf numFmtId="0" fontId="0" fillId="4" borderId="14" xfId="0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 wrapText="1"/>
    </xf>
    <xf numFmtId="0" fontId="0" fillId="4" borderId="62" xfId="0" applyFont="1" applyFill="1" applyBorder="1" applyAlignment="1">
      <alignment horizontal="center" vertical="center"/>
    </xf>
    <xf numFmtId="0" fontId="0" fillId="4" borderId="63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0" fillId="0" borderId="144" xfId="0" applyFont="1" applyBorder="1" applyAlignment="1">
      <alignment horizontal="center" vertical="center"/>
    </xf>
    <xf numFmtId="0" fontId="0" fillId="0" borderId="118" xfId="0" applyFont="1" applyBorder="1" applyAlignment="1">
      <alignment vertical="center"/>
    </xf>
    <xf numFmtId="0" fontId="0" fillId="0" borderId="79" xfId="0" applyFont="1" applyBorder="1" applyAlignment="1">
      <alignment vertical="center"/>
    </xf>
    <xf numFmtId="180" fontId="0" fillId="0" borderId="95" xfId="3" applyNumberFormat="1" applyFont="1" applyBorder="1" applyAlignment="1">
      <alignment horizontal="center" vertical="center"/>
    </xf>
    <xf numFmtId="0" fontId="0" fillId="0" borderId="145" xfId="0" applyFont="1" applyBorder="1" applyAlignment="1">
      <alignment vertical="center"/>
    </xf>
    <xf numFmtId="0" fontId="0" fillId="0" borderId="146" xfId="0" applyFont="1" applyBorder="1" applyAlignment="1">
      <alignment horizontal="center" vertical="center" textRotation="255"/>
    </xf>
    <xf numFmtId="0" fontId="0" fillId="3" borderId="11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 textRotation="255" wrapText="1"/>
    </xf>
    <xf numFmtId="0" fontId="0" fillId="0" borderId="23" xfId="0" applyFont="1" applyBorder="1" applyAlignment="1">
      <alignment horizontal="center" vertical="center" textRotation="255" wrapText="1"/>
    </xf>
    <xf numFmtId="0" fontId="0" fillId="0" borderId="76" xfId="0" applyFont="1" applyBorder="1" applyAlignment="1">
      <alignment horizontal="center" vertical="center" textRotation="255" wrapText="1"/>
    </xf>
    <xf numFmtId="0" fontId="0" fillId="0" borderId="29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29" xfId="0" applyFont="1" applyBorder="1" applyAlignment="1">
      <alignment vertical="center" wrapText="1"/>
    </xf>
    <xf numFmtId="0" fontId="0" fillId="0" borderId="23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3" borderId="61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 wrapText="1"/>
    </xf>
    <xf numFmtId="0" fontId="0" fillId="4" borderId="147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76" fontId="0" fillId="0" borderId="57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134" xfId="0" applyNumberFormat="1" applyFont="1" applyBorder="1" applyAlignment="1">
      <alignment horizontal="center" vertical="center"/>
    </xf>
    <xf numFmtId="176" fontId="0" fillId="0" borderId="99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131" xfId="0" applyNumberFormat="1" applyFont="1" applyBorder="1" applyAlignment="1">
      <alignment horizontal="center" vertical="center"/>
    </xf>
    <xf numFmtId="176" fontId="0" fillId="0" borderId="132" xfId="0" applyNumberFormat="1" applyFont="1" applyBorder="1" applyAlignment="1">
      <alignment horizontal="center" vertical="center"/>
    </xf>
    <xf numFmtId="176" fontId="0" fillId="0" borderId="133" xfId="0" applyNumberFormat="1" applyFont="1" applyBorder="1" applyAlignment="1">
      <alignment horizontal="center" vertical="center"/>
    </xf>
    <xf numFmtId="176" fontId="0" fillId="0" borderId="135" xfId="0" applyNumberFormat="1" applyFont="1" applyBorder="1" applyAlignment="1">
      <alignment horizontal="center" vertical="center"/>
    </xf>
    <xf numFmtId="176" fontId="0" fillId="2" borderId="102" xfId="0" applyNumberFormat="1" applyFont="1" applyFill="1" applyBorder="1" applyAlignment="1">
      <alignment vertical="center" shrinkToFit="1"/>
    </xf>
    <xf numFmtId="0" fontId="0" fillId="2" borderId="100" xfId="0" applyFill="1" applyBorder="1" applyAlignment="1">
      <alignment vertical="center" shrinkToFit="1"/>
    </xf>
    <xf numFmtId="0" fontId="0" fillId="2" borderId="119" xfId="0" applyFill="1" applyBorder="1" applyAlignment="1">
      <alignment vertical="center" shrinkToFit="1"/>
    </xf>
    <xf numFmtId="176" fontId="0" fillId="0" borderId="102" xfId="0" applyNumberFormat="1" applyFont="1" applyFill="1" applyBorder="1" applyAlignment="1">
      <alignment vertical="center" shrinkToFit="1"/>
    </xf>
    <xf numFmtId="0" fontId="0" fillId="0" borderId="100" xfId="0" applyBorder="1" applyAlignment="1">
      <alignment vertical="center" shrinkToFit="1"/>
    </xf>
    <xf numFmtId="0" fontId="0" fillId="0" borderId="136" xfId="0" applyBorder="1" applyAlignment="1">
      <alignment vertical="center" shrinkToFit="1"/>
    </xf>
    <xf numFmtId="176" fontId="0" fillId="0" borderId="131" xfId="0" applyNumberFormat="1" applyBorder="1" applyAlignment="1">
      <alignment horizontal="center" vertical="center" textRotation="255" shrinkToFit="1"/>
    </xf>
    <xf numFmtId="176" fontId="0" fillId="0" borderId="132" xfId="0" applyNumberFormat="1" applyBorder="1" applyAlignment="1">
      <alignment horizontal="center" vertical="center" textRotation="255" shrinkToFit="1"/>
    </xf>
    <xf numFmtId="0" fontId="0" fillId="0" borderId="132" xfId="0" applyBorder="1" applyAlignment="1">
      <alignment horizontal="center" vertical="center" textRotation="255" shrinkToFit="1"/>
    </xf>
    <xf numFmtId="0" fontId="0" fillId="0" borderId="133" xfId="0" applyBorder="1" applyAlignment="1">
      <alignment horizontal="center" vertical="center" textRotation="255" shrinkToFit="1"/>
    </xf>
    <xf numFmtId="176" fontId="0" fillId="0" borderId="131" xfId="0" applyNumberFormat="1" applyFont="1" applyBorder="1" applyAlignment="1">
      <alignment horizontal="center" vertical="center" textRotation="255" shrinkToFit="1"/>
    </xf>
    <xf numFmtId="176" fontId="0" fillId="0" borderId="132" xfId="0" applyNumberFormat="1" applyFont="1" applyBorder="1" applyAlignment="1">
      <alignment horizontal="center" vertical="center" textRotation="255" shrinkToFit="1"/>
    </xf>
    <xf numFmtId="176" fontId="0" fillId="0" borderId="102" xfId="0" applyNumberFormat="1" applyFont="1" applyBorder="1" applyAlignment="1">
      <alignment vertical="center" shrinkToFit="1"/>
    </xf>
    <xf numFmtId="176" fontId="0" fillId="0" borderId="100" xfId="0" applyNumberFormat="1" applyFont="1" applyBorder="1" applyAlignment="1">
      <alignment vertical="center" shrinkToFit="1"/>
    </xf>
    <xf numFmtId="176" fontId="0" fillId="0" borderId="119" xfId="0" applyNumberFormat="1" applyFont="1" applyBorder="1" applyAlignment="1">
      <alignment vertical="center" shrinkToFit="1"/>
    </xf>
    <xf numFmtId="9" fontId="0" fillId="0" borderId="102" xfId="0" applyNumberFormat="1" applyFont="1" applyBorder="1" applyAlignment="1">
      <alignment vertical="center" shrinkToFit="1"/>
    </xf>
    <xf numFmtId="9" fontId="0" fillId="0" borderId="100" xfId="0" applyNumberFormat="1" applyFont="1" applyBorder="1" applyAlignment="1">
      <alignment vertical="center" shrinkToFit="1"/>
    </xf>
    <xf numFmtId="9" fontId="0" fillId="0" borderId="119" xfId="0" applyNumberFormat="1" applyFont="1" applyBorder="1" applyAlignment="1">
      <alignment vertical="center" shrinkToFit="1"/>
    </xf>
    <xf numFmtId="179" fontId="0" fillId="0" borderId="102" xfId="0" applyNumberFormat="1" applyFont="1" applyBorder="1" applyAlignment="1">
      <alignment vertical="center" shrinkToFit="1"/>
    </xf>
    <xf numFmtId="179" fontId="0" fillId="0" borderId="100" xfId="0" applyNumberFormat="1" applyFont="1" applyBorder="1" applyAlignment="1">
      <alignment vertical="center" shrinkToFit="1"/>
    </xf>
    <xf numFmtId="179" fontId="0" fillId="0" borderId="119" xfId="0" applyNumberFormat="1" applyFont="1" applyBorder="1" applyAlignment="1">
      <alignment vertical="center" shrinkToFit="1"/>
    </xf>
    <xf numFmtId="182" fontId="0" fillId="0" borderId="102" xfId="0" applyNumberFormat="1" applyFont="1" applyBorder="1" applyAlignment="1">
      <alignment vertical="center" shrinkToFit="1"/>
    </xf>
    <xf numFmtId="182" fontId="0" fillId="0" borderId="100" xfId="0" applyNumberFormat="1" applyFont="1" applyBorder="1" applyAlignment="1">
      <alignment vertical="center" shrinkToFit="1"/>
    </xf>
    <xf numFmtId="182" fontId="0" fillId="0" borderId="119" xfId="0" applyNumberFormat="1" applyFont="1" applyBorder="1" applyAlignment="1">
      <alignment vertical="center" shrinkToFit="1"/>
    </xf>
    <xf numFmtId="176" fontId="0" fillId="0" borderId="133" xfId="0" applyNumberFormat="1" applyFont="1" applyBorder="1" applyAlignment="1">
      <alignment horizontal="center" vertical="center" textRotation="255" shrinkToFit="1"/>
    </xf>
    <xf numFmtId="9" fontId="0" fillId="0" borderId="137" xfId="0" applyNumberFormat="1" applyFont="1" applyBorder="1" applyAlignment="1">
      <alignment vertical="center" shrinkToFit="1"/>
    </xf>
    <xf numFmtId="176" fontId="0" fillId="0" borderId="137" xfId="0" applyNumberFormat="1" applyFont="1" applyBorder="1" applyAlignment="1">
      <alignment vertical="center" shrinkToFit="1"/>
    </xf>
    <xf numFmtId="176" fontId="0" fillId="0" borderId="138" xfId="0" applyNumberFormat="1" applyFont="1" applyBorder="1" applyAlignment="1">
      <alignment horizontal="center" vertical="center" shrinkToFit="1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135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39" xfId="0" applyNumberFormat="1" applyFont="1" applyBorder="1" applyAlignment="1">
      <alignment horizontal="center" vertical="center" shrinkToFit="1"/>
    </xf>
    <xf numFmtId="176" fontId="2" fillId="0" borderId="138" xfId="0" applyNumberFormat="1" applyFont="1" applyBorder="1" applyAlignment="1">
      <alignment horizontal="center" vertical="center" shrinkToFit="1"/>
    </xf>
    <xf numFmtId="176" fontId="2" fillId="0" borderId="119" xfId="0" applyNumberFormat="1" applyFont="1" applyBorder="1" applyAlignment="1">
      <alignment horizontal="center" vertical="center" shrinkToFit="1"/>
    </xf>
    <xf numFmtId="176" fontId="0" fillId="0" borderId="133" xfId="0" applyNumberFormat="1" applyBorder="1" applyAlignment="1">
      <alignment horizontal="center" vertical="center" textRotation="255" shrinkToFit="1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0" fillId="0" borderId="135" xfId="0" applyNumberFormat="1" applyBorder="1" applyAlignment="1">
      <alignment horizontal="center" vertical="center" shrinkToFit="1"/>
    </xf>
    <xf numFmtId="176" fontId="0" fillId="0" borderId="133" xfId="0" applyNumberFormat="1" applyBorder="1" applyAlignment="1">
      <alignment horizontal="center" vertical="center" shrinkToFit="1"/>
    </xf>
    <xf numFmtId="176" fontId="0" fillId="0" borderId="138" xfId="0" applyNumberFormat="1" applyBorder="1" applyAlignment="1">
      <alignment horizontal="center" vertical="center" shrinkToFit="1"/>
    </xf>
    <xf numFmtId="176" fontId="0" fillId="0" borderId="119" xfId="0" applyNumberForma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139" xfId="0" applyNumberFormat="1" applyFont="1" applyBorder="1" applyAlignment="1">
      <alignment horizontal="center" vertical="center" shrinkToFit="1"/>
    </xf>
    <xf numFmtId="177" fontId="0" fillId="0" borderId="153" xfId="0" applyNumberFormat="1" applyFont="1" applyBorder="1" applyAlignment="1">
      <alignment horizontal="center" vertical="center" shrinkToFit="1"/>
    </xf>
    <xf numFmtId="177" fontId="0" fillId="0" borderId="56" xfId="0" applyNumberFormat="1" applyFont="1" applyBorder="1" applyAlignment="1">
      <alignment horizontal="center" vertical="center" shrinkToFit="1"/>
    </xf>
    <xf numFmtId="177" fontId="0" fillId="0" borderId="134" xfId="0" applyNumberFormat="1" applyFont="1" applyBorder="1" applyAlignment="1">
      <alignment horizontal="center" vertical="center" shrinkToFit="1"/>
    </xf>
    <xf numFmtId="177" fontId="0" fillId="0" borderId="102" xfId="0" applyNumberFormat="1" applyFill="1" applyBorder="1" applyAlignment="1">
      <alignment horizontal="center" vertical="center" textRotation="255" shrinkToFit="1"/>
    </xf>
    <xf numFmtId="177" fontId="0" fillId="0" borderId="100" xfId="0" applyNumberFormat="1" applyFill="1" applyBorder="1" applyAlignment="1">
      <alignment horizontal="center" vertical="center" textRotation="255" shrinkToFit="1"/>
    </xf>
    <xf numFmtId="177" fontId="0" fillId="0" borderId="119" xfId="0" applyNumberFormat="1" applyFill="1" applyBorder="1" applyAlignment="1">
      <alignment horizontal="center" vertical="center" textRotation="255" shrinkToFit="1"/>
    </xf>
    <xf numFmtId="177" fontId="0" fillId="0" borderId="172" xfId="0" applyNumberFormat="1" applyBorder="1" applyAlignment="1">
      <alignment horizontal="center" vertical="center" textRotation="255" shrinkToFit="1"/>
    </xf>
    <xf numFmtId="177" fontId="0" fillId="0" borderId="88" xfId="0" applyNumberFormat="1" applyBorder="1" applyAlignment="1">
      <alignment horizontal="center" vertical="center" textRotation="255" shrinkToFit="1"/>
    </xf>
    <xf numFmtId="177" fontId="0" fillId="0" borderId="173" xfId="0" applyNumberFormat="1" applyBorder="1" applyAlignment="1">
      <alignment horizontal="center" vertical="center" textRotation="255" shrinkToFit="1"/>
    </xf>
    <xf numFmtId="0" fontId="0" fillId="0" borderId="174" xfId="0" applyFill="1" applyBorder="1" applyAlignment="1">
      <alignment horizontal="center" vertical="center" textRotation="255" wrapText="1"/>
    </xf>
    <xf numFmtId="0" fontId="0" fillId="0" borderId="23" xfId="0" applyFont="1" applyFill="1" applyBorder="1" applyAlignment="1">
      <alignment horizontal="center" vertical="center" textRotation="255" wrapText="1"/>
    </xf>
    <xf numFmtId="0" fontId="0" fillId="0" borderId="120" xfId="0" applyFont="1" applyFill="1" applyBorder="1" applyAlignment="1">
      <alignment horizontal="center" vertical="center" textRotation="255" wrapText="1"/>
    </xf>
    <xf numFmtId="0" fontId="0" fillId="2" borderId="62" xfId="0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177" fontId="0" fillId="0" borderId="94" xfId="0" applyNumberFormat="1" applyFont="1" applyBorder="1" applyAlignment="1">
      <alignment horizontal="center" vertical="center" shrinkToFit="1"/>
    </xf>
    <xf numFmtId="177" fontId="0" fillId="0" borderId="6" xfId="0" applyNumberFormat="1" applyFont="1" applyBorder="1" applyAlignment="1">
      <alignment horizontal="center" vertical="center" shrinkToFit="1"/>
    </xf>
    <xf numFmtId="177" fontId="0" fillId="2" borderId="112" xfId="0" applyNumberFormat="1" applyFill="1" applyBorder="1" applyAlignment="1">
      <alignment horizontal="center" vertical="center" shrinkToFit="1"/>
    </xf>
    <xf numFmtId="177" fontId="0" fillId="2" borderId="175" xfId="0" applyNumberFormat="1" applyFill="1" applyBorder="1" applyAlignment="1">
      <alignment horizontal="center" vertical="center" shrinkToFit="1"/>
    </xf>
    <xf numFmtId="177" fontId="0" fillId="0" borderId="102" xfId="0" applyNumberFormat="1" applyFont="1" applyFill="1" applyBorder="1" applyAlignment="1">
      <alignment vertical="center" shrinkToFit="1"/>
    </xf>
    <xf numFmtId="177" fontId="0" fillId="0" borderId="119" xfId="0" applyNumberFormat="1" applyFont="1" applyFill="1" applyBorder="1" applyAlignment="1">
      <alignment vertical="center" shrinkToFit="1"/>
    </xf>
    <xf numFmtId="177" fontId="0" fillId="0" borderId="100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142" xfId="9" applyNumberFormat="1" applyFont="1" applyBorder="1" applyAlignment="1">
      <alignment horizontal="center" vertical="center" textRotation="255"/>
    </xf>
    <xf numFmtId="177" fontId="0" fillId="0" borderId="141" xfId="9" applyNumberFormat="1" applyFont="1" applyBorder="1" applyAlignment="1">
      <alignment horizontal="center" vertical="center" textRotation="255"/>
    </xf>
    <xf numFmtId="177" fontId="0" fillId="0" borderId="146" xfId="9" applyNumberFormat="1" applyFont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177" fontId="0" fillId="0" borderId="3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3" xfId="0" applyNumberFormat="1" applyFon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177" fontId="0" fillId="0" borderId="49" xfId="0" applyNumberFormat="1" applyFill="1" applyBorder="1" applyAlignment="1">
      <alignment vertical="center" shrinkToFit="1"/>
    </xf>
    <xf numFmtId="177" fontId="0" fillId="0" borderId="4" xfId="0" applyNumberFormat="1" applyFill="1" applyBorder="1" applyAlignment="1">
      <alignment vertical="center" shrinkToFit="1"/>
    </xf>
    <xf numFmtId="177" fontId="0" fillId="0" borderId="176" xfId="0" applyNumberFormat="1" applyBorder="1" applyAlignment="1">
      <alignment horizontal="center" vertical="center" textRotation="255" shrinkToFit="1"/>
    </xf>
    <xf numFmtId="177" fontId="0" fillId="0" borderId="132" xfId="0" applyNumberFormat="1" applyBorder="1" applyAlignment="1">
      <alignment horizontal="center" vertical="center" textRotation="255" shrinkToFit="1"/>
    </xf>
    <xf numFmtId="177" fontId="0" fillId="0" borderId="154" xfId="0" applyNumberFormat="1" applyBorder="1" applyAlignment="1">
      <alignment horizontal="center" vertical="center" textRotation="255" shrinkToFit="1"/>
    </xf>
    <xf numFmtId="177" fontId="0" fillId="0" borderId="6" xfId="0" applyNumberForma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177" fontId="0" fillId="0" borderId="73" xfId="0" applyNumberFormat="1" applyFont="1" applyBorder="1" applyAlignment="1">
      <alignment vertical="center"/>
    </xf>
    <xf numFmtId="177" fontId="0" fillId="0" borderId="155" xfId="0" applyNumberFormat="1" applyFont="1" applyBorder="1" applyAlignment="1">
      <alignment vertical="center"/>
    </xf>
    <xf numFmtId="177" fontId="0" fillId="0" borderId="156" xfId="0" applyNumberFormat="1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177" fontId="0" fillId="0" borderId="49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vertical="center"/>
    </xf>
    <xf numFmtId="177" fontId="0" fillId="0" borderId="83" xfId="0" applyNumberFormat="1" applyFont="1" applyFill="1" applyBorder="1" applyAlignment="1">
      <alignment horizontal="center" vertical="center"/>
    </xf>
    <xf numFmtId="177" fontId="0" fillId="0" borderId="86" xfId="0" applyNumberFormat="1" applyFont="1" applyFill="1" applyBorder="1" applyAlignment="1">
      <alignment horizontal="center" vertical="center"/>
    </xf>
    <xf numFmtId="177" fontId="0" fillId="0" borderId="177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49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153" xfId="0" applyNumberFormat="1" applyFill="1" applyBorder="1" applyAlignment="1">
      <alignment horizontal="center" vertical="center"/>
    </xf>
    <xf numFmtId="177" fontId="0" fillId="0" borderId="56" xfId="0" applyNumberFormat="1" applyFont="1" applyFill="1" applyBorder="1" applyAlignment="1">
      <alignment horizontal="center" vertical="center"/>
    </xf>
    <xf numFmtId="177" fontId="0" fillId="0" borderId="148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Fill="1" applyBorder="1" applyAlignment="1">
      <alignment horizontal="center" vertical="center" shrinkToFit="1"/>
    </xf>
    <xf numFmtId="177" fontId="0" fillId="2" borderId="44" xfId="0" applyNumberFormat="1" applyFont="1" applyFill="1" applyBorder="1" applyAlignment="1">
      <alignment horizontal="right" vertical="center" shrinkToFit="1"/>
    </xf>
    <xf numFmtId="177" fontId="0" fillId="2" borderId="48" xfId="0" applyNumberFormat="1" applyFont="1" applyFill="1" applyBorder="1" applyAlignment="1">
      <alignment horizontal="right" vertical="center" shrinkToFit="1"/>
    </xf>
    <xf numFmtId="177" fontId="0" fillId="0" borderId="83" xfId="0" applyNumberFormat="1" applyFont="1" applyFill="1" applyBorder="1" applyAlignment="1">
      <alignment horizontal="center" vertical="center" shrinkToFit="1"/>
    </xf>
    <xf numFmtId="177" fontId="0" fillId="0" borderId="86" xfId="0" applyNumberFormat="1" applyFont="1" applyFill="1" applyBorder="1" applyAlignment="1">
      <alignment horizontal="center" vertical="center" shrinkToFit="1"/>
    </xf>
    <xf numFmtId="177" fontId="0" fillId="0" borderId="177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7" fontId="0" fillId="0" borderId="194" xfId="9" applyNumberFormat="1" applyFont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vertical="center"/>
    </xf>
    <xf numFmtId="177" fontId="0" fillId="0" borderId="12" xfId="9" applyNumberFormat="1" applyFont="1" applyBorder="1" applyAlignment="1">
      <alignment horizontal="center" vertical="center" shrinkToFit="1"/>
    </xf>
    <xf numFmtId="177" fontId="0" fillId="0" borderId="13" xfId="9" applyNumberFormat="1" applyFont="1" applyBorder="1" applyAlignment="1">
      <alignment horizontal="center" vertical="center" shrinkToFit="1"/>
    </xf>
    <xf numFmtId="176" fontId="0" fillId="0" borderId="20" xfId="0" applyNumberFormat="1" applyFont="1" applyBorder="1" applyAlignment="1">
      <alignment vertical="center"/>
    </xf>
    <xf numFmtId="176" fontId="0" fillId="0" borderId="176" xfId="0" applyNumberFormat="1" applyFont="1" applyBorder="1" applyAlignment="1">
      <alignment horizontal="center" vertical="center" textRotation="255" shrinkToFit="1"/>
    </xf>
    <xf numFmtId="176" fontId="0" fillId="0" borderId="180" xfId="0" applyNumberFormat="1" applyFont="1" applyBorder="1" applyAlignment="1">
      <alignment horizontal="center" vertical="center" textRotation="255" shrinkToFit="1"/>
    </xf>
    <xf numFmtId="176" fontId="0" fillId="0" borderId="11" xfId="0" applyNumberFormat="1" applyFont="1" applyBorder="1" applyAlignment="1">
      <alignment horizontal="center" vertical="center" shrinkToFit="1"/>
    </xf>
    <xf numFmtId="176" fontId="0" fillId="0" borderId="32" xfId="0" applyNumberFormat="1" applyFont="1" applyBorder="1" applyAlignment="1">
      <alignment horizontal="center" vertical="center" shrinkToFit="1"/>
    </xf>
    <xf numFmtId="176" fontId="0" fillId="0" borderId="142" xfId="0" applyNumberFormat="1" applyFont="1" applyBorder="1" applyAlignment="1">
      <alignment horizontal="center" vertical="center" textRotation="255" shrinkToFit="1"/>
    </xf>
    <xf numFmtId="176" fontId="0" fillId="0" borderId="140" xfId="0" applyNumberFormat="1" applyFont="1" applyBorder="1" applyAlignment="1">
      <alignment horizontal="center" vertical="center" textRotation="255" shrinkToFit="1"/>
    </xf>
    <xf numFmtId="177" fontId="0" fillId="0" borderId="181" xfId="9" applyNumberFormat="1" applyFont="1" applyBorder="1" applyAlignment="1">
      <alignment horizontal="center" vertical="center" textRotation="255" shrinkToFit="1"/>
    </xf>
    <xf numFmtId="177" fontId="0" fillId="0" borderId="159" xfId="9" applyNumberFormat="1" applyFont="1" applyBorder="1" applyAlignment="1">
      <alignment horizontal="center" vertical="center" textRotation="255" shrinkToFit="1"/>
    </xf>
    <xf numFmtId="177" fontId="0" fillId="0" borderId="182" xfId="9" applyNumberFormat="1" applyFont="1" applyBorder="1" applyAlignment="1">
      <alignment horizontal="center" vertical="center" textRotation="255" shrinkToFit="1"/>
    </xf>
    <xf numFmtId="177" fontId="0" fillId="0" borderId="178" xfId="9" applyNumberFormat="1" applyFont="1" applyBorder="1" applyAlignment="1">
      <alignment horizontal="center" vertical="center" textRotation="255" shrinkToFit="1"/>
    </xf>
    <xf numFmtId="177" fontId="0" fillId="0" borderId="141" xfId="9" applyNumberFormat="1" applyFont="1" applyBorder="1" applyAlignment="1">
      <alignment horizontal="center" vertical="center" textRotation="255" shrinkToFit="1"/>
    </xf>
    <xf numFmtId="177" fontId="0" fillId="0" borderId="179" xfId="9" applyNumberFormat="1" applyFont="1" applyBorder="1" applyAlignment="1">
      <alignment horizontal="center" vertical="center" textRotation="255" shrinkToFit="1"/>
    </xf>
    <xf numFmtId="176" fontId="0" fillId="0" borderId="183" xfId="0" applyNumberFormat="1" applyFont="1" applyBorder="1" applyAlignment="1">
      <alignment horizontal="center" vertical="center" textRotation="255" shrinkToFit="1"/>
    </xf>
    <xf numFmtId="176" fontId="0" fillId="0" borderId="184" xfId="0" applyNumberFormat="1" applyFont="1" applyBorder="1" applyAlignment="1">
      <alignment horizontal="center" vertical="center" textRotation="255" shrinkToFit="1"/>
    </xf>
    <xf numFmtId="176" fontId="0" fillId="0" borderId="185" xfId="0" applyNumberFormat="1" applyFont="1" applyBorder="1" applyAlignment="1">
      <alignment horizontal="center" vertical="center" textRotation="255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50" xfId="0" applyNumberFormat="1" applyFont="1" applyFill="1" applyBorder="1" applyAlignment="1">
      <alignment horizontal="center" vertical="center" shrinkToFit="1"/>
    </xf>
    <xf numFmtId="176" fontId="2" fillId="0" borderId="187" xfId="9" applyNumberFormat="1" applyFont="1" applyFill="1" applyBorder="1" applyAlignment="1">
      <alignment vertical="center" shrinkToFit="1"/>
    </xf>
    <xf numFmtId="176" fontId="2" fillId="0" borderId="188" xfId="9" applyNumberFormat="1" applyFont="1" applyFill="1" applyBorder="1" applyAlignment="1">
      <alignment vertical="center" shrinkToFit="1"/>
    </xf>
    <xf numFmtId="176" fontId="2" fillId="0" borderId="76" xfId="9" applyNumberFormat="1" applyFont="1" applyFill="1" applyBorder="1" applyAlignment="1">
      <alignment vertical="center" shrinkToFit="1"/>
    </xf>
    <xf numFmtId="176" fontId="2" fillId="0" borderId="101" xfId="9" applyNumberFormat="1" applyFont="1" applyFill="1" applyBorder="1" applyAlignment="1">
      <alignment vertical="center" shrinkToFit="1"/>
    </xf>
    <xf numFmtId="176" fontId="2" fillId="0" borderId="16" xfId="9" applyNumberFormat="1" applyFont="1" applyFill="1" applyBorder="1" applyAlignment="1">
      <alignment vertical="center" shrinkToFit="1"/>
    </xf>
    <xf numFmtId="176" fontId="2" fillId="0" borderId="17" xfId="9" applyNumberFormat="1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16" xfId="9" applyNumberFormat="1" applyFont="1" applyFill="1" applyBorder="1" applyAlignment="1">
      <alignment vertical="center" shrinkToFit="1"/>
    </xf>
    <xf numFmtId="176" fontId="0" fillId="0" borderId="17" xfId="9" applyNumberFormat="1" applyFont="1" applyFill="1" applyBorder="1" applyAlignment="1">
      <alignment vertical="center" shrinkToFit="1"/>
    </xf>
    <xf numFmtId="176" fontId="0" fillId="2" borderId="29" xfId="0" applyNumberFormat="1" applyFont="1" applyFill="1" applyBorder="1" applyAlignment="1">
      <alignment vertical="center" shrinkToFit="1"/>
    </xf>
    <xf numFmtId="176" fontId="0" fillId="0" borderId="29" xfId="0" applyNumberFormat="1" applyFont="1" applyBorder="1" applyAlignment="1">
      <alignment vertical="center"/>
    </xf>
    <xf numFmtId="176" fontId="0" fillId="0" borderId="91" xfId="0" applyNumberFormat="1" applyFont="1" applyBorder="1" applyAlignment="1">
      <alignment vertical="center"/>
    </xf>
    <xf numFmtId="176" fontId="0" fillId="0" borderId="186" xfId="0" applyNumberFormat="1" applyFont="1" applyBorder="1" applyAlignment="1">
      <alignment horizontal="center" vertical="center" textRotation="255" shrinkToFit="1"/>
    </xf>
    <xf numFmtId="176" fontId="0" fillId="0" borderId="189" xfId="0" applyNumberFormat="1" applyFont="1" applyBorder="1" applyAlignment="1">
      <alignment horizontal="center" vertical="center" textRotation="255" shrinkToFit="1"/>
    </xf>
    <xf numFmtId="176" fontId="0" fillId="0" borderId="163" xfId="0" applyNumberFormat="1" applyFont="1" applyBorder="1" applyAlignment="1">
      <alignment horizontal="center" vertical="center" textRotation="255" shrinkToFit="1"/>
    </xf>
    <xf numFmtId="176" fontId="0" fillId="0" borderId="190" xfId="0" applyNumberFormat="1" applyFont="1" applyBorder="1" applyAlignment="1">
      <alignment horizontal="center" vertical="center" textRotation="255" shrinkToFit="1"/>
    </xf>
    <xf numFmtId="176" fontId="0" fillId="0" borderId="154" xfId="0" applyNumberFormat="1" applyFont="1" applyBorder="1" applyAlignment="1">
      <alignment horizontal="center" vertical="center" textRotation="255" shrinkToFit="1"/>
    </xf>
    <xf numFmtId="176" fontId="0" fillId="0" borderId="11" xfId="0" applyNumberFormat="1" applyFont="1" applyFill="1" applyBorder="1" applyAlignment="1">
      <alignment horizontal="center" vertical="center" shrinkToFit="1"/>
    </xf>
    <xf numFmtId="176" fontId="0" fillId="0" borderId="32" xfId="0" applyNumberFormat="1" applyFont="1" applyFill="1" applyBorder="1" applyAlignment="1">
      <alignment horizontal="center" vertical="center" shrinkToFit="1"/>
    </xf>
    <xf numFmtId="176" fontId="0" fillId="0" borderId="95" xfId="0" applyNumberFormat="1" applyFont="1" applyBorder="1" applyAlignment="1">
      <alignment horizontal="center" vertical="center" shrinkToFit="1"/>
    </xf>
    <xf numFmtId="176" fontId="0" fillId="0" borderId="2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50" xfId="0" applyNumberFormat="1" applyFont="1" applyBorder="1" applyAlignment="1">
      <alignment horizontal="center" vertical="center" shrinkToFit="1"/>
    </xf>
    <xf numFmtId="176" fontId="0" fillId="2" borderId="90" xfId="0" applyNumberFormat="1" applyFont="1" applyFill="1" applyBorder="1" applyAlignment="1">
      <alignment vertical="center" shrinkToFit="1"/>
    </xf>
    <xf numFmtId="176" fontId="0" fillId="0" borderId="90" xfId="0" applyNumberFormat="1" applyFont="1" applyBorder="1" applyAlignment="1">
      <alignment vertical="center"/>
    </xf>
    <xf numFmtId="177" fontId="0" fillId="0" borderId="178" xfId="9" applyNumberFormat="1" applyFont="1" applyBorder="1" applyAlignment="1">
      <alignment horizontal="center" vertical="center" shrinkToFit="1"/>
    </xf>
    <xf numFmtId="177" fontId="0" fillId="0" borderId="141" xfId="9" applyNumberFormat="1" applyFont="1" applyBorder="1" applyAlignment="1">
      <alignment horizontal="center" vertical="center" shrinkToFit="1"/>
    </xf>
    <xf numFmtId="177" fontId="0" fillId="0" borderId="179" xfId="9" applyNumberFormat="1" applyFont="1" applyBorder="1" applyAlignment="1">
      <alignment horizontal="center" vertical="center" shrinkToFit="1"/>
    </xf>
    <xf numFmtId="177" fontId="0" fillId="2" borderId="71" xfId="0" applyNumberFormat="1" applyFont="1" applyFill="1" applyBorder="1" applyAlignment="1">
      <alignment horizontal="center" vertical="center" shrinkToFit="1"/>
    </xf>
    <xf numFmtId="177" fontId="0" fillId="2" borderId="72" xfId="0" applyNumberFormat="1" applyFont="1" applyFill="1" applyBorder="1" applyAlignment="1">
      <alignment horizontal="center" vertical="center" shrinkToFit="1"/>
    </xf>
    <xf numFmtId="3" fontId="0" fillId="0" borderId="191" xfId="10" applyNumberFormat="1" applyFont="1" applyFill="1" applyBorder="1" applyAlignment="1">
      <alignment horizontal="center" vertical="center" shrinkToFit="1"/>
    </xf>
    <xf numFmtId="3" fontId="0" fillId="0" borderId="23" xfId="10" applyNumberFormat="1" applyFont="1" applyFill="1" applyBorder="1" applyAlignment="1">
      <alignment horizontal="center" vertical="center" shrinkToFit="1"/>
    </xf>
    <xf numFmtId="3" fontId="0" fillId="0" borderId="32" xfId="10" applyNumberFormat="1" applyFont="1" applyFill="1" applyBorder="1" applyAlignment="1">
      <alignment horizontal="center" vertical="center" shrinkToFit="1"/>
    </xf>
    <xf numFmtId="177" fontId="0" fillId="0" borderId="192" xfId="9" applyNumberFormat="1" applyFont="1" applyBorder="1" applyAlignment="1">
      <alignment horizontal="center" vertical="center" shrinkToFit="1"/>
    </xf>
    <xf numFmtId="177" fontId="0" fillId="0" borderId="193" xfId="9" applyNumberFormat="1" applyFont="1" applyBorder="1" applyAlignment="1">
      <alignment horizontal="center" vertical="center" shrinkToFit="1"/>
    </xf>
    <xf numFmtId="177" fontId="0" fillId="0" borderId="14" xfId="9" applyNumberFormat="1" applyFont="1" applyBorder="1" applyAlignment="1">
      <alignment horizontal="center" vertical="center" shrinkToFit="1"/>
    </xf>
    <xf numFmtId="177" fontId="0" fillId="2" borderId="73" xfId="0" applyNumberFormat="1" applyFont="1" applyFill="1" applyBorder="1" applyAlignment="1">
      <alignment horizontal="center" vertical="center" shrinkToFit="1"/>
    </xf>
    <xf numFmtId="177" fontId="0" fillId="2" borderId="9" xfId="0" applyNumberFormat="1" applyFont="1" applyFill="1" applyBorder="1" applyAlignment="1">
      <alignment horizontal="center" vertical="center" shrinkToFit="1"/>
    </xf>
    <xf numFmtId="177" fontId="0" fillId="2" borderId="8" xfId="0" applyNumberFormat="1" applyFont="1" applyFill="1" applyBorder="1" applyAlignment="1">
      <alignment horizontal="center" vertical="center" shrinkToFit="1"/>
    </xf>
    <xf numFmtId="176" fontId="0" fillId="2" borderId="73" xfId="0" applyNumberFormat="1" applyFont="1" applyFill="1" applyBorder="1" applyAlignment="1">
      <alignment horizontal="center" vertical="center" shrinkToFit="1"/>
    </xf>
    <xf numFmtId="176" fontId="0" fillId="2" borderId="9" xfId="0" applyNumberFormat="1" applyFont="1" applyFill="1" applyBorder="1" applyAlignment="1">
      <alignment horizontal="center" vertical="center" shrinkToFit="1"/>
    </xf>
  </cellXfs>
  <cellStyles count="12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  <cellStyle name="標準 2" xfId="5"/>
    <cellStyle name="標準 2 2" xfId="6"/>
    <cellStyle name="標準 3" xfId="7"/>
    <cellStyle name="標準_◇類型12（水稲24・大豆12・ぶどう4）" xfId="8"/>
    <cellStyle name="標準_水稲(24ha規模)＋大豆(6ｈａ)＋きゃべつ" xfId="9"/>
    <cellStyle name="標準_野菜計画(最終 ｱｽﾊﾟﾗ+ｺﾏﾂﾅ)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20</xdr:row>
      <xdr:rowOff>0</xdr:rowOff>
    </xdr:from>
    <xdr:to>
      <xdr:col>28</xdr:col>
      <xdr:colOff>9525</xdr:colOff>
      <xdr:row>21</xdr:row>
      <xdr:rowOff>0</xdr:rowOff>
    </xdr:to>
    <xdr:sp macro="" textlink="">
      <xdr:nvSpPr>
        <xdr:cNvPr id="1584" name="Rectangle 8" descr="10%"/>
        <xdr:cNvSpPr>
          <a:spLocks noChangeArrowheads="1"/>
        </xdr:cNvSpPr>
      </xdr:nvSpPr>
      <xdr:spPr bwMode="auto">
        <a:xfrm>
          <a:off x="8715375" y="5029200"/>
          <a:ext cx="533400" cy="247650"/>
        </a:xfrm>
        <a:prstGeom prst="rect">
          <a:avLst/>
        </a:prstGeom>
        <a:solidFill>
          <a:srgbClr val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190500</xdr:colOff>
      <xdr:row>12</xdr:row>
      <xdr:rowOff>123825</xdr:rowOff>
    </xdr:from>
    <xdr:to>
      <xdr:col>30</xdr:col>
      <xdr:colOff>9525</xdr:colOff>
      <xdr:row>12</xdr:row>
      <xdr:rowOff>123825</xdr:rowOff>
    </xdr:to>
    <xdr:sp macro="" textlink="">
      <xdr:nvSpPr>
        <xdr:cNvPr id="1585" name="Line 5"/>
        <xdr:cNvSpPr>
          <a:spLocks noChangeShapeType="1"/>
        </xdr:cNvSpPr>
      </xdr:nvSpPr>
      <xdr:spPr bwMode="auto">
        <a:xfrm flipV="1">
          <a:off x="7296150" y="3171825"/>
          <a:ext cx="24860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219075</xdr:colOff>
      <xdr:row>12</xdr:row>
      <xdr:rowOff>123825</xdr:rowOff>
    </xdr:from>
    <xdr:to>
      <xdr:col>18</xdr:col>
      <xdr:colOff>66675</xdr:colOff>
      <xdr:row>12</xdr:row>
      <xdr:rowOff>123825</xdr:rowOff>
    </xdr:to>
    <xdr:sp macro="" textlink="">
      <xdr:nvSpPr>
        <xdr:cNvPr id="1586" name="Line 16"/>
        <xdr:cNvSpPr>
          <a:spLocks noChangeShapeType="1"/>
        </xdr:cNvSpPr>
      </xdr:nvSpPr>
      <xdr:spPr bwMode="auto">
        <a:xfrm>
          <a:off x="6524625" y="3171825"/>
          <a:ext cx="1143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209550</xdr:colOff>
      <xdr:row>12</xdr:row>
      <xdr:rowOff>123825</xdr:rowOff>
    </xdr:from>
    <xdr:to>
      <xdr:col>20</xdr:col>
      <xdr:colOff>47625</xdr:colOff>
      <xdr:row>12</xdr:row>
      <xdr:rowOff>123825</xdr:rowOff>
    </xdr:to>
    <xdr:sp macro="" textlink="">
      <xdr:nvSpPr>
        <xdr:cNvPr id="1587" name="Line 16"/>
        <xdr:cNvSpPr>
          <a:spLocks noChangeShapeType="1"/>
        </xdr:cNvSpPr>
      </xdr:nvSpPr>
      <xdr:spPr bwMode="auto">
        <a:xfrm>
          <a:off x="6781800" y="3171825"/>
          <a:ext cx="3714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228600</xdr:colOff>
      <xdr:row>12</xdr:row>
      <xdr:rowOff>123825</xdr:rowOff>
    </xdr:from>
    <xdr:to>
      <xdr:col>17</xdr:col>
      <xdr:colOff>28575</xdr:colOff>
      <xdr:row>12</xdr:row>
      <xdr:rowOff>123825</xdr:rowOff>
    </xdr:to>
    <xdr:sp macro="" textlink="">
      <xdr:nvSpPr>
        <xdr:cNvPr id="1588" name="Line 16"/>
        <xdr:cNvSpPr>
          <a:spLocks noChangeShapeType="1"/>
        </xdr:cNvSpPr>
      </xdr:nvSpPr>
      <xdr:spPr bwMode="auto">
        <a:xfrm>
          <a:off x="6000750" y="3171825"/>
          <a:ext cx="3333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57150</xdr:rowOff>
    </xdr:from>
    <xdr:to>
      <xdr:col>32</xdr:col>
      <xdr:colOff>257175</xdr:colOff>
      <xdr:row>12</xdr:row>
      <xdr:rowOff>200025</xdr:rowOff>
    </xdr:to>
    <xdr:sp macro="" textlink="">
      <xdr:nvSpPr>
        <xdr:cNvPr id="1589" name="Rectangle 8" descr="10%"/>
        <xdr:cNvSpPr>
          <a:spLocks noChangeArrowheads="1"/>
        </xdr:cNvSpPr>
      </xdr:nvSpPr>
      <xdr:spPr bwMode="auto">
        <a:xfrm>
          <a:off x="9772650" y="3105150"/>
          <a:ext cx="790575" cy="142875"/>
        </a:xfrm>
        <a:prstGeom prst="rect">
          <a:avLst/>
        </a:prstGeom>
        <a:solidFill>
          <a:srgbClr val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190500</xdr:colOff>
      <xdr:row>13</xdr:row>
      <xdr:rowOff>123825</xdr:rowOff>
    </xdr:from>
    <xdr:to>
      <xdr:col>34</xdr:col>
      <xdr:colOff>28575</xdr:colOff>
      <xdr:row>13</xdr:row>
      <xdr:rowOff>133350</xdr:rowOff>
    </xdr:to>
    <xdr:sp macro="" textlink="">
      <xdr:nvSpPr>
        <xdr:cNvPr id="1590" name="Line 5"/>
        <xdr:cNvSpPr>
          <a:spLocks noChangeShapeType="1"/>
        </xdr:cNvSpPr>
      </xdr:nvSpPr>
      <xdr:spPr bwMode="auto">
        <a:xfrm flipV="1">
          <a:off x="7562850" y="3419475"/>
          <a:ext cx="3305175" cy="952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228600</xdr:colOff>
      <xdr:row>13</xdr:row>
      <xdr:rowOff>123825</xdr:rowOff>
    </xdr:from>
    <xdr:to>
      <xdr:col>21</xdr:col>
      <xdr:colOff>57150</xdr:colOff>
      <xdr:row>13</xdr:row>
      <xdr:rowOff>133350</xdr:rowOff>
    </xdr:to>
    <xdr:sp macro="" textlink="">
      <xdr:nvSpPr>
        <xdr:cNvPr id="1591" name="Line 16"/>
        <xdr:cNvSpPr>
          <a:spLocks noChangeShapeType="1"/>
        </xdr:cNvSpPr>
      </xdr:nvSpPr>
      <xdr:spPr bwMode="auto">
        <a:xfrm>
          <a:off x="6800850" y="3419475"/>
          <a:ext cx="628650" cy="952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13</xdr:row>
      <xdr:rowOff>66675</xdr:rowOff>
    </xdr:from>
    <xdr:to>
      <xdr:col>36</xdr:col>
      <xdr:colOff>0</xdr:colOff>
      <xdr:row>13</xdr:row>
      <xdr:rowOff>200025</xdr:rowOff>
    </xdr:to>
    <xdr:sp macro="" textlink="">
      <xdr:nvSpPr>
        <xdr:cNvPr id="1592" name="Rectangle 8" descr="10%"/>
        <xdr:cNvSpPr>
          <a:spLocks noChangeArrowheads="1"/>
        </xdr:cNvSpPr>
      </xdr:nvSpPr>
      <xdr:spPr bwMode="auto">
        <a:xfrm>
          <a:off x="10848975" y="3362325"/>
          <a:ext cx="523875" cy="133350"/>
        </a:xfrm>
        <a:prstGeom prst="rect">
          <a:avLst/>
        </a:prstGeom>
        <a:solidFill>
          <a:srgbClr val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5</xdr:row>
      <xdr:rowOff>133350</xdr:rowOff>
    </xdr:from>
    <xdr:to>
      <xdr:col>25</xdr:col>
      <xdr:colOff>466725</xdr:colOff>
      <xdr:row>5</xdr:row>
      <xdr:rowOff>133350</xdr:rowOff>
    </xdr:to>
    <xdr:sp macro="" textlink="">
      <xdr:nvSpPr>
        <xdr:cNvPr id="2347" name="Line 5"/>
        <xdr:cNvSpPr>
          <a:spLocks noChangeShapeType="1"/>
        </xdr:cNvSpPr>
      </xdr:nvSpPr>
      <xdr:spPr bwMode="auto">
        <a:xfrm flipV="1">
          <a:off x="8686800" y="1314450"/>
          <a:ext cx="43624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333375</xdr:colOff>
      <xdr:row>5</xdr:row>
      <xdr:rowOff>133350</xdr:rowOff>
    </xdr:from>
    <xdr:to>
      <xdr:col>14</xdr:col>
      <xdr:colOff>152400</xdr:colOff>
      <xdr:row>5</xdr:row>
      <xdr:rowOff>133350</xdr:rowOff>
    </xdr:to>
    <xdr:sp macro="" textlink="">
      <xdr:nvSpPr>
        <xdr:cNvPr id="2348" name="Line 16"/>
        <xdr:cNvSpPr>
          <a:spLocks noChangeShapeType="1"/>
        </xdr:cNvSpPr>
      </xdr:nvSpPr>
      <xdr:spPr bwMode="auto">
        <a:xfrm>
          <a:off x="7315200" y="13144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333375</xdr:colOff>
      <xdr:row>5</xdr:row>
      <xdr:rowOff>133350</xdr:rowOff>
    </xdr:from>
    <xdr:to>
      <xdr:col>16</xdr:col>
      <xdr:colOff>114300</xdr:colOff>
      <xdr:row>5</xdr:row>
      <xdr:rowOff>133350</xdr:rowOff>
    </xdr:to>
    <xdr:sp macro="" textlink="">
      <xdr:nvSpPr>
        <xdr:cNvPr id="2349" name="Line 16"/>
        <xdr:cNvSpPr>
          <a:spLocks noChangeShapeType="1"/>
        </xdr:cNvSpPr>
      </xdr:nvSpPr>
      <xdr:spPr bwMode="auto">
        <a:xfrm>
          <a:off x="7781925" y="1314450"/>
          <a:ext cx="7143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342900</xdr:colOff>
      <xdr:row>5</xdr:row>
      <xdr:rowOff>133350</xdr:rowOff>
    </xdr:from>
    <xdr:to>
      <xdr:col>13</xdr:col>
      <xdr:colOff>123825</xdr:colOff>
      <xdr:row>5</xdr:row>
      <xdr:rowOff>133350</xdr:rowOff>
    </xdr:to>
    <xdr:sp macro="" textlink="">
      <xdr:nvSpPr>
        <xdr:cNvPr id="2350" name="Line 16"/>
        <xdr:cNvSpPr>
          <a:spLocks noChangeShapeType="1"/>
        </xdr:cNvSpPr>
      </xdr:nvSpPr>
      <xdr:spPr bwMode="auto">
        <a:xfrm flipV="1">
          <a:off x="6391275" y="1314450"/>
          <a:ext cx="7143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5</xdr:row>
      <xdr:rowOff>47625</xdr:rowOff>
    </xdr:from>
    <xdr:to>
      <xdr:col>28</xdr:col>
      <xdr:colOff>457200</xdr:colOff>
      <xdr:row>5</xdr:row>
      <xdr:rowOff>190500</xdr:rowOff>
    </xdr:to>
    <xdr:sp macro="" textlink="">
      <xdr:nvSpPr>
        <xdr:cNvPr id="2351" name="Rectangle 8" descr="10%"/>
        <xdr:cNvSpPr>
          <a:spLocks noChangeArrowheads="1"/>
        </xdr:cNvSpPr>
      </xdr:nvSpPr>
      <xdr:spPr bwMode="auto">
        <a:xfrm>
          <a:off x="13049250" y="1228725"/>
          <a:ext cx="1390650" cy="142875"/>
        </a:xfrm>
        <a:prstGeom prst="rect">
          <a:avLst/>
        </a:prstGeom>
        <a:solidFill>
          <a:srgbClr val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371475</xdr:colOff>
      <xdr:row>5</xdr:row>
      <xdr:rowOff>123825</xdr:rowOff>
    </xdr:from>
    <xdr:to>
      <xdr:col>30</xdr:col>
      <xdr:colOff>28575</xdr:colOff>
      <xdr:row>5</xdr:row>
      <xdr:rowOff>123825</xdr:rowOff>
    </xdr:to>
    <xdr:sp macro="" textlink="">
      <xdr:nvSpPr>
        <xdr:cNvPr id="3218" name="Line 5"/>
        <xdr:cNvSpPr>
          <a:spLocks noChangeShapeType="1"/>
        </xdr:cNvSpPr>
      </xdr:nvSpPr>
      <xdr:spPr bwMode="auto">
        <a:xfrm flipV="1">
          <a:off x="9220200" y="1304925"/>
          <a:ext cx="57245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66675</xdr:rowOff>
    </xdr:from>
    <xdr:to>
      <xdr:col>32</xdr:col>
      <xdr:colOff>0</xdr:colOff>
      <xdr:row>5</xdr:row>
      <xdr:rowOff>200025</xdr:rowOff>
    </xdr:to>
    <xdr:sp macro="" textlink="">
      <xdr:nvSpPr>
        <xdr:cNvPr id="3219" name="Rectangle 8" descr="10%"/>
        <xdr:cNvSpPr>
          <a:spLocks noChangeArrowheads="1"/>
        </xdr:cNvSpPr>
      </xdr:nvSpPr>
      <xdr:spPr bwMode="auto">
        <a:xfrm>
          <a:off x="14925675" y="1247775"/>
          <a:ext cx="923925" cy="133350"/>
        </a:xfrm>
        <a:prstGeom prst="rect">
          <a:avLst/>
        </a:prstGeom>
        <a:solidFill>
          <a:srgbClr val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295275</xdr:colOff>
      <xdr:row>5</xdr:row>
      <xdr:rowOff>123825</xdr:rowOff>
    </xdr:from>
    <xdr:to>
      <xdr:col>17</xdr:col>
      <xdr:colOff>123825</xdr:colOff>
      <xdr:row>5</xdr:row>
      <xdr:rowOff>133350</xdr:rowOff>
    </xdr:to>
    <xdr:sp macro="" textlink="">
      <xdr:nvSpPr>
        <xdr:cNvPr id="3220" name="Line 16"/>
        <xdr:cNvSpPr>
          <a:spLocks noChangeShapeType="1"/>
        </xdr:cNvSpPr>
      </xdr:nvSpPr>
      <xdr:spPr bwMode="auto">
        <a:xfrm>
          <a:off x="7743825" y="1304925"/>
          <a:ext cx="1228725" cy="952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P34"/>
  <sheetViews>
    <sheetView tabSelected="1" zoomScale="75" zoomScaleNormal="75" workbookViewId="0"/>
  </sheetViews>
  <sheetFormatPr defaultRowHeight="13.5" x14ac:dyDescent="0.15"/>
  <cols>
    <col min="1" max="1" width="1.625" style="131" customWidth="1"/>
    <col min="2" max="3" width="7.625" style="131" customWidth="1"/>
    <col min="4" max="6" width="9" style="131"/>
    <col min="7" max="7" width="3.5" style="131" customWidth="1"/>
    <col min="8" max="8" width="3.625" style="131" customWidth="1"/>
    <col min="9" max="9" width="3.75" style="131" customWidth="1"/>
    <col min="10" max="42" width="3.5" style="131" customWidth="1"/>
    <col min="43" max="43" width="1.375" style="131" customWidth="1"/>
    <col min="44" max="16384" width="9" style="131"/>
  </cols>
  <sheetData>
    <row r="1" spans="1:42" ht="9.9499999999999993" customHeight="1" thickBot="1" x14ac:dyDescent="0.2"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42" ht="39.950000000000003" customHeight="1" thickBot="1" x14ac:dyDescent="0.2">
      <c r="A2" s="134"/>
      <c r="B2" s="135" t="s">
        <v>378</v>
      </c>
      <c r="C2" s="541" t="s">
        <v>379</v>
      </c>
      <c r="D2" s="542"/>
      <c r="E2" s="404" t="s">
        <v>74</v>
      </c>
      <c r="F2" s="543" t="s">
        <v>458</v>
      </c>
      <c r="G2" s="544"/>
      <c r="H2" s="544"/>
      <c r="I2" s="544"/>
      <c r="J2" s="544"/>
      <c r="K2" s="544"/>
      <c r="L2" s="544"/>
      <c r="M2" s="544"/>
      <c r="N2" s="542"/>
      <c r="O2" s="536" t="s">
        <v>75</v>
      </c>
      <c r="P2" s="537"/>
      <c r="Q2" s="538"/>
      <c r="R2" s="539" t="s">
        <v>276</v>
      </c>
      <c r="S2" s="540"/>
      <c r="T2" s="540"/>
      <c r="U2" s="540"/>
      <c r="V2" s="545" t="s">
        <v>76</v>
      </c>
      <c r="W2" s="540"/>
      <c r="X2" s="540"/>
      <c r="Y2" s="533" t="s">
        <v>380</v>
      </c>
      <c r="Z2" s="534"/>
      <c r="AA2" s="535"/>
      <c r="AB2" s="136"/>
      <c r="AC2" s="136"/>
      <c r="AD2" s="136"/>
    </row>
    <row r="3" spans="1:42" ht="9.9499999999999993" customHeight="1" x14ac:dyDescent="0.15">
      <c r="B3" s="137"/>
    </row>
    <row r="4" spans="1:42" ht="24.95" customHeight="1" thickBot="1" x14ac:dyDescent="0.2">
      <c r="B4" s="131" t="s">
        <v>119</v>
      </c>
    </row>
    <row r="5" spans="1:42" ht="20.100000000000001" customHeight="1" x14ac:dyDescent="0.15">
      <c r="B5" s="546" t="s">
        <v>120</v>
      </c>
      <c r="C5" s="527"/>
      <c r="D5" s="555"/>
      <c r="E5" s="556"/>
      <c r="F5" s="556"/>
      <c r="G5" s="557"/>
      <c r="H5" s="526" t="s">
        <v>77</v>
      </c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8"/>
      <c r="AD5" s="136"/>
      <c r="AE5" s="136"/>
      <c r="AF5" s="136"/>
      <c r="AG5" s="136"/>
      <c r="AH5" s="136"/>
      <c r="AI5" s="136"/>
      <c r="AJ5" s="136"/>
      <c r="AK5" s="136"/>
      <c r="AL5" s="136"/>
    </row>
    <row r="6" spans="1:42" ht="20.100000000000001" customHeight="1" x14ac:dyDescent="0.15">
      <c r="B6" s="558" t="s">
        <v>78</v>
      </c>
      <c r="C6" s="559"/>
      <c r="D6" s="559"/>
      <c r="E6" s="559"/>
      <c r="F6" s="559"/>
      <c r="G6" s="517"/>
      <c r="H6" s="517" t="s">
        <v>79</v>
      </c>
      <c r="I6" s="515"/>
      <c r="J6" s="515"/>
      <c r="K6" s="515"/>
      <c r="L6" s="515"/>
      <c r="M6" s="515"/>
      <c r="N6" s="517" t="s">
        <v>80</v>
      </c>
      <c r="O6" s="515"/>
      <c r="P6" s="515"/>
      <c r="Q6" s="517" t="s">
        <v>81</v>
      </c>
      <c r="R6" s="515"/>
      <c r="S6" s="515"/>
      <c r="T6" s="515"/>
      <c r="U6" s="515"/>
      <c r="V6" s="515"/>
      <c r="W6" s="515"/>
      <c r="X6" s="518"/>
      <c r="Y6" s="515" t="s">
        <v>82</v>
      </c>
      <c r="Z6" s="515"/>
      <c r="AA6" s="516"/>
    </row>
    <row r="7" spans="1:42" ht="20.100000000000001" customHeight="1" x14ac:dyDescent="0.15">
      <c r="B7" s="529" t="s">
        <v>83</v>
      </c>
      <c r="C7" s="530"/>
      <c r="D7" s="531" t="s">
        <v>381</v>
      </c>
      <c r="E7" s="532"/>
      <c r="F7" s="532"/>
      <c r="G7" s="532"/>
      <c r="H7" s="517" t="s">
        <v>10</v>
      </c>
      <c r="I7" s="515"/>
      <c r="J7" s="515"/>
      <c r="K7" s="515"/>
      <c r="L7" s="515"/>
      <c r="M7" s="518"/>
      <c r="N7" s="512">
        <v>30</v>
      </c>
      <c r="O7" s="513"/>
      <c r="P7" s="514"/>
      <c r="Q7" s="547"/>
      <c r="R7" s="548"/>
      <c r="S7" s="548"/>
      <c r="T7" s="548"/>
      <c r="U7" s="548"/>
      <c r="V7" s="548"/>
      <c r="W7" s="548"/>
      <c r="X7" s="549"/>
      <c r="Y7" s="512"/>
      <c r="Z7" s="513"/>
      <c r="AA7" s="522"/>
    </row>
    <row r="8" spans="1:42" ht="20.100000000000001" customHeight="1" x14ac:dyDescent="0.15">
      <c r="B8" s="558" t="s">
        <v>84</v>
      </c>
      <c r="C8" s="559"/>
      <c r="D8" s="550"/>
      <c r="E8" s="550"/>
      <c r="F8" s="550"/>
      <c r="G8" s="551"/>
      <c r="H8" s="517"/>
      <c r="I8" s="515"/>
      <c r="J8" s="515"/>
      <c r="K8" s="515"/>
      <c r="L8" s="515"/>
      <c r="M8" s="518"/>
      <c r="N8" s="512"/>
      <c r="O8" s="513"/>
      <c r="P8" s="514"/>
      <c r="Q8" s="523"/>
      <c r="R8" s="524"/>
      <c r="S8" s="524"/>
      <c r="T8" s="524"/>
      <c r="U8" s="524"/>
      <c r="V8" s="524"/>
      <c r="W8" s="524"/>
      <c r="X8" s="525"/>
      <c r="Y8" s="512"/>
      <c r="Z8" s="513"/>
      <c r="AA8" s="522"/>
    </row>
    <row r="9" spans="1:42" ht="20.100000000000001" customHeight="1" x14ac:dyDescent="0.15">
      <c r="B9" s="558" t="s">
        <v>85</v>
      </c>
      <c r="C9" s="559"/>
      <c r="D9" s="550"/>
      <c r="E9" s="550"/>
      <c r="F9" s="550"/>
      <c r="G9" s="551"/>
      <c r="H9" s="517"/>
      <c r="I9" s="515"/>
      <c r="J9" s="515"/>
      <c r="K9" s="515"/>
      <c r="L9" s="515"/>
      <c r="M9" s="518"/>
      <c r="N9" s="512"/>
      <c r="O9" s="513"/>
      <c r="P9" s="514"/>
      <c r="Q9" s="523"/>
      <c r="R9" s="524"/>
      <c r="S9" s="524"/>
      <c r="T9" s="524"/>
      <c r="U9" s="524"/>
      <c r="V9" s="524"/>
      <c r="W9" s="524"/>
      <c r="X9" s="525"/>
      <c r="Y9" s="512"/>
      <c r="Z9" s="513"/>
      <c r="AA9" s="522"/>
    </row>
    <row r="10" spans="1:42" ht="20.100000000000001" customHeight="1" x14ac:dyDescent="0.15">
      <c r="B10" s="558" t="s">
        <v>86</v>
      </c>
      <c r="C10" s="559"/>
      <c r="D10" s="550"/>
      <c r="E10" s="550"/>
      <c r="F10" s="550"/>
      <c r="G10" s="551"/>
      <c r="H10" s="519"/>
      <c r="I10" s="520"/>
      <c r="J10" s="520"/>
      <c r="K10" s="520"/>
      <c r="L10" s="520"/>
      <c r="M10" s="521"/>
      <c r="N10" s="512"/>
      <c r="O10" s="513"/>
      <c r="P10" s="514"/>
      <c r="Q10" s="523"/>
      <c r="R10" s="524"/>
      <c r="S10" s="524"/>
      <c r="T10" s="524"/>
      <c r="U10" s="524"/>
      <c r="V10" s="524"/>
      <c r="W10" s="524"/>
      <c r="X10" s="525"/>
      <c r="Y10" s="512"/>
      <c r="Z10" s="513"/>
      <c r="AA10" s="522"/>
    </row>
    <row r="11" spans="1:42" ht="20.100000000000001" customHeight="1" thickBot="1" x14ac:dyDescent="0.2">
      <c r="B11" s="552" t="s">
        <v>87</v>
      </c>
      <c r="C11" s="530"/>
      <c r="D11" s="553"/>
      <c r="E11" s="553"/>
      <c r="F11" s="553"/>
      <c r="G11" s="554"/>
      <c r="H11" s="570"/>
      <c r="I11" s="571"/>
      <c r="J11" s="571"/>
      <c r="K11" s="571"/>
      <c r="L11" s="571"/>
      <c r="M11" s="572"/>
      <c r="N11" s="563"/>
      <c r="O11" s="564"/>
      <c r="P11" s="569"/>
      <c r="Q11" s="560"/>
      <c r="R11" s="561"/>
      <c r="S11" s="561"/>
      <c r="T11" s="561"/>
      <c r="U11" s="561"/>
      <c r="V11" s="561"/>
      <c r="W11" s="561"/>
      <c r="X11" s="562"/>
      <c r="Y11" s="563"/>
      <c r="Z11" s="564"/>
      <c r="AA11" s="565"/>
    </row>
    <row r="12" spans="1:42" ht="20.100000000000001" customHeight="1" x14ac:dyDescent="0.15">
      <c r="B12" s="627" t="s">
        <v>117</v>
      </c>
      <c r="C12" s="526" t="s">
        <v>121</v>
      </c>
      <c r="D12" s="527"/>
      <c r="E12" s="566"/>
      <c r="F12" s="132" t="s">
        <v>118</v>
      </c>
      <c r="G12" s="526">
        <v>1</v>
      </c>
      <c r="H12" s="527"/>
      <c r="I12" s="527"/>
      <c r="J12" s="526">
        <v>2</v>
      </c>
      <c r="K12" s="527"/>
      <c r="L12" s="566"/>
      <c r="M12" s="527">
        <v>3</v>
      </c>
      <c r="N12" s="527"/>
      <c r="O12" s="568"/>
      <c r="P12" s="526">
        <v>4</v>
      </c>
      <c r="Q12" s="527"/>
      <c r="R12" s="566"/>
      <c r="S12" s="567">
        <v>5</v>
      </c>
      <c r="T12" s="527"/>
      <c r="U12" s="568"/>
      <c r="V12" s="526">
        <v>6</v>
      </c>
      <c r="W12" s="527"/>
      <c r="X12" s="566"/>
      <c r="Y12" s="567">
        <v>7</v>
      </c>
      <c r="Z12" s="527"/>
      <c r="AA12" s="568"/>
      <c r="AB12" s="526">
        <v>8</v>
      </c>
      <c r="AC12" s="527"/>
      <c r="AD12" s="566"/>
      <c r="AE12" s="567">
        <v>9</v>
      </c>
      <c r="AF12" s="527"/>
      <c r="AG12" s="568"/>
      <c r="AH12" s="526">
        <v>10</v>
      </c>
      <c r="AI12" s="527"/>
      <c r="AJ12" s="566"/>
      <c r="AK12" s="526">
        <v>11</v>
      </c>
      <c r="AL12" s="527"/>
      <c r="AM12" s="566"/>
      <c r="AN12" s="527">
        <v>12</v>
      </c>
      <c r="AO12" s="527"/>
      <c r="AP12" s="528"/>
    </row>
    <row r="13" spans="1:42" ht="20.100000000000001" customHeight="1" x14ac:dyDescent="0.15">
      <c r="B13" s="628"/>
      <c r="C13" s="360" t="s">
        <v>290</v>
      </c>
      <c r="D13" s="356"/>
      <c r="E13" s="357"/>
      <c r="F13" s="396">
        <f>AB26+AM26+AB27+AM27+AB28</f>
        <v>20</v>
      </c>
      <c r="G13" s="138"/>
      <c r="H13" s="139"/>
      <c r="I13" s="139"/>
      <c r="J13" s="138"/>
      <c r="K13" s="139"/>
      <c r="L13" s="140"/>
      <c r="M13" s="139"/>
      <c r="N13" s="139"/>
      <c r="O13" s="141"/>
      <c r="P13" s="405" t="s">
        <v>389</v>
      </c>
      <c r="Q13" s="406"/>
      <c r="R13" s="407" t="s">
        <v>382</v>
      </c>
      <c r="S13" s="408" t="s">
        <v>383</v>
      </c>
      <c r="T13" s="408"/>
      <c r="U13" s="408" t="s">
        <v>384</v>
      </c>
      <c r="V13" s="405"/>
      <c r="W13" s="406"/>
      <c r="X13" s="407"/>
      <c r="Y13" s="408"/>
      <c r="Z13" s="408"/>
      <c r="AA13" s="408"/>
      <c r="AB13" s="405"/>
      <c r="AC13" s="406"/>
      <c r="AD13" s="407"/>
      <c r="AE13" s="143"/>
      <c r="AF13" s="144"/>
      <c r="AG13" s="145"/>
      <c r="AH13" s="409"/>
      <c r="AI13" s="408"/>
      <c r="AJ13" s="410"/>
      <c r="AK13" s="138"/>
      <c r="AL13" s="139"/>
      <c r="AM13" s="140"/>
      <c r="AN13" s="139"/>
      <c r="AO13" s="139"/>
      <c r="AP13" s="142"/>
    </row>
    <row r="14" spans="1:42" ht="20.100000000000001" customHeight="1" x14ac:dyDescent="0.15">
      <c r="B14" s="628"/>
      <c r="C14" s="361" t="s">
        <v>291</v>
      </c>
      <c r="D14" s="356"/>
      <c r="E14" s="357"/>
      <c r="F14" s="397">
        <v>10</v>
      </c>
      <c r="G14" s="143"/>
      <c r="H14" s="144"/>
      <c r="I14" s="144"/>
      <c r="J14" s="143"/>
      <c r="K14" s="144"/>
      <c r="L14" s="145"/>
      <c r="M14" s="144"/>
      <c r="N14" s="144"/>
      <c r="O14" s="146"/>
      <c r="P14" s="143"/>
      <c r="Q14" s="144"/>
      <c r="R14" s="145"/>
      <c r="S14" s="147" t="s">
        <v>389</v>
      </c>
      <c r="T14" s="408"/>
      <c r="U14" s="408"/>
      <c r="V14" s="405" t="s">
        <v>292</v>
      </c>
      <c r="W14" s="406"/>
      <c r="X14" s="407"/>
      <c r="Y14" s="408"/>
      <c r="Z14" s="408"/>
      <c r="AA14" s="408"/>
      <c r="AB14" s="405"/>
      <c r="AC14" s="406"/>
      <c r="AD14" s="407"/>
      <c r="AE14" s="143"/>
      <c r="AF14" s="144"/>
      <c r="AG14" s="145"/>
      <c r="AH14" s="143"/>
      <c r="AI14" s="144"/>
      <c r="AJ14" s="145"/>
      <c r="AK14" s="143"/>
      <c r="AL14" s="144"/>
      <c r="AM14" s="145"/>
      <c r="AN14" s="144"/>
      <c r="AO14" s="144"/>
      <c r="AP14" s="148"/>
    </row>
    <row r="15" spans="1:42" ht="20.100000000000001" customHeight="1" x14ac:dyDescent="0.15">
      <c r="B15" s="628"/>
      <c r="C15" s="361"/>
      <c r="D15" s="356"/>
      <c r="E15" s="357"/>
      <c r="F15" s="397"/>
      <c r="G15" s="143"/>
      <c r="H15" s="144"/>
      <c r="I15" s="144"/>
      <c r="J15" s="143"/>
      <c r="K15" s="144"/>
      <c r="L15" s="145"/>
      <c r="M15" s="144"/>
      <c r="N15" s="144"/>
      <c r="O15" s="146"/>
      <c r="P15" s="143"/>
      <c r="Q15" s="144"/>
      <c r="R15" s="145"/>
      <c r="S15" s="147"/>
      <c r="T15" s="144"/>
      <c r="U15" s="146"/>
      <c r="V15" s="143"/>
      <c r="W15" s="144"/>
      <c r="X15" s="145"/>
      <c r="Y15" s="147"/>
      <c r="Z15" s="144"/>
      <c r="AA15" s="146"/>
      <c r="AB15" s="143"/>
      <c r="AC15" s="144"/>
      <c r="AD15" s="145"/>
      <c r="AE15" s="143"/>
      <c r="AF15" s="144"/>
      <c r="AG15" s="145"/>
      <c r="AH15" s="143"/>
      <c r="AI15" s="144"/>
      <c r="AJ15" s="145"/>
      <c r="AK15" s="143"/>
      <c r="AL15" s="144"/>
      <c r="AM15" s="145"/>
      <c r="AN15" s="144"/>
      <c r="AO15" s="144"/>
      <c r="AP15" s="148"/>
    </row>
    <row r="16" spans="1:42" ht="20.100000000000001" customHeight="1" x14ac:dyDescent="0.15">
      <c r="B16" s="628"/>
      <c r="C16" s="361"/>
      <c r="D16" s="356"/>
      <c r="E16" s="357"/>
      <c r="F16" s="397"/>
      <c r="G16" s="143"/>
      <c r="H16" s="144"/>
      <c r="I16" s="144"/>
      <c r="J16" s="143"/>
      <c r="K16" s="144"/>
      <c r="L16" s="145"/>
      <c r="M16" s="144"/>
      <c r="N16" s="144"/>
      <c r="O16" s="146"/>
      <c r="P16" s="143"/>
      <c r="Q16" s="144"/>
      <c r="R16" s="145"/>
      <c r="S16" s="147"/>
      <c r="T16" s="408"/>
      <c r="U16" s="408"/>
      <c r="V16" s="405" ph="1"/>
      <c r="W16" s="406"/>
      <c r="X16" s="407"/>
      <c r="Y16" s="408"/>
      <c r="Z16" s="408"/>
      <c r="AA16" s="408"/>
      <c r="AB16" s="405"/>
      <c r="AC16" s="406"/>
      <c r="AD16" s="407"/>
      <c r="AE16" s="143"/>
      <c r="AF16" s="144"/>
      <c r="AG16" s="145"/>
      <c r="AH16" s="143"/>
      <c r="AI16" s="144"/>
      <c r="AJ16" s="145"/>
      <c r="AK16" s="143"/>
      <c r="AL16" s="144"/>
      <c r="AM16" s="145"/>
      <c r="AN16" s="144"/>
      <c r="AO16" s="144"/>
      <c r="AP16" s="148"/>
    </row>
    <row r="17" spans="2:42" ht="20.100000000000001" customHeight="1" x14ac:dyDescent="0.15">
      <c r="B17" s="628"/>
      <c r="C17" s="361"/>
      <c r="D17" s="356"/>
      <c r="E17" s="357"/>
      <c r="F17" s="397"/>
      <c r="G17" s="143"/>
      <c r="H17" s="144"/>
      <c r="I17" s="144"/>
      <c r="J17" s="143"/>
      <c r="K17" s="144"/>
      <c r="L17" s="145"/>
      <c r="M17" s="144"/>
      <c r="N17" s="144"/>
      <c r="O17" s="146"/>
      <c r="P17" s="143"/>
      <c r="Q17" s="144"/>
      <c r="R17" s="145"/>
      <c r="S17" s="147"/>
      <c r="T17" s="144"/>
      <c r="U17" s="146"/>
      <c r="V17" s="143"/>
      <c r="W17" s="144"/>
      <c r="X17" s="145"/>
      <c r="Y17" s="147"/>
      <c r="Z17" s="144"/>
      <c r="AA17" s="146"/>
      <c r="AB17" s="143"/>
      <c r="AC17" s="144"/>
      <c r="AD17" s="145"/>
      <c r="AE17" s="143"/>
      <c r="AF17" s="144"/>
      <c r="AG17" s="145"/>
      <c r="AH17" s="143"/>
      <c r="AI17" s="144"/>
      <c r="AJ17" s="145"/>
      <c r="AK17" s="143"/>
      <c r="AL17" s="144"/>
      <c r="AM17" s="145"/>
      <c r="AN17" s="144"/>
      <c r="AO17" s="144"/>
      <c r="AP17" s="148"/>
    </row>
    <row r="18" spans="2:42" ht="20.100000000000001" customHeight="1" x14ac:dyDescent="0.15">
      <c r="B18" s="628"/>
      <c r="C18" s="361"/>
      <c r="D18" s="356"/>
      <c r="E18" s="357"/>
      <c r="F18" s="397"/>
      <c r="G18" s="143"/>
      <c r="H18" s="144"/>
      <c r="I18" s="144"/>
      <c r="J18" s="143"/>
      <c r="K18" s="144"/>
      <c r="L18" s="145"/>
      <c r="M18" s="144"/>
      <c r="N18" s="144"/>
      <c r="O18" s="146"/>
      <c r="P18" s="143"/>
      <c r="Q18" s="144"/>
      <c r="R18" s="145"/>
      <c r="S18" s="147"/>
      <c r="T18" s="144"/>
      <c r="U18" s="146"/>
      <c r="V18" s="143"/>
      <c r="W18" s="144"/>
      <c r="X18" s="145"/>
      <c r="Y18" s="147"/>
      <c r="Z18" s="144"/>
      <c r="AA18" s="146"/>
      <c r="AB18" s="143"/>
      <c r="AC18" s="144"/>
      <c r="AD18" s="145"/>
      <c r="AE18" s="143"/>
      <c r="AF18" s="144"/>
      <c r="AG18" s="145"/>
      <c r="AH18" s="143"/>
      <c r="AI18" s="144"/>
      <c r="AJ18" s="145"/>
      <c r="AK18" s="143"/>
      <c r="AL18" s="144"/>
      <c r="AM18" s="145"/>
      <c r="AN18" s="144"/>
      <c r="AO18" s="144"/>
      <c r="AP18" s="148"/>
    </row>
    <row r="19" spans="2:42" ht="20.100000000000001" customHeight="1" x14ac:dyDescent="0.15">
      <c r="B19" s="629"/>
      <c r="C19" s="362"/>
      <c r="D19" s="358"/>
      <c r="E19" s="359"/>
      <c r="F19" s="355"/>
      <c r="G19" s="149"/>
      <c r="H19" s="150"/>
      <c r="I19" s="150"/>
      <c r="J19" s="151"/>
      <c r="K19" s="152"/>
      <c r="L19" s="153"/>
      <c r="M19" s="150"/>
      <c r="N19" s="150"/>
      <c r="O19" s="154"/>
      <c r="P19" s="151"/>
      <c r="Q19" s="152"/>
      <c r="R19" s="153"/>
      <c r="S19" s="155"/>
      <c r="T19" s="150"/>
      <c r="U19" s="154"/>
      <c r="V19" s="151"/>
      <c r="W19" s="152"/>
      <c r="X19" s="153"/>
      <c r="Y19" s="155"/>
      <c r="Z19" s="150"/>
      <c r="AA19" s="154"/>
      <c r="AB19" s="151"/>
      <c r="AC19" s="152"/>
      <c r="AD19" s="153"/>
      <c r="AE19" s="151"/>
      <c r="AF19" s="152"/>
      <c r="AG19" s="153"/>
      <c r="AH19" s="151"/>
      <c r="AI19" s="152"/>
      <c r="AJ19" s="153"/>
      <c r="AK19" s="151"/>
      <c r="AL19" s="152"/>
      <c r="AM19" s="153"/>
      <c r="AN19" s="152"/>
      <c r="AO19" s="152"/>
      <c r="AP19" s="156"/>
    </row>
    <row r="20" spans="2:42" ht="20.100000000000001" customHeight="1" x14ac:dyDescent="0.15">
      <c r="B20" s="622" t="s">
        <v>88</v>
      </c>
      <c r="C20" s="630"/>
      <c r="D20" s="631"/>
      <c r="E20" s="631"/>
      <c r="F20" s="631"/>
      <c r="G20" s="631"/>
      <c r="H20" s="631"/>
      <c r="I20" s="631"/>
      <c r="J20" s="631"/>
      <c r="K20" s="631"/>
      <c r="L20" s="631"/>
      <c r="M20" s="631"/>
      <c r="N20" s="631"/>
      <c r="O20" s="631"/>
      <c r="P20" s="631"/>
      <c r="Q20" s="631"/>
      <c r="R20" s="631"/>
      <c r="S20" s="631"/>
      <c r="T20" s="631"/>
      <c r="U20" s="631"/>
      <c r="V20" s="631"/>
      <c r="W20" s="631"/>
      <c r="X20" s="631"/>
      <c r="Y20" s="631"/>
      <c r="Z20" s="631"/>
      <c r="AA20" s="631"/>
      <c r="AB20" s="631"/>
      <c r="AC20" s="631"/>
      <c r="AD20" s="631"/>
      <c r="AE20" s="631"/>
      <c r="AF20" s="631"/>
      <c r="AG20" s="631"/>
      <c r="AH20" s="631"/>
      <c r="AI20" s="631"/>
      <c r="AJ20" s="631"/>
      <c r="AK20" s="631"/>
      <c r="AL20" s="631"/>
      <c r="AM20" s="631"/>
      <c r="AN20" s="631"/>
      <c r="AO20" s="631"/>
      <c r="AP20" s="632"/>
    </row>
    <row r="21" spans="2:42" ht="20.100000000000001" customHeight="1" x14ac:dyDescent="0.15">
      <c r="B21" s="529"/>
      <c r="C21" s="611" t="s">
        <v>106</v>
      </c>
      <c r="D21" s="612"/>
      <c r="E21" s="612"/>
      <c r="F21" s="612"/>
      <c r="G21" s="612"/>
      <c r="H21" s="612"/>
      <c r="I21" s="612"/>
      <c r="J21" s="612"/>
      <c r="K21" s="612"/>
      <c r="L21" s="612"/>
      <c r="M21" s="612"/>
      <c r="N21" s="612"/>
      <c r="O21" s="612"/>
      <c r="P21" s="612"/>
      <c r="Q21" s="612"/>
      <c r="R21" s="612"/>
      <c r="S21" s="612"/>
      <c r="T21" s="612"/>
      <c r="U21" s="612"/>
      <c r="V21" s="157"/>
      <c r="W21" s="157"/>
      <c r="Y21" s="532" t="s">
        <v>122</v>
      </c>
      <c r="Z21" s="532"/>
      <c r="AA21" s="532"/>
      <c r="AB21" s="532"/>
      <c r="AC21" s="157"/>
      <c r="AD21" s="157"/>
      <c r="AI21" s="157"/>
      <c r="AJ21" s="157"/>
      <c r="AK21" s="157"/>
      <c r="AL21" s="157"/>
      <c r="AM21" s="157"/>
      <c r="AN21" s="157"/>
      <c r="AO21" s="157"/>
      <c r="AP21" s="158"/>
    </row>
    <row r="22" spans="2:42" ht="20.100000000000001" customHeight="1" thickBot="1" x14ac:dyDescent="0.2">
      <c r="B22" s="552"/>
      <c r="C22" s="613"/>
      <c r="D22" s="614"/>
      <c r="E22" s="614"/>
      <c r="F22" s="614"/>
      <c r="G22" s="614"/>
      <c r="H22" s="614"/>
      <c r="I22" s="614"/>
      <c r="J22" s="614"/>
      <c r="K22" s="614"/>
      <c r="L22" s="614"/>
      <c r="M22" s="614"/>
      <c r="N22" s="614"/>
      <c r="O22" s="614"/>
      <c r="P22" s="614"/>
      <c r="Q22" s="614"/>
      <c r="R22" s="614"/>
      <c r="S22" s="614"/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4"/>
      <c r="AI22" s="614"/>
      <c r="AJ22" s="614"/>
      <c r="AK22" s="614"/>
      <c r="AL22" s="614"/>
      <c r="AM22" s="614"/>
      <c r="AN22" s="614"/>
      <c r="AO22" s="614"/>
      <c r="AP22" s="615"/>
    </row>
    <row r="23" spans="2:42" ht="9.9499999999999993" customHeight="1" x14ac:dyDescent="0.15"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</row>
    <row r="24" spans="2:42" ht="24.95" customHeight="1" thickBot="1" x14ac:dyDescent="0.2">
      <c r="B24" s="131" t="s">
        <v>123</v>
      </c>
    </row>
    <row r="25" spans="2:42" ht="20.100000000000001" customHeight="1" thickBot="1" x14ac:dyDescent="0.2">
      <c r="B25" s="616" t="s">
        <v>19</v>
      </c>
      <c r="C25" s="617"/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8"/>
      <c r="O25" s="619" t="s">
        <v>18</v>
      </c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  <c r="AC25" s="620"/>
      <c r="AD25" s="620"/>
      <c r="AE25" s="620"/>
      <c r="AF25" s="620"/>
      <c r="AG25" s="620"/>
      <c r="AH25" s="620"/>
      <c r="AI25" s="620"/>
      <c r="AJ25" s="620"/>
      <c r="AK25" s="620"/>
      <c r="AL25" s="620"/>
      <c r="AM25" s="620"/>
      <c r="AN25" s="620"/>
      <c r="AO25" s="620"/>
      <c r="AP25" s="621"/>
    </row>
    <row r="26" spans="2:42" ht="19.899999999999999" customHeight="1" x14ac:dyDescent="0.15">
      <c r="B26" s="590" t="s">
        <v>14</v>
      </c>
      <c r="C26" s="591"/>
      <c r="D26" s="592"/>
      <c r="E26" s="581" t="s">
        <v>387</v>
      </c>
      <c r="F26" s="582"/>
      <c r="G26" s="582"/>
      <c r="H26" s="582"/>
      <c r="I26" s="582"/>
      <c r="J26" s="582"/>
      <c r="K26" s="582"/>
      <c r="L26" s="582"/>
      <c r="M26" s="582"/>
      <c r="N26" s="583"/>
      <c r="O26" s="590" t="s">
        <v>11</v>
      </c>
      <c r="P26" s="591"/>
      <c r="Q26" s="591"/>
      <c r="R26" s="591"/>
      <c r="S26" s="592"/>
      <c r="T26" s="626"/>
      <c r="U26" s="623"/>
      <c r="V26" s="623"/>
      <c r="W26" s="623"/>
      <c r="X26" s="623"/>
      <c r="Y26" s="623"/>
      <c r="Z26" s="463"/>
      <c r="AA26" s="463"/>
      <c r="AB26" s="463"/>
      <c r="AC26" s="624"/>
      <c r="AD26" s="625"/>
      <c r="AE26" s="623" t="s">
        <v>362</v>
      </c>
      <c r="AF26" s="623"/>
      <c r="AG26" s="623"/>
      <c r="AH26" s="623"/>
      <c r="AI26" s="623"/>
      <c r="AJ26" s="623"/>
      <c r="AK26" s="463"/>
      <c r="AL26" s="463"/>
      <c r="AM26" s="466">
        <v>15</v>
      </c>
      <c r="AN26" s="624" t="s">
        <v>350</v>
      </c>
      <c r="AO26" s="625"/>
      <c r="AP26" s="634"/>
    </row>
    <row r="27" spans="2:42" ht="19.899999999999999" customHeight="1" x14ac:dyDescent="0.15">
      <c r="B27" s="593"/>
      <c r="C27" s="594"/>
      <c r="D27" s="595"/>
      <c r="E27" s="584"/>
      <c r="F27" s="585"/>
      <c r="G27" s="585"/>
      <c r="H27" s="585"/>
      <c r="I27" s="585"/>
      <c r="J27" s="585"/>
      <c r="K27" s="585"/>
      <c r="L27" s="585"/>
      <c r="M27" s="585"/>
      <c r="N27" s="586"/>
      <c r="O27" s="593"/>
      <c r="P27" s="594"/>
      <c r="Q27" s="594"/>
      <c r="R27" s="594"/>
      <c r="S27" s="595"/>
      <c r="T27" s="607"/>
      <c r="U27" s="608"/>
      <c r="V27" s="608"/>
      <c r="W27" s="608"/>
      <c r="X27" s="608"/>
      <c r="Y27" s="608"/>
      <c r="Z27" s="464"/>
      <c r="AA27" s="464"/>
      <c r="AB27" s="464"/>
      <c r="AC27" s="605"/>
      <c r="AD27" s="605"/>
      <c r="AE27" s="608" t="s">
        <v>388</v>
      </c>
      <c r="AF27" s="608"/>
      <c r="AG27" s="608"/>
      <c r="AH27" s="608"/>
      <c r="AI27" s="608"/>
      <c r="AJ27" s="608"/>
      <c r="AK27" s="464"/>
      <c r="AL27" s="464"/>
      <c r="AM27" s="464">
        <v>5</v>
      </c>
      <c r="AN27" s="605" t="s">
        <v>349</v>
      </c>
      <c r="AO27" s="605"/>
      <c r="AP27" s="606"/>
    </row>
    <row r="28" spans="2:42" ht="19.899999999999999" customHeight="1" x14ac:dyDescent="0.15">
      <c r="B28" s="593"/>
      <c r="C28" s="594"/>
      <c r="D28" s="595"/>
      <c r="E28" s="584"/>
      <c r="F28" s="585"/>
      <c r="G28" s="585"/>
      <c r="H28" s="585"/>
      <c r="I28" s="585"/>
      <c r="J28" s="585"/>
      <c r="K28" s="585"/>
      <c r="L28" s="585"/>
      <c r="M28" s="585"/>
      <c r="N28" s="586"/>
      <c r="O28" s="593"/>
      <c r="P28" s="594"/>
      <c r="Q28" s="594"/>
      <c r="R28" s="594"/>
      <c r="S28" s="595"/>
      <c r="T28" s="607"/>
      <c r="U28" s="608"/>
      <c r="V28" s="608"/>
      <c r="W28" s="608"/>
      <c r="X28" s="608"/>
      <c r="Y28" s="608"/>
      <c r="Z28" s="464"/>
      <c r="AA28" s="464"/>
      <c r="AB28" s="464"/>
      <c r="AC28" s="605"/>
      <c r="AD28" s="605"/>
      <c r="AE28" s="633"/>
      <c r="AF28" s="633"/>
      <c r="AG28" s="633"/>
      <c r="AH28" s="633"/>
      <c r="AI28" s="633"/>
      <c r="AJ28" s="633"/>
      <c r="AK28" s="464"/>
      <c r="AL28" s="464"/>
      <c r="AM28" s="464"/>
      <c r="AN28" s="605"/>
      <c r="AO28" s="605"/>
      <c r="AP28" s="606"/>
    </row>
    <row r="29" spans="2:42" ht="19.899999999999999" customHeight="1" x14ac:dyDescent="0.15">
      <c r="B29" s="593"/>
      <c r="C29" s="594"/>
      <c r="D29" s="595"/>
      <c r="E29" s="584"/>
      <c r="F29" s="585"/>
      <c r="G29" s="585"/>
      <c r="H29" s="585"/>
      <c r="I29" s="585"/>
      <c r="J29" s="585"/>
      <c r="K29" s="585"/>
      <c r="L29" s="585"/>
      <c r="M29" s="585"/>
      <c r="N29" s="586"/>
      <c r="O29" s="593"/>
      <c r="P29" s="594"/>
      <c r="Q29" s="594"/>
      <c r="R29" s="594"/>
      <c r="S29" s="595"/>
      <c r="T29" s="607"/>
      <c r="U29" s="608"/>
      <c r="V29" s="608"/>
      <c r="W29" s="608"/>
      <c r="X29" s="608"/>
      <c r="Y29" s="608"/>
      <c r="Z29" s="464"/>
      <c r="AA29" s="464"/>
      <c r="AB29" s="464"/>
      <c r="AC29" s="605"/>
      <c r="AD29" s="605"/>
      <c r="AE29" s="608"/>
      <c r="AF29" s="608"/>
      <c r="AG29" s="608"/>
      <c r="AH29" s="608"/>
      <c r="AI29" s="608"/>
      <c r="AJ29" s="608"/>
      <c r="AK29" s="464"/>
      <c r="AL29" s="464"/>
      <c r="AM29" s="464"/>
      <c r="AN29" s="605"/>
      <c r="AO29" s="605"/>
      <c r="AP29" s="606"/>
    </row>
    <row r="30" spans="2:42" ht="19.899999999999999" customHeight="1" x14ac:dyDescent="0.15">
      <c r="B30" s="596"/>
      <c r="C30" s="597"/>
      <c r="D30" s="598"/>
      <c r="E30" s="587"/>
      <c r="F30" s="588"/>
      <c r="G30" s="588"/>
      <c r="H30" s="588"/>
      <c r="I30" s="588"/>
      <c r="J30" s="588"/>
      <c r="K30" s="588"/>
      <c r="L30" s="588"/>
      <c r="M30" s="588"/>
      <c r="N30" s="589"/>
      <c r="O30" s="596"/>
      <c r="P30" s="597"/>
      <c r="Q30" s="597"/>
      <c r="R30" s="597"/>
      <c r="S30" s="598"/>
      <c r="T30" s="609"/>
      <c r="U30" s="610"/>
      <c r="V30" s="610"/>
      <c r="W30" s="610"/>
      <c r="X30" s="610"/>
      <c r="Y30" s="610"/>
      <c r="Z30" s="465"/>
      <c r="AA30" s="465"/>
      <c r="AB30" s="465"/>
      <c r="AC30" s="603"/>
      <c r="AD30" s="603"/>
      <c r="AE30" s="610" t="s">
        <v>351</v>
      </c>
      <c r="AF30" s="610"/>
      <c r="AG30" s="610"/>
      <c r="AH30" s="610"/>
      <c r="AI30" s="610"/>
      <c r="AJ30" s="610"/>
      <c r="AK30" s="465"/>
      <c r="AL30" s="465"/>
      <c r="AM30" s="465">
        <v>10</v>
      </c>
      <c r="AN30" s="603" t="s">
        <v>349</v>
      </c>
      <c r="AO30" s="603"/>
      <c r="AP30" s="604"/>
    </row>
    <row r="31" spans="2:42" ht="39.950000000000003" customHeight="1" x14ac:dyDescent="0.15">
      <c r="B31" s="573" t="s">
        <v>15</v>
      </c>
      <c r="C31" s="574"/>
      <c r="D31" s="574"/>
      <c r="E31" s="575" t="s">
        <v>385</v>
      </c>
      <c r="F31" s="576"/>
      <c r="G31" s="576"/>
      <c r="H31" s="576"/>
      <c r="I31" s="576"/>
      <c r="J31" s="576"/>
      <c r="K31" s="576"/>
      <c r="L31" s="576"/>
      <c r="M31" s="576"/>
      <c r="N31" s="577"/>
      <c r="O31" s="578" t="s">
        <v>12</v>
      </c>
      <c r="P31" s="574"/>
      <c r="Q31" s="574"/>
      <c r="R31" s="574"/>
      <c r="S31" s="574"/>
      <c r="T31" s="575" t="s">
        <v>411</v>
      </c>
      <c r="U31" s="576"/>
      <c r="V31" s="576"/>
      <c r="W31" s="576"/>
      <c r="X31" s="576"/>
      <c r="Y31" s="576"/>
      <c r="Z31" s="576"/>
      <c r="AA31" s="576"/>
      <c r="AB31" s="576"/>
      <c r="AC31" s="576"/>
      <c r="AD31" s="576"/>
      <c r="AE31" s="576"/>
      <c r="AF31" s="576"/>
      <c r="AG31" s="576"/>
      <c r="AH31" s="576"/>
      <c r="AI31" s="576"/>
      <c r="AJ31" s="576"/>
      <c r="AK31" s="576"/>
      <c r="AL31" s="576"/>
      <c r="AM31" s="576"/>
      <c r="AN31" s="576"/>
      <c r="AO31" s="576"/>
      <c r="AP31" s="577"/>
    </row>
    <row r="32" spans="2:42" ht="53.25" customHeight="1" x14ac:dyDescent="0.15">
      <c r="B32" s="573" t="s">
        <v>16</v>
      </c>
      <c r="C32" s="574"/>
      <c r="D32" s="574"/>
      <c r="E32" s="575" t="s">
        <v>410</v>
      </c>
      <c r="F32" s="576"/>
      <c r="G32" s="576"/>
      <c r="H32" s="576"/>
      <c r="I32" s="576"/>
      <c r="J32" s="576"/>
      <c r="K32" s="576"/>
      <c r="L32" s="576"/>
      <c r="M32" s="576"/>
      <c r="N32" s="577"/>
      <c r="O32" s="578" t="s">
        <v>13</v>
      </c>
      <c r="P32" s="574"/>
      <c r="Q32" s="574"/>
      <c r="R32" s="574"/>
      <c r="S32" s="574"/>
      <c r="T32" s="575" t="s">
        <v>489</v>
      </c>
      <c r="U32" s="576"/>
      <c r="V32" s="576"/>
      <c r="W32" s="576"/>
      <c r="X32" s="576"/>
      <c r="Y32" s="576"/>
      <c r="Z32" s="576"/>
      <c r="AA32" s="576"/>
      <c r="AB32" s="576"/>
      <c r="AC32" s="576"/>
      <c r="AD32" s="576"/>
      <c r="AE32" s="576"/>
      <c r="AF32" s="576"/>
      <c r="AG32" s="576"/>
      <c r="AH32" s="576"/>
      <c r="AI32" s="576"/>
      <c r="AJ32" s="576"/>
      <c r="AK32" s="576"/>
      <c r="AL32" s="576"/>
      <c r="AM32" s="576"/>
      <c r="AN32" s="576"/>
      <c r="AO32" s="576"/>
      <c r="AP32" s="577"/>
    </row>
    <row r="33" spans="2:42" ht="39.950000000000003" customHeight="1" thickBot="1" x14ac:dyDescent="0.2">
      <c r="B33" s="601" t="s">
        <v>17</v>
      </c>
      <c r="C33" s="580"/>
      <c r="D33" s="580"/>
      <c r="E33" s="602" t="s">
        <v>523</v>
      </c>
      <c r="F33" s="599"/>
      <c r="G33" s="599"/>
      <c r="H33" s="599"/>
      <c r="I33" s="599"/>
      <c r="J33" s="599"/>
      <c r="K33" s="599"/>
      <c r="L33" s="599"/>
      <c r="M33" s="599"/>
      <c r="N33" s="600"/>
      <c r="O33" s="579"/>
      <c r="P33" s="580"/>
      <c r="Q33" s="580"/>
      <c r="R33" s="580"/>
      <c r="S33" s="580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599"/>
      <c r="AJ33" s="599"/>
      <c r="AK33" s="599"/>
      <c r="AL33" s="599"/>
      <c r="AM33" s="599"/>
      <c r="AN33" s="599"/>
      <c r="AO33" s="599"/>
      <c r="AP33" s="600"/>
    </row>
    <row r="34" spans="2:42" ht="9.75" customHeight="1" x14ac:dyDescent="0.15">
      <c r="B34" s="133"/>
    </row>
  </sheetData>
  <mergeCells count="98">
    <mergeCell ref="AN27:AP27"/>
    <mergeCell ref="AN12:AP12"/>
    <mergeCell ref="AE29:AJ29"/>
    <mergeCell ref="AE28:AJ28"/>
    <mergeCell ref="AE27:AJ27"/>
    <mergeCell ref="AN26:AP26"/>
    <mergeCell ref="AE12:AG12"/>
    <mergeCell ref="AK12:AM12"/>
    <mergeCell ref="AC27:AD27"/>
    <mergeCell ref="J12:L12"/>
    <mergeCell ref="C21:U21"/>
    <mergeCell ref="C22:AP22"/>
    <mergeCell ref="B25:N25"/>
    <mergeCell ref="O25:AP25"/>
    <mergeCell ref="B20:B22"/>
    <mergeCell ref="AE26:AJ26"/>
    <mergeCell ref="AC26:AD26"/>
    <mergeCell ref="T26:Y26"/>
    <mergeCell ref="T27:Y27"/>
    <mergeCell ref="B12:B19"/>
    <mergeCell ref="B26:D30"/>
    <mergeCell ref="T28:Y28"/>
    <mergeCell ref="Y21:AB21"/>
    <mergeCell ref="C20:AP20"/>
    <mergeCell ref="T32:AP33"/>
    <mergeCell ref="B33:D33"/>
    <mergeCell ref="E33:N33"/>
    <mergeCell ref="AN30:AP30"/>
    <mergeCell ref="AN28:AP28"/>
    <mergeCell ref="O31:S31"/>
    <mergeCell ref="T31:AP31"/>
    <mergeCell ref="B31:D31"/>
    <mergeCell ref="AC29:AD29"/>
    <mergeCell ref="AN29:AP29"/>
    <mergeCell ref="AC28:AD28"/>
    <mergeCell ref="T29:Y29"/>
    <mergeCell ref="T30:Y30"/>
    <mergeCell ref="AC30:AD30"/>
    <mergeCell ref="AE30:AJ30"/>
    <mergeCell ref="C12:E12"/>
    <mergeCell ref="G12:I12"/>
    <mergeCell ref="B32:D32"/>
    <mergeCell ref="E32:N32"/>
    <mergeCell ref="O32:S33"/>
    <mergeCell ref="E31:N31"/>
    <mergeCell ref="E26:N30"/>
    <mergeCell ref="O26:S30"/>
    <mergeCell ref="Q11:X11"/>
    <mergeCell ref="Y11:AA11"/>
    <mergeCell ref="AH12:AJ12"/>
    <mergeCell ref="P12:R12"/>
    <mergeCell ref="S12:U12"/>
    <mergeCell ref="V12:X12"/>
    <mergeCell ref="Y12:AA12"/>
    <mergeCell ref="N11:P11"/>
    <mergeCell ref="M12:O12"/>
    <mergeCell ref="AB12:AD12"/>
    <mergeCell ref="H11:M11"/>
    <mergeCell ref="D10:G10"/>
    <mergeCell ref="B11:C11"/>
    <mergeCell ref="D11:G11"/>
    <mergeCell ref="D5:G5"/>
    <mergeCell ref="B6:G6"/>
    <mergeCell ref="B8:C8"/>
    <mergeCell ref="D9:G9"/>
    <mergeCell ref="B9:C9"/>
    <mergeCell ref="B10:C10"/>
    <mergeCell ref="D8:G8"/>
    <mergeCell ref="H5:AA5"/>
    <mergeCell ref="B7:C7"/>
    <mergeCell ref="D7:G7"/>
    <mergeCell ref="H7:M7"/>
    <mergeCell ref="Y2:AA2"/>
    <mergeCell ref="O2:Q2"/>
    <mergeCell ref="R2:U2"/>
    <mergeCell ref="C2:D2"/>
    <mergeCell ref="F2:N2"/>
    <mergeCell ref="V2:X2"/>
    <mergeCell ref="B5:C5"/>
    <mergeCell ref="H6:M6"/>
    <mergeCell ref="N6:P6"/>
    <mergeCell ref="Q7:X7"/>
    <mergeCell ref="Y7:AA7"/>
    <mergeCell ref="Q6:X6"/>
    <mergeCell ref="N7:P7"/>
    <mergeCell ref="Y6:AA6"/>
    <mergeCell ref="H9:M9"/>
    <mergeCell ref="H10:M10"/>
    <mergeCell ref="N9:P9"/>
    <mergeCell ref="H8:M8"/>
    <mergeCell ref="N8:P8"/>
    <mergeCell ref="N10:P10"/>
    <mergeCell ref="Y8:AA8"/>
    <mergeCell ref="Q9:X9"/>
    <mergeCell ref="Y9:AA9"/>
    <mergeCell ref="Q10:X10"/>
    <mergeCell ref="Y10:AA10"/>
    <mergeCell ref="Q8:X8"/>
  </mergeCells>
  <phoneticPr fontId="4"/>
  <pageMargins left="0.78740157480314965" right="0.78740157480314965" top="0.78740157480314965" bottom="0.78740157480314965" header="0.39370078740157483" footer="0.39370078740157483"/>
  <pageSetup paperSize="9" scale="73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M45"/>
  <sheetViews>
    <sheetView zoomScale="75" zoomScaleNormal="75" workbookViewId="0"/>
  </sheetViews>
  <sheetFormatPr defaultColWidth="10.875" defaultRowHeight="13.5" x14ac:dyDescent="0.15"/>
  <cols>
    <col min="1" max="1" width="1.625" style="160" customWidth="1"/>
    <col min="2" max="2" width="5.875" style="160" customWidth="1"/>
    <col min="3" max="3" width="10.625" style="160" customWidth="1"/>
    <col min="4" max="4" width="12.375" style="160" customWidth="1"/>
    <col min="5" max="5" width="14.625" style="160" customWidth="1"/>
    <col min="6" max="7" width="15.875" style="160" customWidth="1"/>
    <col min="8" max="8" width="10.875" style="160"/>
    <col min="9" max="9" width="11.375" style="160" bestFit="1" customWidth="1"/>
    <col min="10" max="10" width="13.375" style="160" customWidth="1"/>
    <col min="11" max="11" width="7.125" style="160" customWidth="1"/>
    <col min="12" max="12" width="15.375" style="160" customWidth="1"/>
    <col min="13" max="13" width="9.375" style="160" bestFit="1" customWidth="1"/>
    <col min="14" max="14" width="10.875" style="160"/>
    <col min="15" max="15" width="7.25" style="160" customWidth="1"/>
    <col min="16" max="16" width="9.625" style="160" customWidth="1"/>
    <col min="17" max="17" width="10.875" style="160" customWidth="1"/>
    <col min="18" max="18" width="7.5" style="160" customWidth="1"/>
    <col min="19" max="19" width="3.75" style="160" customWidth="1"/>
    <col min="20" max="16384" width="10.875" style="160"/>
  </cols>
  <sheetData>
    <row r="1" spans="2:19" s="161" customFormat="1" ht="20.25" customHeight="1" x14ac:dyDescent="0.15"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2:19" s="161" customFormat="1" ht="20.25" customHeight="1" thickBot="1" x14ac:dyDescent="0.2">
      <c r="B2" s="161" t="s">
        <v>108</v>
      </c>
      <c r="H2" s="162" t="s">
        <v>274</v>
      </c>
      <c r="I2" s="3" t="s">
        <v>460</v>
      </c>
      <c r="K2" s="162" t="s">
        <v>275</v>
      </c>
      <c r="L2" s="3" t="s">
        <v>276</v>
      </c>
      <c r="N2" s="160"/>
      <c r="O2" s="160"/>
      <c r="Q2" s="4"/>
      <c r="R2" s="4"/>
    </row>
    <row r="3" spans="2:19" s="161" customFormat="1" ht="20.25" customHeight="1" x14ac:dyDescent="0.15">
      <c r="B3" s="746" t="s">
        <v>20</v>
      </c>
      <c r="C3" s="747"/>
      <c r="D3" s="747"/>
      <c r="E3" s="748"/>
      <c r="F3" s="189" t="s">
        <v>21</v>
      </c>
      <c r="G3" s="164"/>
      <c r="H3" s="165" t="s">
        <v>22</v>
      </c>
      <c r="I3" s="163"/>
      <c r="J3" s="163"/>
      <c r="K3" s="806" t="s">
        <v>239</v>
      </c>
      <c r="L3" s="807"/>
      <c r="M3" s="807"/>
      <c r="N3" s="807"/>
      <c r="O3" s="807"/>
      <c r="P3" s="807"/>
      <c r="Q3" s="807"/>
      <c r="R3" s="807"/>
      <c r="S3" s="808"/>
    </row>
    <row r="4" spans="2:19" s="161" customFormat="1" ht="20.25" customHeight="1" x14ac:dyDescent="0.15">
      <c r="B4" s="760" t="s">
        <v>23</v>
      </c>
      <c r="C4" s="761"/>
      <c r="D4" s="257" t="s">
        <v>232</v>
      </c>
      <c r="E4" s="272"/>
      <c r="F4" s="266">
        <f>+R11</f>
        <v>918000</v>
      </c>
      <c r="G4" s="257" t="s">
        <v>215</v>
      </c>
      <c r="H4" s="174"/>
      <c r="I4" s="174"/>
      <c r="J4" s="174"/>
      <c r="K4" s="263" t="s">
        <v>57</v>
      </c>
      <c r="L4" s="342" t="s">
        <v>279</v>
      </c>
      <c r="M4" s="264" t="s">
        <v>24</v>
      </c>
      <c r="N4" s="264" t="s">
        <v>23</v>
      </c>
      <c r="O4" s="264" t="s">
        <v>57</v>
      </c>
      <c r="P4" s="342" t="s">
        <v>280</v>
      </c>
      <c r="Q4" s="264" t="s">
        <v>24</v>
      </c>
      <c r="R4" s="809" t="s">
        <v>23</v>
      </c>
      <c r="S4" s="810"/>
    </row>
    <row r="5" spans="2:19" s="161" customFormat="1" ht="20.25" customHeight="1" x14ac:dyDescent="0.15">
      <c r="B5" s="760"/>
      <c r="C5" s="761"/>
      <c r="D5" s="257" t="s">
        <v>91</v>
      </c>
      <c r="E5" s="272"/>
      <c r="F5" s="266"/>
      <c r="G5" s="228"/>
      <c r="H5" s="246"/>
      <c r="I5" s="246"/>
      <c r="J5" s="246"/>
      <c r="K5" s="265" t="s">
        <v>175</v>
      </c>
      <c r="L5" s="266">
        <f>5100*('１　対象経営の概要，２　前提条件'!AM26)/('１　対象経営の概要，２　前提条件'!AB26+'１　対象経営の概要，２　前提条件'!AM26+'１　対象経営の概要，２　前提条件'!AB28)</f>
        <v>5100</v>
      </c>
      <c r="M5" s="266">
        <v>180</v>
      </c>
      <c r="N5" s="266">
        <f>L5*M5</f>
        <v>918000</v>
      </c>
      <c r="O5" s="266"/>
      <c r="P5" s="266"/>
      <c r="Q5" s="266"/>
      <c r="R5" s="779">
        <f>P5*Q5</f>
        <v>0</v>
      </c>
      <c r="S5" s="780"/>
    </row>
    <row r="6" spans="2:19" s="161" customFormat="1" ht="20.25" customHeight="1" x14ac:dyDescent="0.15">
      <c r="B6" s="752" t="s">
        <v>237</v>
      </c>
      <c r="C6" s="749" t="s">
        <v>223</v>
      </c>
      <c r="D6" s="266" t="s">
        <v>59</v>
      </c>
      <c r="E6" s="267"/>
      <c r="F6" s="266">
        <f>+P13</f>
        <v>20650</v>
      </c>
      <c r="G6" s="228" t="s">
        <v>216</v>
      </c>
      <c r="H6" s="246"/>
      <c r="I6" s="246"/>
      <c r="J6" s="246"/>
      <c r="K6" s="271"/>
      <c r="L6" s="394"/>
      <c r="M6" s="266"/>
      <c r="N6" s="266">
        <f t="shared" ref="N6:N11" si="0">L6*M6</f>
        <v>0</v>
      </c>
      <c r="O6" s="266"/>
      <c r="P6" s="266"/>
      <c r="Q6" s="266"/>
      <c r="R6" s="779">
        <f>P6*Q6</f>
        <v>0</v>
      </c>
      <c r="S6" s="780"/>
    </row>
    <row r="7" spans="2:19" s="161" customFormat="1" ht="20.25" customHeight="1" x14ac:dyDescent="0.15">
      <c r="B7" s="753"/>
      <c r="C7" s="750"/>
      <c r="D7" s="266" t="s">
        <v>60</v>
      </c>
      <c r="E7" s="267"/>
      <c r="F7" s="266">
        <f>P22</f>
        <v>101064.15</v>
      </c>
      <c r="G7" s="257" t="s">
        <v>518</v>
      </c>
      <c r="H7" s="174"/>
      <c r="I7" s="174"/>
      <c r="J7" s="273"/>
      <c r="K7" s="269"/>
      <c r="L7" s="395"/>
      <c r="M7" s="266"/>
      <c r="N7" s="266">
        <f t="shared" si="0"/>
        <v>0</v>
      </c>
      <c r="O7" s="266"/>
      <c r="P7" s="266"/>
      <c r="Q7" s="266"/>
      <c r="R7" s="779">
        <f>P7*Q7</f>
        <v>0</v>
      </c>
      <c r="S7" s="780"/>
    </row>
    <row r="8" spans="2:19" s="161" customFormat="1" ht="20.25" customHeight="1" x14ac:dyDescent="0.15">
      <c r="B8" s="753"/>
      <c r="C8" s="750"/>
      <c r="D8" s="266" t="s">
        <v>61</v>
      </c>
      <c r="E8" s="267"/>
      <c r="F8" s="266">
        <f>P28</f>
        <v>61169.030166666664</v>
      </c>
      <c r="G8" s="228" t="s">
        <v>519</v>
      </c>
      <c r="H8" s="246"/>
      <c r="I8" s="246"/>
      <c r="J8" s="274"/>
      <c r="K8" s="267"/>
      <c r="L8" s="266"/>
      <c r="M8" s="266"/>
      <c r="N8" s="266">
        <f t="shared" si="0"/>
        <v>0</v>
      </c>
      <c r="O8" s="266"/>
      <c r="P8" s="266"/>
      <c r="Q8" s="266"/>
      <c r="R8" s="779">
        <f>P8*Q8</f>
        <v>0</v>
      </c>
      <c r="S8" s="780"/>
    </row>
    <row r="9" spans="2:19" s="161" customFormat="1" ht="20.25" customHeight="1" x14ac:dyDescent="0.15">
      <c r="B9" s="753"/>
      <c r="C9" s="750"/>
      <c r="D9" s="266" t="s">
        <v>92</v>
      </c>
      <c r="E9" s="267"/>
      <c r="F9" s="266">
        <f>P37</f>
        <v>42278.888399999996</v>
      </c>
      <c r="G9" s="228" t="s">
        <v>520</v>
      </c>
      <c r="H9" s="246"/>
      <c r="I9" s="246"/>
      <c r="J9" s="274"/>
      <c r="K9" s="267"/>
      <c r="L9" s="266"/>
      <c r="M9" s="266"/>
      <c r="N9" s="266">
        <f t="shared" si="0"/>
        <v>0</v>
      </c>
      <c r="O9" s="266"/>
      <c r="P9" s="266"/>
      <c r="Q9" s="266"/>
      <c r="R9" s="779">
        <f>P9*Q9</f>
        <v>0</v>
      </c>
      <c r="S9" s="780"/>
    </row>
    <row r="10" spans="2:19" s="161" customFormat="1" ht="20.25" customHeight="1" x14ac:dyDescent="0.15">
      <c r="B10" s="753"/>
      <c r="C10" s="750"/>
      <c r="D10" s="266" t="s">
        <v>62</v>
      </c>
      <c r="E10" s="267"/>
      <c r="F10" s="266">
        <f>'８－１　水稲算出基礎（コシヒカリ）'!V21</f>
        <v>5806.666666666667</v>
      </c>
      <c r="G10" s="781"/>
      <c r="H10" s="782"/>
      <c r="I10" s="782"/>
      <c r="J10" s="780"/>
      <c r="K10" s="267"/>
      <c r="L10" s="266"/>
      <c r="M10" s="266"/>
      <c r="N10" s="266">
        <f t="shared" si="0"/>
        <v>0</v>
      </c>
      <c r="O10" s="266"/>
      <c r="P10" s="266"/>
      <c r="Q10" s="266"/>
      <c r="R10" s="779"/>
      <c r="S10" s="780"/>
    </row>
    <row r="11" spans="2:19" s="161" customFormat="1" ht="20.25" customHeight="1" thickBot="1" x14ac:dyDescent="0.2">
      <c r="B11" s="753"/>
      <c r="C11" s="750"/>
      <c r="D11" s="266" t="s">
        <v>6</v>
      </c>
      <c r="E11" s="267"/>
      <c r="F11" s="266">
        <f>'８－１　水稲算出基礎（コシヒカリ）'!V34</f>
        <v>83.333333333333329</v>
      </c>
      <c r="G11" s="781"/>
      <c r="H11" s="782"/>
      <c r="I11" s="782"/>
      <c r="J11" s="780"/>
      <c r="K11" s="180"/>
      <c r="L11" s="167"/>
      <c r="M11" s="167"/>
      <c r="N11" s="166">
        <f t="shared" si="0"/>
        <v>0</v>
      </c>
      <c r="O11" s="168" t="s">
        <v>25</v>
      </c>
      <c r="P11" s="169">
        <f>SUM(L5:L11,P5:Q10)</f>
        <v>5100</v>
      </c>
      <c r="Q11" s="169">
        <f>R11/P11</f>
        <v>180</v>
      </c>
      <c r="R11" s="811">
        <f>SUM(N5:N11,R5:S10)</f>
        <v>918000</v>
      </c>
      <c r="S11" s="812"/>
    </row>
    <row r="12" spans="2:19" s="161" customFormat="1" ht="20.25" customHeight="1" thickTop="1" x14ac:dyDescent="0.15">
      <c r="B12" s="753"/>
      <c r="C12" s="750"/>
      <c r="D12" s="266" t="s">
        <v>7</v>
      </c>
      <c r="E12" s="267"/>
      <c r="F12" s="266">
        <f>10800</f>
        <v>10800</v>
      </c>
      <c r="G12" s="228"/>
      <c r="H12" s="246" t="s">
        <v>455</v>
      </c>
      <c r="I12" s="246"/>
      <c r="J12" s="274"/>
      <c r="K12" s="788" t="s">
        <v>238</v>
      </c>
      <c r="L12" s="259" t="s">
        <v>184</v>
      </c>
      <c r="M12" s="260" t="s">
        <v>9</v>
      </c>
      <c r="N12" s="344" t="s">
        <v>278</v>
      </c>
      <c r="O12" s="261" t="s">
        <v>24</v>
      </c>
      <c r="P12" s="261" t="s">
        <v>27</v>
      </c>
      <c r="Q12" s="813" t="s">
        <v>488</v>
      </c>
      <c r="R12" s="814"/>
      <c r="S12" s="815"/>
    </row>
    <row r="13" spans="2:19" s="161" customFormat="1" ht="20.25" customHeight="1" x14ac:dyDescent="0.15">
      <c r="B13" s="753"/>
      <c r="C13" s="750"/>
      <c r="D13" s="764" t="s">
        <v>63</v>
      </c>
      <c r="E13" s="276" t="s">
        <v>211</v>
      </c>
      <c r="F13" s="389">
        <f>'６（参考）水稲資本装備'!L15*'７－１　水稲部門（コシヒカリ）収支'!H13</f>
        <v>7123.5</v>
      </c>
      <c r="G13" s="228" t="s">
        <v>217</v>
      </c>
      <c r="H13" s="486">
        <v>0.01</v>
      </c>
      <c r="I13" s="786" t="s">
        <v>219</v>
      </c>
      <c r="J13" s="787"/>
      <c r="K13" s="789"/>
      <c r="L13" s="262" t="s">
        <v>153</v>
      </c>
      <c r="M13" s="258" t="s">
        <v>176</v>
      </c>
      <c r="N13" s="192">
        <v>35</v>
      </c>
      <c r="O13" s="192">
        <v>590</v>
      </c>
      <c r="P13" s="192">
        <f>N13*O13</f>
        <v>20650</v>
      </c>
      <c r="Q13" s="791" t="s">
        <v>273</v>
      </c>
      <c r="R13" s="792"/>
      <c r="S13" s="793"/>
    </row>
    <row r="14" spans="2:19" s="161" customFormat="1" ht="20.25" customHeight="1" x14ac:dyDescent="0.15">
      <c r="B14" s="753"/>
      <c r="C14" s="750"/>
      <c r="D14" s="765"/>
      <c r="E14" s="276" t="s">
        <v>212</v>
      </c>
      <c r="F14" s="266">
        <f>'７－１　水稲部門（コシヒカリ）収支'!H14*'６　固定資本装備と減価償却費'!L68</f>
        <v>93164.353333333333</v>
      </c>
      <c r="G14" s="228" t="s">
        <v>217</v>
      </c>
      <c r="H14" s="486">
        <v>0.05</v>
      </c>
      <c r="I14" s="786" t="s">
        <v>219</v>
      </c>
      <c r="J14" s="787"/>
      <c r="K14" s="789"/>
      <c r="L14" s="262"/>
      <c r="M14" s="258" t="s">
        <v>176</v>
      </c>
      <c r="N14" s="192"/>
      <c r="O14" s="192"/>
      <c r="P14" s="192">
        <f>N14*O14</f>
        <v>0</v>
      </c>
      <c r="Q14" s="791"/>
      <c r="R14" s="792"/>
      <c r="S14" s="793"/>
    </row>
    <row r="15" spans="2:19" s="161" customFormat="1" ht="20.25" customHeight="1" thickBot="1" x14ac:dyDescent="0.2">
      <c r="B15" s="753"/>
      <c r="C15" s="750"/>
      <c r="D15" s="764" t="s">
        <v>93</v>
      </c>
      <c r="E15" s="276" t="s">
        <v>211</v>
      </c>
      <c r="F15" s="266">
        <f>'６（参考）水稲資本装備'!P15</f>
        <v>32625</v>
      </c>
      <c r="G15" s="228" t="s">
        <v>219</v>
      </c>
      <c r="H15" s="246"/>
      <c r="I15" s="246"/>
      <c r="J15" s="274"/>
      <c r="K15" s="789"/>
      <c r="L15" s="172" t="s">
        <v>29</v>
      </c>
      <c r="M15" s="171"/>
      <c r="N15" s="172"/>
      <c r="O15" s="172"/>
      <c r="P15" s="172">
        <f>SUM(P13:P14)</f>
        <v>20650</v>
      </c>
      <c r="Q15" s="797"/>
      <c r="R15" s="798"/>
      <c r="S15" s="799"/>
    </row>
    <row r="16" spans="2:19" s="161" customFormat="1" ht="20.25" customHeight="1" thickTop="1" x14ac:dyDescent="0.15">
      <c r="B16" s="753"/>
      <c r="C16" s="750"/>
      <c r="D16" s="766"/>
      <c r="E16" s="276" t="s">
        <v>212</v>
      </c>
      <c r="F16" s="266">
        <f>+'６　固定資本装備と減価償却費'!P68</f>
        <v>274826.72380952386</v>
      </c>
      <c r="G16" s="228" t="s">
        <v>219</v>
      </c>
      <c r="H16" s="246"/>
      <c r="I16" s="246"/>
      <c r="J16" s="274"/>
      <c r="K16" s="789"/>
      <c r="L16" s="253" t="s">
        <v>185</v>
      </c>
      <c r="M16" s="254"/>
      <c r="N16" s="343" t="s">
        <v>278</v>
      </c>
      <c r="O16" s="255" t="s">
        <v>24</v>
      </c>
      <c r="P16" s="256" t="s">
        <v>27</v>
      </c>
      <c r="Q16" s="800" t="s">
        <v>28</v>
      </c>
      <c r="R16" s="801"/>
      <c r="S16" s="802"/>
    </row>
    <row r="17" spans="1:39" s="161" customFormat="1" ht="20.25" customHeight="1" x14ac:dyDescent="0.15">
      <c r="B17" s="753"/>
      <c r="C17" s="750"/>
      <c r="D17" s="765"/>
      <c r="E17" s="266" t="s">
        <v>64</v>
      </c>
      <c r="F17" s="266">
        <f>'６（参考）水稲資本装備'!P55</f>
        <v>0</v>
      </c>
      <c r="G17" s="228" t="s">
        <v>219</v>
      </c>
      <c r="H17" s="246"/>
      <c r="I17" s="246"/>
      <c r="J17" s="274"/>
      <c r="K17" s="789"/>
      <c r="L17" s="257" t="s">
        <v>191</v>
      </c>
      <c r="M17" s="258"/>
      <c r="N17" s="228" t="s">
        <v>341</v>
      </c>
      <c r="O17" s="250"/>
      <c r="P17" s="248">
        <f>'８－１　水稲算出基礎（コシヒカリ）'!G7</f>
        <v>0</v>
      </c>
      <c r="Q17" s="783"/>
      <c r="R17" s="784"/>
      <c r="S17" s="785"/>
    </row>
    <row r="18" spans="1:39" s="161" customFormat="1" ht="20.25" customHeight="1" x14ac:dyDescent="0.15">
      <c r="A18" s="160"/>
      <c r="B18" s="753"/>
      <c r="C18" s="750"/>
      <c r="D18" s="767" t="s">
        <v>284</v>
      </c>
      <c r="E18" s="270" t="s">
        <v>128</v>
      </c>
      <c r="F18" s="266">
        <v>0</v>
      </c>
      <c r="G18" s="228"/>
      <c r="H18" s="246"/>
      <c r="I18" s="246"/>
      <c r="J18" s="274"/>
      <c r="K18" s="789"/>
      <c r="L18" s="257" t="s">
        <v>189</v>
      </c>
      <c r="M18" s="258"/>
      <c r="N18" s="228" t="s">
        <v>298</v>
      </c>
      <c r="O18" s="250"/>
      <c r="P18" s="248">
        <f>'８－１　水稲算出基礎（コシヒカリ）'!G11</f>
        <v>38400</v>
      </c>
      <c r="Q18" s="783"/>
      <c r="R18" s="784"/>
      <c r="S18" s="785"/>
    </row>
    <row r="19" spans="1:39" s="161" customFormat="1" ht="20.25" customHeight="1" x14ac:dyDescent="0.15">
      <c r="A19" s="160"/>
      <c r="B19" s="753"/>
      <c r="C19" s="750"/>
      <c r="D19" s="767"/>
      <c r="E19" s="270" t="s">
        <v>124</v>
      </c>
      <c r="F19" s="266">
        <f>J19*'５－１　水稲（食用米）作業時間'!AO34</f>
        <v>37290.000000000007</v>
      </c>
      <c r="G19" s="228"/>
      <c r="H19" s="246"/>
      <c r="I19" s="286" t="s">
        <v>357</v>
      </c>
      <c r="J19" s="487">
        <v>1100</v>
      </c>
      <c r="K19" s="789"/>
      <c r="L19" s="228" t="s">
        <v>190</v>
      </c>
      <c r="M19" s="246"/>
      <c r="N19" s="228" t="s">
        <v>298</v>
      </c>
      <c r="O19" s="250"/>
      <c r="P19" s="248">
        <f>'８－１　水稲算出基礎（コシヒカリ）'!G16</f>
        <v>48300</v>
      </c>
      <c r="Q19" s="783"/>
      <c r="R19" s="784"/>
      <c r="S19" s="785"/>
    </row>
    <row r="20" spans="1:39" s="161" customFormat="1" ht="20.25" customHeight="1" x14ac:dyDescent="0.15">
      <c r="A20" s="160"/>
      <c r="B20" s="753"/>
      <c r="C20" s="750"/>
      <c r="D20" s="767"/>
      <c r="E20" s="270" t="s">
        <v>125</v>
      </c>
      <c r="F20" s="266">
        <f>J20*'５－１　水稲（食用米）作業時間'!AP34</f>
        <v>55800</v>
      </c>
      <c r="G20" s="228"/>
      <c r="H20" s="246"/>
      <c r="I20" s="286" t="s">
        <v>358</v>
      </c>
      <c r="J20" s="487">
        <v>900</v>
      </c>
      <c r="K20" s="789"/>
      <c r="L20" s="228"/>
      <c r="M20" s="246"/>
      <c r="N20" s="228"/>
      <c r="O20" s="250"/>
      <c r="P20" s="248">
        <f>'８－１　水稲算出基礎（コシヒカリ）'!G20</f>
        <v>0</v>
      </c>
      <c r="Q20" s="783"/>
      <c r="R20" s="784"/>
      <c r="S20" s="785"/>
    </row>
    <row r="21" spans="1:39" s="161" customFormat="1" ht="20.25" customHeight="1" x14ac:dyDescent="0.15">
      <c r="A21" s="160"/>
      <c r="B21" s="753"/>
      <c r="C21" s="750"/>
      <c r="D21" s="767"/>
      <c r="E21" s="270" t="s">
        <v>126</v>
      </c>
      <c r="F21" s="266">
        <f>(F19+F20)*0.012</f>
        <v>1117.08</v>
      </c>
      <c r="G21" s="228"/>
      <c r="H21" s="246"/>
      <c r="I21" s="246"/>
      <c r="J21" s="274"/>
      <c r="K21" s="789"/>
      <c r="L21" s="228" t="s">
        <v>193</v>
      </c>
      <c r="M21" s="246"/>
      <c r="N21" s="228" t="s">
        <v>341</v>
      </c>
      <c r="O21" s="248"/>
      <c r="P21" s="248">
        <f>'８－１　水稲算出基礎（コシヒカリ）'!G24</f>
        <v>14364.15</v>
      </c>
      <c r="Q21" s="783"/>
      <c r="R21" s="784"/>
      <c r="S21" s="785"/>
    </row>
    <row r="22" spans="1:39" s="161" customFormat="1" ht="20.25" customHeight="1" thickBot="1" x14ac:dyDescent="0.2">
      <c r="A22" s="160"/>
      <c r="B22" s="753"/>
      <c r="C22" s="750"/>
      <c r="D22" s="767" t="s">
        <v>65</v>
      </c>
      <c r="E22" s="270" t="s">
        <v>66</v>
      </c>
      <c r="F22" s="266">
        <f>I22*10</f>
        <v>23760</v>
      </c>
      <c r="G22" s="228"/>
      <c r="H22" s="246"/>
      <c r="I22" s="246">
        <v>2376</v>
      </c>
      <c r="J22" s="274" t="s">
        <v>356</v>
      </c>
      <c r="K22" s="789"/>
      <c r="L22" s="172" t="s">
        <v>29</v>
      </c>
      <c r="M22" s="171"/>
      <c r="N22" s="172"/>
      <c r="O22" s="172"/>
      <c r="P22" s="172">
        <f>SUM(P17:P21)</f>
        <v>101064.15</v>
      </c>
      <c r="Q22" s="797"/>
      <c r="R22" s="798"/>
      <c r="S22" s="799"/>
    </row>
    <row r="23" spans="1:39" s="161" customFormat="1" ht="20.25" customHeight="1" thickTop="1" x14ac:dyDescent="0.15">
      <c r="A23" s="160"/>
      <c r="B23" s="753"/>
      <c r="C23" s="750"/>
      <c r="D23" s="767"/>
      <c r="E23" s="270" t="s">
        <v>94</v>
      </c>
      <c r="F23" s="266">
        <f>I23*10</f>
        <v>50000</v>
      </c>
      <c r="G23" s="816" t="s">
        <v>483</v>
      </c>
      <c r="H23" s="817"/>
      <c r="I23" s="246">
        <v>5000</v>
      </c>
      <c r="J23" s="274" t="s">
        <v>356</v>
      </c>
      <c r="K23" s="789"/>
      <c r="L23" s="228" t="s">
        <v>186</v>
      </c>
      <c r="M23" s="246"/>
      <c r="N23" s="247" t="s">
        <v>26</v>
      </c>
      <c r="O23" s="247" t="s">
        <v>24</v>
      </c>
      <c r="P23" s="247" t="s">
        <v>27</v>
      </c>
      <c r="Q23" s="800" t="s">
        <v>28</v>
      </c>
      <c r="R23" s="801"/>
      <c r="S23" s="802"/>
    </row>
    <row r="24" spans="1:39" s="161" customFormat="1" ht="18" customHeight="1" x14ac:dyDescent="0.15">
      <c r="A24" s="160"/>
      <c r="B24" s="753"/>
      <c r="C24" s="750"/>
      <c r="D24" s="266" t="s">
        <v>67</v>
      </c>
      <c r="E24" s="267"/>
      <c r="F24" s="266">
        <f>I24*10</f>
        <v>30000</v>
      </c>
      <c r="G24" s="228"/>
      <c r="H24" s="246"/>
      <c r="I24" s="488">
        <v>3000</v>
      </c>
      <c r="J24" s="274" t="s">
        <v>356</v>
      </c>
      <c r="K24" s="789"/>
      <c r="L24" s="248" t="s">
        <v>30</v>
      </c>
      <c r="M24" s="246"/>
      <c r="N24" s="228" t="s">
        <v>343</v>
      </c>
      <c r="O24" s="248"/>
      <c r="P24" s="248">
        <f>'８－１　水稲算出基礎（コシヒカリ）'!G38</f>
        <v>4111.6539999999995</v>
      </c>
      <c r="Q24" s="783"/>
      <c r="R24" s="784"/>
      <c r="S24" s="785"/>
    </row>
    <row r="25" spans="1:39" s="161" customFormat="1" ht="18" customHeight="1" x14ac:dyDescent="0.15">
      <c r="A25" s="160"/>
      <c r="B25" s="753"/>
      <c r="C25" s="750"/>
      <c r="D25" s="266" t="s">
        <v>188</v>
      </c>
      <c r="E25" s="267"/>
      <c r="F25" s="266">
        <f>SUM(F6:F24)/99</f>
        <v>8561.1992495911491</v>
      </c>
      <c r="G25" s="277" t="s">
        <v>240</v>
      </c>
      <c r="H25" s="291">
        <v>0.01</v>
      </c>
      <c r="I25" s="467"/>
      <c r="J25" s="489"/>
      <c r="K25" s="789"/>
      <c r="L25" s="248" t="s">
        <v>344</v>
      </c>
      <c r="M25" s="246"/>
      <c r="N25" s="228" t="s">
        <v>341</v>
      </c>
      <c r="O25" s="248"/>
      <c r="P25" s="248">
        <f>'８－１　水稲算出基礎（コシヒカリ）'!G49</f>
        <v>4090.8629999999998</v>
      </c>
      <c r="Q25" s="783"/>
      <c r="R25" s="784"/>
      <c r="S25" s="785"/>
    </row>
    <row r="26" spans="1:39" s="161" customFormat="1" ht="18" customHeight="1" x14ac:dyDescent="0.15">
      <c r="A26" s="160"/>
      <c r="B26" s="753"/>
      <c r="C26" s="751"/>
      <c r="D26" s="762" t="s">
        <v>231</v>
      </c>
      <c r="E26" s="763"/>
      <c r="F26" s="190">
        <f>SUM(F6:F25)</f>
        <v>856119.92495911487</v>
      </c>
      <c r="G26" s="240"/>
      <c r="H26" s="467"/>
      <c r="I26" s="467"/>
      <c r="J26" s="468"/>
      <c r="K26" s="789"/>
      <c r="L26" s="248" t="s">
        <v>32</v>
      </c>
      <c r="M26" s="246"/>
      <c r="N26" s="228" t="s">
        <v>341</v>
      </c>
      <c r="O26" s="248"/>
      <c r="P26" s="248">
        <f>'８－１　水稲算出基礎（コシヒカリ）'!G53</f>
        <v>24330</v>
      </c>
      <c r="Q26" s="783"/>
      <c r="R26" s="784"/>
      <c r="S26" s="785"/>
      <c r="AM26" s="161" t="s">
        <v>487</v>
      </c>
    </row>
    <row r="27" spans="1:39" s="161" customFormat="1" ht="18" customHeight="1" x14ac:dyDescent="0.15">
      <c r="A27" s="160"/>
      <c r="B27" s="753"/>
      <c r="C27" s="755" t="s">
        <v>218</v>
      </c>
      <c r="D27" s="677" t="s">
        <v>68</v>
      </c>
      <c r="E27" s="58" t="s">
        <v>3</v>
      </c>
      <c r="F27" s="166">
        <f>P11/30*J27</f>
        <v>13600</v>
      </c>
      <c r="G27" s="257"/>
      <c r="H27" s="246"/>
      <c r="I27" s="170" t="s">
        <v>364</v>
      </c>
      <c r="J27" s="391">
        <v>80</v>
      </c>
      <c r="K27" s="789"/>
      <c r="L27" s="248" t="s">
        <v>342</v>
      </c>
      <c r="M27" s="246"/>
      <c r="N27" s="228" t="s">
        <v>345</v>
      </c>
      <c r="O27" s="248"/>
      <c r="P27" s="248">
        <f>'８－１　水稲算出基礎（コシヒカリ）'!G57</f>
        <v>28636.513166666664</v>
      </c>
      <c r="Q27" s="783"/>
      <c r="R27" s="784"/>
      <c r="S27" s="785"/>
    </row>
    <row r="28" spans="1:39" s="161" customFormat="1" ht="18" customHeight="1" thickBot="1" x14ac:dyDescent="0.2">
      <c r="A28" s="160"/>
      <c r="B28" s="753"/>
      <c r="C28" s="756"/>
      <c r="D28" s="680"/>
      <c r="E28" s="58" t="s">
        <v>4</v>
      </c>
      <c r="F28" s="191">
        <v>0</v>
      </c>
      <c r="G28" s="257"/>
      <c r="H28" s="278"/>
      <c r="I28" s="278"/>
      <c r="J28" s="279"/>
      <c r="K28" s="789"/>
      <c r="L28" s="172" t="s">
        <v>29</v>
      </c>
      <c r="M28" s="171"/>
      <c r="N28" s="172"/>
      <c r="O28" s="172"/>
      <c r="P28" s="172">
        <f>SUM(P24:P27)</f>
        <v>61169.030166666664</v>
      </c>
      <c r="Q28" s="797"/>
      <c r="R28" s="798"/>
      <c r="S28" s="799"/>
    </row>
    <row r="29" spans="1:39" s="161" customFormat="1" ht="18" customHeight="1" thickTop="1" x14ac:dyDescent="0.15">
      <c r="A29" s="160"/>
      <c r="B29" s="753"/>
      <c r="C29" s="756"/>
      <c r="D29" s="678"/>
      <c r="E29" s="58" t="s">
        <v>8</v>
      </c>
      <c r="F29" s="166">
        <f>P11/30*J29</f>
        <v>21250</v>
      </c>
      <c r="G29" s="257"/>
      <c r="H29" s="174"/>
      <c r="I29" s="278" t="s">
        <v>365</v>
      </c>
      <c r="J29" s="392">
        <v>125</v>
      </c>
      <c r="K29" s="789"/>
      <c r="L29" s="228" t="s">
        <v>187</v>
      </c>
      <c r="M29" s="246"/>
      <c r="N29" s="247" t="s">
        <v>26</v>
      </c>
      <c r="O29" s="247" t="s">
        <v>24</v>
      </c>
      <c r="P29" s="247" t="s">
        <v>27</v>
      </c>
      <c r="Q29" s="800" t="s">
        <v>28</v>
      </c>
      <c r="R29" s="801"/>
      <c r="S29" s="802"/>
    </row>
    <row r="30" spans="1:39" s="161" customFormat="1" ht="18" customHeight="1" x14ac:dyDescent="0.15">
      <c r="A30" s="160"/>
      <c r="B30" s="753"/>
      <c r="C30" s="756"/>
      <c r="D30" s="58" t="s">
        <v>69</v>
      </c>
      <c r="E30" s="59"/>
      <c r="F30" s="166">
        <v>0</v>
      </c>
      <c r="G30" s="257"/>
      <c r="H30" s="174"/>
      <c r="I30" s="278"/>
      <c r="J30" s="280"/>
      <c r="K30" s="789"/>
      <c r="L30" s="248" t="s">
        <v>177</v>
      </c>
      <c r="M30" s="249"/>
      <c r="N30" s="228" t="s">
        <v>346</v>
      </c>
      <c r="O30" s="250"/>
      <c r="P30" s="248">
        <f>'８－１　水稲算出基礎（コシヒカリ）'!N12</f>
        <v>14263.48</v>
      </c>
      <c r="Q30" s="803"/>
      <c r="R30" s="804"/>
      <c r="S30" s="805"/>
    </row>
    <row r="31" spans="1:39" s="161" customFormat="1" ht="18" customHeight="1" x14ac:dyDescent="0.15">
      <c r="A31" s="160"/>
      <c r="B31" s="753"/>
      <c r="C31" s="756"/>
      <c r="D31" s="690" t="s">
        <v>285</v>
      </c>
      <c r="E31" s="68" t="s">
        <v>128</v>
      </c>
      <c r="F31" s="166">
        <v>0</v>
      </c>
      <c r="G31" s="257"/>
      <c r="H31" s="281"/>
      <c r="I31" s="281"/>
      <c r="J31" s="282"/>
      <c r="K31" s="789"/>
      <c r="L31" s="248" t="s">
        <v>178</v>
      </c>
      <c r="M31" s="249"/>
      <c r="N31" s="228" t="s">
        <v>347</v>
      </c>
      <c r="O31" s="250"/>
      <c r="P31" s="248">
        <f>'８－１　水稲算出基礎（コシヒカリ）'!N16</f>
        <v>1816.8480000000002</v>
      </c>
      <c r="Q31" s="803"/>
      <c r="R31" s="804"/>
      <c r="S31" s="805"/>
    </row>
    <row r="32" spans="1:39" s="161" customFormat="1" ht="18" customHeight="1" x14ac:dyDescent="0.15">
      <c r="A32" s="160"/>
      <c r="B32" s="753"/>
      <c r="C32" s="756"/>
      <c r="D32" s="690"/>
      <c r="E32" s="68" t="s">
        <v>127</v>
      </c>
      <c r="F32" s="166">
        <v>0</v>
      </c>
      <c r="G32" s="257"/>
      <c r="H32" s="283"/>
      <c r="I32" s="283"/>
      <c r="J32" s="284"/>
      <c r="K32" s="789"/>
      <c r="L32" s="248" t="s">
        <v>180</v>
      </c>
      <c r="M32" s="246"/>
      <c r="N32" s="250"/>
      <c r="O32" s="250"/>
      <c r="P32" s="248">
        <f>SUM(P30:P31)*R32</f>
        <v>4824.0983999999999</v>
      </c>
      <c r="Q32" s="251" t="s">
        <v>179</v>
      </c>
      <c r="R32" s="252">
        <v>0.3</v>
      </c>
      <c r="S32" s="175"/>
    </row>
    <row r="33" spans="1:23" ht="18" customHeight="1" x14ac:dyDescent="0.15">
      <c r="B33" s="753"/>
      <c r="C33" s="756"/>
      <c r="D33" s="58" t="s">
        <v>70</v>
      </c>
      <c r="E33" s="69"/>
      <c r="F33" s="166">
        <v>0</v>
      </c>
      <c r="G33" s="257"/>
      <c r="H33" s="285"/>
      <c r="I33" s="286"/>
      <c r="J33" s="280"/>
      <c r="K33" s="789"/>
      <c r="L33" s="248" t="s">
        <v>181</v>
      </c>
      <c r="M33" s="249"/>
      <c r="N33" s="228"/>
      <c r="O33" s="250"/>
      <c r="P33" s="248">
        <f>'８－１　水稲算出基礎（コシヒカリ）'!N20</f>
        <v>0</v>
      </c>
      <c r="Q33" s="783"/>
      <c r="R33" s="784"/>
      <c r="S33" s="785"/>
    </row>
    <row r="34" spans="1:23" ht="18" customHeight="1" x14ac:dyDescent="0.15">
      <c r="B34" s="753"/>
      <c r="C34" s="756"/>
      <c r="D34" s="58" t="s">
        <v>95</v>
      </c>
      <c r="E34" s="69"/>
      <c r="F34" s="166">
        <v>0</v>
      </c>
      <c r="G34" s="257"/>
      <c r="H34" s="287"/>
      <c r="I34" s="288"/>
      <c r="J34" s="289"/>
      <c r="K34" s="789"/>
      <c r="L34" s="248" t="s">
        <v>182</v>
      </c>
      <c r="M34" s="249"/>
      <c r="N34" s="228" t="s">
        <v>347</v>
      </c>
      <c r="O34" s="250"/>
      <c r="P34" s="248">
        <f>'８－１　水稲算出基礎（コシヒカリ）'!N24</f>
        <v>17563.241999999998</v>
      </c>
      <c r="Q34" s="783"/>
      <c r="R34" s="784"/>
      <c r="S34" s="785"/>
    </row>
    <row r="35" spans="1:23" ht="18" customHeight="1" x14ac:dyDescent="0.15">
      <c r="B35" s="753"/>
      <c r="C35" s="756"/>
      <c r="D35" s="58" t="s">
        <v>131</v>
      </c>
      <c r="E35" s="59"/>
      <c r="F35" s="191">
        <f>'８－１　水稲算出基礎（コシヒカリ）'!V57</f>
        <v>8425</v>
      </c>
      <c r="G35" s="257"/>
      <c r="H35" s="334"/>
      <c r="I35" s="334"/>
      <c r="J35" s="335"/>
      <c r="K35" s="789"/>
      <c r="L35" s="248" t="s">
        <v>283</v>
      </c>
      <c r="M35" s="249"/>
      <c r="N35" s="228"/>
      <c r="O35" s="250"/>
      <c r="P35" s="248">
        <f>'８－１　水稲算出基礎（コシヒカリ）'!N28</f>
        <v>0</v>
      </c>
      <c r="Q35" s="783"/>
      <c r="R35" s="784"/>
      <c r="S35" s="785"/>
    </row>
    <row r="36" spans="1:23" ht="18" customHeight="1" x14ac:dyDescent="0.15">
      <c r="B36" s="753"/>
      <c r="C36" s="756"/>
      <c r="D36" s="79" t="s">
        <v>96</v>
      </c>
      <c r="E36" s="80"/>
      <c r="F36" s="290">
        <v>0</v>
      </c>
      <c r="G36" s="228"/>
      <c r="H36" s="287"/>
      <c r="I36" s="288"/>
      <c r="J36" s="280"/>
      <c r="K36" s="789"/>
      <c r="L36" s="248" t="s">
        <v>183</v>
      </c>
      <c r="M36" s="246"/>
      <c r="N36" s="228" t="s">
        <v>348</v>
      </c>
      <c r="O36" s="250"/>
      <c r="P36" s="248">
        <f>'８－１　水稲算出基礎（コシヒカリ）'!N32</f>
        <v>3811.2200000000003</v>
      </c>
      <c r="Q36" s="783"/>
      <c r="R36" s="784"/>
      <c r="S36" s="785"/>
    </row>
    <row r="37" spans="1:23" ht="18" customHeight="1" thickBot="1" x14ac:dyDescent="0.2">
      <c r="B37" s="753"/>
      <c r="C37" s="756"/>
      <c r="D37" s="58" t="s">
        <v>71</v>
      </c>
      <c r="E37" s="59"/>
      <c r="F37" s="191">
        <f>'８－１　水稲算出基礎（コシヒカリ）'!N57</f>
        <v>3431.5033333333336</v>
      </c>
      <c r="G37" s="257"/>
      <c r="H37" s="334"/>
      <c r="I37" s="334"/>
      <c r="J37" s="335"/>
      <c r="K37" s="790"/>
      <c r="L37" s="183" t="s">
        <v>29</v>
      </c>
      <c r="M37" s="182"/>
      <c r="N37" s="183"/>
      <c r="O37" s="183"/>
      <c r="P37" s="183">
        <f>SUM(P30:P36)</f>
        <v>42278.888399999996</v>
      </c>
      <c r="Q37" s="794"/>
      <c r="R37" s="795"/>
      <c r="S37" s="796"/>
    </row>
    <row r="38" spans="1:23" s="177" customFormat="1" ht="18" customHeight="1" x14ac:dyDescent="0.15">
      <c r="A38" s="160"/>
      <c r="B38" s="753"/>
      <c r="C38" s="756"/>
      <c r="D38" s="58" t="s">
        <v>0</v>
      </c>
      <c r="E38" s="69"/>
      <c r="F38" s="191">
        <v>0</v>
      </c>
      <c r="G38" s="15"/>
      <c r="H38" s="242"/>
      <c r="I38" s="243"/>
      <c r="J38" s="241"/>
    </row>
    <row r="39" spans="1:23" s="177" customFormat="1" ht="18" customHeight="1" thickBot="1" x14ac:dyDescent="0.2">
      <c r="A39" s="160"/>
      <c r="B39" s="754"/>
      <c r="C39" s="757"/>
      <c r="D39" s="758" t="s">
        <v>230</v>
      </c>
      <c r="E39" s="759"/>
      <c r="F39" s="235">
        <f>SUM(F27:F38)</f>
        <v>46706.503333333334</v>
      </c>
      <c r="G39" s="236"/>
      <c r="H39" s="237"/>
      <c r="I39" s="238"/>
      <c r="J39" s="239"/>
      <c r="T39" s="178"/>
    </row>
    <row r="40" spans="1:23" s="177" customFormat="1" ht="18" customHeight="1" x14ac:dyDescent="0.15">
      <c r="A40" s="160"/>
      <c r="B40" s="768" t="s">
        <v>234</v>
      </c>
      <c r="C40" s="771" t="s">
        <v>73</v>
      </c>
      <c r="D40" s="231" t="s">
        <v>130</v>
      </c>
      <c r="E40" s="232"/>
      <c r="F40" s="233">
        <f>J40*10</f>
        <v>75000</v>
      </c>
      <c r="G40" s="228"/>
      <c r="H40" s="818" t="s">
        <v>524</v>
      </c>
      <c r="I40" s="818"/>
      <c r="J40" s="393">
        <v>7500</v>
      </c>
      <c r="T40" s="161"/>
      <c r="U40" s="161"/>
      <c r="V40" s="161"/>
      <c r="W40" s="161"/>
    </row>
    <row r="41" spans="1:23" s="177" customFormat="1" ht="18" customHeight="1" x14ac:dyDescent="0.15">
      <c r="A41" s="160"/>
      <c r="B41" s="769"/>
      <c r="C41" s="772"/>
      <c r="D41" s="58" t="s">
        <v>129</v>
      </c>
      <c r="E41" s="59"/>
      <c r="F41" s="225">
        <v>0</v>
      </c>
      <c r="G41" s="228"/>
      <c r="H41" s="184"/>
      <c r="I41" s="184"/>
      <c r="J41" s="244"/>
      <c r="T41" s="179"/>
      <c r="U41" s="180"/>
      <c r="V41" s="181"/>
      <c r="W41" s="179"/>
    </row>
    <row r="42" spans="1:23" s="177" customFormat="1" ht="18" customHeight="1" x14ac:dyDescent="0.15">
      <c r="A42" s="160"/>
      <c r="B42" s="769"/>
      <c r="C42" s="773"/>
      <c r="D42" s="79" t="s">
        <v>72</v>
      </c>
      <c r="E42" s="59"/>
      <c r="F42" s="226">
        <v>0</v>
      </c>
      <c r="G42" s="228"/>
      <c r="H42" s="184"/>
      <c r="I42" s="184"/>
      <c r="J42" s="244"/>
      <c r="T42" s="161"/>
      <c r="U42" s="161"/>
      <c r="V42" s="161"/>
      <c r="W42" s="161"/>
    </row>
    <row r="43" spans="1:23" s="177" customFormat="1" ht="18" customHeight="1" x14ac:dyDescent="0.15">
      <c r="B43" s="769"/>
      <c r="C43" s="774" t="s">
        <v>233</v>
      </c>
      <c r="D43" s="79" t="s">
        <v>286</v>
      </c>
      <c r="E43" s="80"/>
      <c r="F43" s="226">
        <v>0</v>
      </c>
      <c r="G43" s="228"/>
      <c r="H43" s="184"/>
      <c r="I43" s="184"/>
      <c r="J43" s="244"/>
      <c r="T43" s="162"/>
      <c r="U43" s="178"/>
      <c r="V43" s="161"/>
      <c r="W43" s="179"/>
    </row>
    <row r="44" spans="1:23" s="177" customFormat="1" ht="18" customHeight="1" x14ac:dyDescent="0.15">
      <c r="B44" s="769"/>
      <c r="C44" s="775"/>
      <c r="D44" s="81" t="s">
        <v>1</v>
      </c>
      <c r="E44" s="82"/>
      <c r="F44" s="226">
        <v>0</v>
      </c>
      <c r="G44" s="228"/>
      <c r="H44" s="184"/>
      <c r="I44" s="184"/>
      <c r="J44" s="244"/>
      <c r="T44" s="162"/>
      <c r="U44" s="178"/>
      <c r="V44" s="161"/>
      <c r="W44" s="179"/>
    </row>
    <row r="45" spans="1:23" s="177" customFormat="1" ht="18" customHeight="1" thickBot="1" x14ac:dyDescent="0.2">
      <c r="B45" s="770"/>
      <c r="C45" s="776" t="s">
        <v>98</v>
      </c>
      <c r="D45" s="777"/>
      <c r="E45" s="778"/>
      <c r="F45" s="227">
        <f>SUM(F40:F42)-SUM(F43:F44)</f>
        <v>75000</v>
      </c>
      <c r="G45" s="185"/>
      <c r="H45" s="186"/>
      <c r="I45" s="186"/>
      <c r="J45" s="245"/>
      <c r="T45" s="161"/>
      <c r="U45" s="161"/>
      <c r="V45" s="180"/>
      <c r="W45" s="161"/>
    </row>
  </sheetData>
  <mergeCells count="58">
    <mergeCell ref="G23:H23"/>
    <mergeCell ref="H40:I40"/>
    <mergeCell ref="I13:J13"/>
    <mergeCell ref="Q25:S25"/>
    <mergeCell ref="Q26:S26"/>
    <mergeCell ref="Q31:S31"/>
    <mergeCell ref="Q21:S21"/>
    <mergeCell ref="Q24:S24"/>
    <mergeCell ref="Q34:S34"/>
    <mergeCell ref="Q22:S22"/>
    <mergeCell ref="Q33:S33"/>
    <mergeCell ref="Q23:S23"/>
    <mergeCell ref="G11:J11"/>
    <mergeCell ref="Q19:S19"/>
    <mergeCell ref="Q16:S16"/>
    <mergeCell ref="Q14:S14"/>
    <mergeCell ref="Q15:S15"/>
    <mergeCell ref="R11:S11"/>
    <mergeCell ref="Q12:S12"/>
    <mergeCell ref="K3:S3"/>
    <mergeCell ref="R6:S6"/>
    <mergeCell ref="R7:S7"/>
    <mergeCell ref="R8:S8"/>
    <mergeCell ref="R4:S4"/>
    <mergeCell ref="R5:S5"/>
    <mergeCell ref="R9:S9"/>
    <mergeCell ref="G10:J10"/>
    <mergeCell ref="Q17:S17"/>
    <mergeCell ref="Q18:S18"/>
    <mergeCell ref="I14:J14"/>
    <mergeCell ref="K12:K37"/>
    <mergeCell ref="Q20:S20"/>
    <mergeCell ref="R10:S10"/>
    <mergeCell ref="Q13:S13"/>
    <mergeCell ref="Q36:S36"/>
    <mergeCell ref="Q37:S37"/>
    <mergeCell ref="Q27:S27"/>
    <mergeCell ref="Q28:S28"/>
    <mergeCell ref="Q29:S29"/>
    <mergeCell ref="Q30:S30"/>
    <mergeCell ref="Q35:S35"/>
    <mergeCell ref="B40:B45"/>
    <mergeCell ref="C40:C42"/>
    <mergeCell ref="C43:C44"/>
    <mergeCell ref="C45:E45"/>
    <mergeCell ref="D22:D23"/>
    <mergeCell ref="B3:E3"/>
    <mergeCell ref="C6:C26"/>
    <mergeCell ref="B6:B39"/>
    <mergeCell ref="C27:C39"/>
    <mergeCell ref="D27:D29"/>
    <mergeCell ref="D31:D32"/>
    <mergeCell ref="D39:E39"/>
    <mergeCell ref="B4:C5"/>
    <mergeCell ref="D26:E26"/>
    <mergeCell ref="D13:D14"/>
    <mergeCell ref="D15:D17"/>
    <mergeCell ref="D18:D21"/>
  </mergeCells>
  <phoneticPr fontId="5"/>
  <pageMargins left="1.1811023622047245" right="0.78740157480314965" top="0.74803149606299213" bottom="0.74803149606299213" header="0.31496062992125984" footer="0.31496062992125984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M45"/>
  <sheetViews>
    <sheetView zoomScale="75" zoomScaleNormal="75" workbookViewId="0"/>
  </sheetViews>
  <sheetFormatPr defaultColWidth="10.875" defaultRowHeight="13.5" x14ac:dyDescent="0.15"/>
  <cols>
    <col min="1" max="1" width="1.625" style="160" customWidth="1"/>
    <col min="2" max="2" width="5.875" style="160" customWidth="1"/>
    <col min="3" max="3" width="10.625" style="160" customWidth="1"/>
    <col min="4" max="4" width="12.375" style="160" customWidth="1"/>
    <col min="5" max="5" width="14.625" style="160" customWidth="1"/>
    <col min="6" max="7" width="15.875" style="160" customWidth="1"/>
    <col min="8" max="8" width="10.875" style="160"/>
    <col min="9" max="9" width="11.375" style="160" bestFit="1" customWidth="1"/>
    <col min="10" max="10" width="13.375" style="160" customWidth="1"/>
    <col min="11" max="11" width="7.125" style="160" customWidth="1"/>
    <col min="12" max="12" width="15.375" style="160" customWidth="1"/>
    <col min="13" max="13" width="9.375" style="160" bestFit="1" customWidth="1"/>
    <col min="14" max="14" width="10.875" style="160"/>
    <col min="15" max="15" width="7.25" style="160" customWidth="1"/>
    <col min="16" max="16" width="9.625" style="160" customWidth="1"/>
    <col min="17" max="17" width="10.875" style="160" customWidth="1"/>
    <col min="18" max="18" width="7.5" style="160" customWidth="1"/>
    <col min="19" max="19" width="3.75" style="160" customWidth="1"/>
    <col min="20" max="16384" width="10.875" style="160"/>
  </cols>
  <sheetData>
    <row r="1" spans="2:19" s="161" customFormat="1" ht="20.25" customHeight="1" x14ac:dyDescent="0.15"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2:19" s="161" customFormat="1" ht="20.25" customHeight="1" thickBot="1" x14ac:dyDescent="0.2">
      <c r="B2" s="3" t="s">
        <v>461</v>
      </c>
      <c r="H2" s="162" t="s">
        <v>274</v>
      </c>
      <c r="I2" s="3" t="s">
        <v>462</v>
      </c>
      <c r="K2" s="162" t="s">
        <v>275</v>
      </c>
      <c r="L2" s="3" t="s">
        <v>276</v>
      </c>
      <c r="N2" s="160"/>
      <c r="O2" s="160"/>
      <c r="Q2" s="4"/>
      <c r="R2" s="4"/>
    </row>
    <row r="3" spans="2:19" s="161" customFormat="1" ht="20.25" customHeight="1" x14ac:dyDescent="0.15">
      <c r="B3" s="746" t="s">
        <v>20</v>
      </c>
      <c r="C3" s="747"/>
      <c r="D3" s="747"/>
      <c r="E3" s="748"/>
      <c r="F3" s="189" t="s">
        <v>21</v>
      </c>
      <c r="G3" s="164"/>
      <c r="H3" s="165" t="s">
        <v>22</v>
      </c>
      <c r="I3" s="163"/>
      <c r="J3" s="163"/>
      <c r="K3" s="806" t="s">
        <v>239</v>
      </c>
      <c r="L3" s="807"/>
      <c r="M3" s="807"/>
      <c r="N3" s="807"/>
      <c r="O3" s="807"/>
      <c r="P3" s="807"/>
      <c r="Q3" s="807"/>
      <c r="R3" s="807"/>
      <c r="S3" s="808"/>
    </row>
    <row r="4" spans="2:19" s="161" customFormat="1" ht="20.25" customHeight="1" x14ac:dyDescent="0.15">
      <c r="B4" s="760" t="s">
        <v>23</v>
      </c>
      <c r="C4" s="761"/>
      <c r="D4" s="257" t="s">
        <v>232</v>
      </c>
      <c r="E4" s="272"/>
      <c r="F4" s="266">
        <f>+R11</f>
        <v>858000</v>
      </c>
      <c r="G4" s="257" t="s">
        <v>215</v>
      </c>
      <c r="H4" s="174"/>
      <c r="I4" s="174"/>
      <c r="J4" s="174"/>
      <c r="K4" s="263" t="s">
        <v>57</v>
      </c>
      <c r="L4" s="342" t="s">
        <v>279</v>
      </c>
      <c r="M4" s="264" t="s">
        <v>24</v>
      </c>
      <c r="N4" s="264" t="s">
        <v>23</v>
      </c>
      <c r="O4" s="264" t="s">
        <v>57</v>
      </c>
      <c r="P4" s="342" t="s">
        <v>279</v>
      </c>
      <c r="Q4" s="264" t="s">
        <v>24</v>
      </c>
      <c r="R4" s="809" t="s">
        <v>23</v>
      </c>
      <c r="S4" s="810"/>
    </row>
    <row r="5" spans="2:19" s="161" customFormat="1" ht="20.25" customHeight="1" x14ac:dyDescent="0.15">
      <c r="B5" s="760"/>
      <c r="C5" s="761"/>
      <c r="D5" s="257" t="s">
        <v>91</v>
      </c>
      <c r="E5" s="272"/>
      <c r="F5" s="266"/>
      <c r="G5" s="228"/>
      <c r="H5" s="246"/>
      <c r="I5" s="246"/>
      <c r="J5" s="246"/>
      <c r="K5" s="265" t="s">
        <v>399</v>
      </c>
      <c r="L5" s="266">
        <f>6000*('１　対象経営の概要，２　前提条件'!AM27)/('１　対象経営の概要，２　前提条件'!AB27+'１　対象経営の概要，２　前提条件'!AM27)</f>
        <v>6000</v>
      </c>
      <c r="M5" s="266">
        <v>143</v>
      </c>
      <c r="N5" s="266">
        <f t="shared" ref="N5:N11" si="0">L5*M5</f>
        <v>858000</v>
      </c>
      <c r="O5" s="266"/>
      <c r="P5" s="266"/>
      <c r="Q5" s="266"/>
      <c r="R5" s="779">
        <f>P5*Q5</f>
        <v>0</v>
      </c>
      <c r="S5" s="780"/>
    </row>
    <row r="6" spans="2:19" s="161" customFormat="1" ht="20.25" customHeight="1" x14ac:dyDescent="0.15">
      <c r="B6" s="752" t="s">
        <v>237</v>
      </c>
      <c r="C6" s="749" t="s">
        <v>223</v>
      </c>
      <c r="D6" s="266" t="s">
        <v>59</v>
      </c>
      <c r="E6" s="267"/>
      <c r="F6" s="266">
        <f>P15</f>
        <v>19250</v>
      </c>
      <c r="G6" s="228" t="s">
        <v>216</v>
      </c>
      <c r="H6" s="246"/>
      <c r="I6" s="246"/>
      <c r="J6" s="246"/>
      <c r="K6" s="271"/>
      <c r="L6" s="268"/>
      <c r="M6" s="266"/>
      <c r="N6" s="266">
        <f t="shared" si="0"/>
        <v>0</v>
      </c>
      <c r="O6" s="266"/>
      <c r="P6" s="266"/>
      <c r="Q6" s="266"/>
      <c r="R6" s="779">
        <f>P6*Q6</f>
        <v>0</v>
      </c>
      <c r="S6" s="780"/>
    </row>
    <row r="7" spans="2:19" s="161" customFormat="1" ht="20.25" customHeight="1" x14ac:dyDescent="0.15">
      <c r="B7" s="753"/>
      <c r="C7" s="750"/>
      <c r="D7" s="266" t="s">
        <v>60</v>
      </c>
      <c r="E7" s="267"/>
      <c r="F7" s="266">
        <f>P22</f>
        <v>117164.15</v>
      </c>
      <c r="G7" s="257" t="s">
        <v>518</v>
      </c>
      <c r="H7" s="174"/>
      <c r="I7" s="174"/>
      <c r="J7" s="273"/>
      <c r="K7" s="269"/>
      <c r="L7" s="270"/>
      <c r="M7" s="266"/>
      <c r="N7" s="266">
        <f t="shared" si="0"/>
        <v>0</v>
      </c>
      <c r="O7" s="266"/>
      <c r="P7" s="266"/>
      <c r="Q7" s="266"/>
      <c r="R7" s="779">
        <f>P7*Q7</f>
        <v>0</v>
      </c>
      <c r="S7" s="780"/>
    </row>
    <row r="8" spans="2:19" s="161" customFormat="1" ht="20.25" customHeight="1" x14ac:dyDescent="0.15">
      <c r="B8" s="753"/>
      <c r="C8" s="750"/>
      <c r="D8" s="266" t="s">
        <v>61</v>
      </c>
      <c r="E8" s="267"/>
      <c r="F8" s="266">
        <f>P28</f>
        <v>61169.030166666664</v>
      </c>
      <c r="G8" s="228" t="s">
        <v>519</v>
      </c>
      <c r="H8" s="246"/>
      <c r="I8" s="246"/>
      <c r="J8" s="274"/>
      <c r="K8" s="267"/>
      <c r="L8" s="266"/>
      <c r="M8" s="266"/>
      <c r="N8" s="266">
        <f t="shared" si="0"/>
        <v>0</v>
      </c>
      <c r="O8" s="266"/>
      <c r="P8" s="266"/>
      <c r="Q8" s="266"/>
      <c r="R8" s="779">
        <f>P8*Q8</f>
        <v>0</v>
      </c>
      <c r="S8" s="780"/>
    </row>
    <row r="9" spans="2:19" s="161" customFormat="1" ht="20.25" customHeight="1" x14ac:dyDescent="0.15">
      <c r="B9" s="753"/>
      <c r="C9" s="750"/>
      <c r="D9" s="266" t="s">
        <v>92</v>
      </c>
      <c r="E9" s="267"/>
      <c r="F9" s="266">
        <f>P37</f>
        <v>42278.888399999996</v>
      </c>
      <c r="G9" s="228" t="s">
        <v>521</v>
      </c>
      <c r="H9" s="246"/>
      <c r="I9" s="246"/>
      <c r="J9" s="274"/>
      <c r="K9" s="267"/>
      <c r="L9" s="266"/>
      <c r="M9" s="266"/>
      <c r="N9" s="266">
        <f t="shared" si="0"/>
        <v>0</v>
      </c>
      <c r="O9" s="266"/>
      <c r="P9" s="266"/>
      <c r="Q9" s="266"/>
      <c r="R9" s="779">
        <f>P9*Q9</f>
        <v>0</v>
      </c>
      <c r="S9" s="780"/>
    </row>
    <row r="10" spans="2:19" s="161" customFormat="1" ht="20.25" customHeight="1" x14ac:dyDescent="0.15">
      <c r="B10" s="753"/>
      <c r="C10" s="750"/>
      <c r="D10" s="266" t="s">
        <v>62</v>
      </c>
      <c r="E10" s="267"/>
      <c r="F10" s="266">
        <f>'８－２　水稲算出基礎（あきさかり） '!V21</f>
        <v>5806.666666666667</v>
      </c>
      <c r="G10" s="781"/>
      <c r="H10" s="782"/>
      <c r="I10" s="782"/>
      <c r="J10" s="780"/>
      <c r="K10" s="267"/>
      <c r="L10" s="266"/>
      <c r="M10" s="266"/>
      <c r="N10" s="266">
        <f t="shared" si="0"/>
        <v>0</v>
      </c>
      <c r="O10" s="266"/>
      <c r="P10" s="266"/>
      <c r="Q10" s="266"/>
      <c r="R10" s="779"/>
      <c r="S10" s="780"/>
    </row>
    <row r="11" spans="2:19" s="161" customFormat="1" ht="20.25" customHeight="1" thickBot="1" x14ac:dyDescent="0.2">
      <c r="B11" s="753"/>
      <c r="C11" s="750"/>
      <c r="D11" s="266" t="s">
        <v>6</v>
      </c>
      <c r="E11" s="267"/>
      <c r="F11" s="266">
        <f>'８－２　水稲算出基礎（あきさかり） '!V34</f>
        <v>83.333333333333329</v>
      </c>
      <c r="G11" s="781"/>
      <c r="H11" s="782"/>
      <c r="I11" s="782"/>
      <c r="J11" s="780"/>
      <c r="K11" s="180"/>
      <c r="L11" s="167"/>
      <c r="M11" s="167"/>
      <c r="N11" s="166">
        <f t="shared" si="0"/>
        <v>0</v>
      </c>
      <c r="O11" s="168" t="s">
        <v>25</v>
      </c>
      <c r="P11" s="169">
        <f>SUM(L5:L11,P5:Q10)</f>
        <v>6000</v>
      </c>
      <c r="Q11" s="169">
        <f>R11/P11</f>
        <v>143</v>
      </c>
      <c r="R11" s="811">
        <f>SUM(N5:N11,R5:S10)</f>
        <v>858000</v>
      </c>
      <c r="S11" s="812"/>
    </row>
    <row r="12" spans="2:19" s="161" customFormat="1" ht="20.25" customHeight="1" thickTop="1" x14ac:dyDescent="0.15">
      <c r="B12" s="753"/>
      <c r="C12" s="750"/>
      <c r="D12" s="266" t="s">
        <v>7</v>
      </c>
      <c r="E12" s="267"/>
      <c r="F12" s="266">
        <f>10800</f>
        <v>10800</v>
      </c>
      <c r="G12" s="228"/>
      <c r="H12" s="246" t="s">
        <v>455</v>
      </c>
      <c r="I12" s="246"/>
      <c r="J12" s="274"/>
      <c r="K12" s="788" t="s">
        <v>238</v>
      </c>
      <c r="L12" s="259" t="s">
        <v>184</v>
      </c>
      <c r="M12" s="260" t="s">
        <v>9</v>
      </c>
      <c r="N12" s="344" t="s">
        <v>278</v>
      </c>
      <c r="O12" s="261" t="s">
        <v>24</v>
      </c>
      <c r="P12" s="261" t="s">
        <v>27</v>
      </c>
      <c r="Q12" s="813" t="s">
        <v>28</v>
      </c>
      <c r="R12" s="814"/>
      <c r="S12" s="815"/>
    </row>
    <row r="13" spans="2:19" s="161" customFormat="1" ht="20.25" customHeight="1" x14ac:dyDescent="0.15">
      <c r="B13" s="753"/>
      <c r="C13" s="750"/>
      <c r="D13" s="764" t="s">
        <v>63</v>
      </c>
      <c r="E13" s="276" t="s">
        <v>211</v>
      </c>
      <c r="F13" s="266">
        <f>'６（参考）水稲資本装備'!L15*'７－２　水稲部門（あきさかり）収支 '!H13</f>
        <v>7123.5</v>
      </c>
      <c r="G13" s="228" t="s">
        <v>217</v>
      </c>
      <c r="H13" s="486">
        <v>0.01</v>
      </c>
      <c r="I13" s="786" t="s">
        <v>219</v>
      </c>
      <c r="J13" s="787"/>
      <c r="K13" s="789"/>
      <c r="L13" s="262" t="s">
        <v>386</v>
      </c>
      <c r="M13" s="258" t="s">
        <v>176</v>
      </c>
      <c r="N13" s="192">
        <v>35</v>
      </c>
      <c r="O13" s="192">
        <v>550</v>
      </c>
      <c r="P13" s="192">
        <f>N13*O13</f>
        <v>19250</v>
      </c>
      <c r="Q13" s="791" t="s">
        <v>273</v>
      </c>
      <c r="R13" s="792"/>
      <c r="S13" s="793"/>
    </row>
    <row r="14" spans="2:19" s="161" customFormat="1" ht="20.25" customHeight="1" x14ac:dyDescent="0.15">
      <c r="B14" s="753"/>
      <c r="C14" s="750"/>
      <c r="D14" s="765"/>
      <c r="E14" s="276" t="s">
        <v>212</v>
      </c>
      <c r="F14" s="266">
        <f>'７－２　水稲部門（あきさかり）収支 '!H14*'６　固定資本装備と減価償却費'!L68</f>
        <v>93164.353333333333</v>
      </c>
      <c r="G14" s="228" t="s">
        <v>217</v>
      </c>
      <c r="H14" s="486">
        <v>0.05</v>
      </c>
      <c r="I14" s="786" t="s">
        <v>219</v>
      </c>
      <c r="J14" s="787"/>
      <c r="K14" s="789"/>
      <c r="L14" s="262"/>
      <c r="M14" s="258"/>
      <c r="N14" s="192"/>
      <c r="O14" s="192"/>
      <c r="P14" s="192">
        <f>N14*O14</f>
        <v>0</v>
      </c>
      <c r="Q14" s="791"/>
      <c r="R14" s="792"/>
      <c r="S14" s="793"/>
    </row>
    <row r="15" spans="2:19" s="161" customFormat="1" ht="20.25" customHeight="1" thickBot="1" x14ac:dyDescent="0.2">
      <c r="B15" s="753"/>
      <c r="C15" s="750"/>
      <c r="D15" s="764" t="s">
        <v>93</v>
      </c>
      <c r="E15" s="276" t="s">
        <v>211</v>
      </c>
      <c r="F15" s="266">
        <f>'６（参考）水稲資本装備'!P15</f>
        <v>32625</v>
      </c>
      <c r="G15" s="228" t="s">
        <v>219</v>
      </c>
      <c r="H15" s="246"/>
      <c r="I15" s="246"/>
      <c r="J15" s="274"/>
      <c r="K15" s="789"/>
      <c r="L15" s="172" t="s">
        <v>29</v>
      </c>
      <c r="M15" s="171"/>
      <c r="N15" s="172"/>
      <c r="O15" s="172"/>
      <c r="P15" s="172">
        <f>SUM(P13:P14)</f>
        <v>19250</v>
      </c>
      <c r="Q15" s="797"/>
      <c r="R15" s="798"/>
      <c r="S15" s="799"/>
    </row>
    <row r="16" spans="2:19" s="161" customFormat="1" ht="20.25" customHeight="1" thickTop="1" x14ac:dyDescent="0.15">
      <c r="B16" s="753"/>
      <c r="C16" s="750"/>
      <c r="D16" s="766"/>
      <c r="E16" s="276" t="s">
        <v>212</v>
      </c>
      <c r="F16" s="266">
        <f>+'６　固定資本装備と減価償却費'!P68</f>
        <v>274826.72380952386</v>
      </c>
      <c r="G16" s="228" t="s">
        <v>219</v>
      </c>
      <c r="H16" s="246"/>
      <c r="I16" s="246"/>
      <c r="J16" s="274"/>
      <c r="K16" s="789"/>
      <c r="L16" s="253" t="s">
        <v>185</v>
      </c>
      <c r="M16" s="254"/>
      <c r="N16" s="343" t="s">
        <v>278</v>
      </c>
      <c r="O16" s="255" t="s">
        <v>24</v>
      </c>
      <c r="P16" s="256" t="s">
        <v>27</v>
      </c>
      <c r="Q16" s="800" t="s">
        <v>28</v>
      </c>
      <c r="R16" s="801"/>
      <c r="S16" s="802"/>
    </row>
    <row r="17" spans="1:39" s="161" customFormat="1" ht="20.25" customHeight="1" x14ac:dyDescent="0.15">
      <c r="B17" s="753"/>
      <c r="C17" s="750"/>
      <c r="D17" s="765"/>
      <c r="E17" s="266" t="s">
        <v>64</v>
      </c>
      <c r="F17" s="266">
        <f>'６（参考）水稲資本装備'!P55</f>
        <v>0</v>
      </c>
      <c r="G17" s="228" t="s">
        <v>219</v>
      </c>
      <c r="H17" s="246"/>
      <c r="I17" s="246"/>
      <c r="J17" s="274"/>
      <c r="K17" s="789"/>
      <c r="L17" s="257" t="s">
        <v>191</v>
      </c>
      <c r="M17" s="258"/>
      <c r="N17" s="228" t="s">
        <v>341</v>
      </c>
      <c r="O17" s="250"/>
      <c r="P17" s="248">
        <f>'８－２　水稲算出基礎（あきさかり） '!G7</f>
        <v>0</v>
      </c>
      <c r="Q17" s="783"/>
      <c r="R17" s="784"/>
      <c r="S17" s="785"/>
    </row>
    <row r="18" spans="1:39" s="161" customFormat="1" ht="20.25" customHeight="1" x14ac:dyDescent="0.15">
      <c r="A18" s="160"/>
      <c r="B18" s="753"/>
      <c r="C18" s="750"/>
      <c r="D18" s="767" t="s">
        <v>284</v>
      </c>
      <c r="E18" s="270" t="s">
        <v>128</v>
      </c>
      <c r="F18" s="266"/>
      <c r="G18" s="228"/>
      <c r="H18" s="246"/>
      <c r="I18" s="246"/>
      <c r="J18" s="274"/>
      <c r="K18" s="789"/>
      <c r="L18" s="257" t="s">
        <v>189</v>
      </c>
      <c r="M18" s="258"/>
      <c r="N18" s="228" t="s">
        <v>298</v>
      </c>
      <c r="O18" s="250"/>
      <c r="P18" s="248">
        <f>'８－２　水稲算出基礎（あきさかり） '!G11</f>
        <v>38400</v>
      </c>
      <c r="Q18" s="783"/>
      <c r="R18" s="784"/>
      <c r="S18" s="785"/>
    </row>
    <row r="19" spans="1:39" s="161" customFormat="1" ht="20.25" customHeight="1" x14ac:dyDescent="0.15">
      <c r="A19" s="160"/>
      <c r="B19" s="753"/>
      <c r="C19" s="750"/>
      <c r="D19" s="767"/>
      <c r="E19" s="270" t="s">
        <v>124</v>
      </c>
      <c r="F19" s="266">
        <f>J19*'５－１　水稲（食用米）作業時間'!AO34</f>
        <v>37290.000000000007</v>
      </c>
      <c r="G19" s="228"/>
      <c r="H19" s="246"/>
      <c r="I19" s="286" t="s">
        <v>357</v>
      </c>
      <c r="J19" s="487">
        <v>1100</v>
      </c>
      <c r="K19" s="789"/>
      <c r="L19" s="228" t="s">
        <v>190</v>
      </c>
      <c r="M19" s="246"/>
      <c r="N19" s="228" t="s">
        <v>298</v>
      </c>
      <c r="O19" s="250"/>
      <c r="P19" s="248">
        <f>'８－２　水稲算出基礎（あきさかり） '!G16</f>
        <v>64400</v>
      </c>
      <c r="Q19" s="783"/>
      <c r="R19" s="784"/>
      <c r="S19" s="785"/>
    </row>
    <row r="20" spans="1:39" s="161" customFormat="1" ht="20.25" customHeight="1" x14ac:dyDescent="0.15">
      <c r="A20" s="160"/>
      <c r="B20" s="753"/>
      <c r="C20" s="750"/>
      <c r="D20" s="767"/>
      <c r="E20" s="270" t="s">
        <v>125</v>
      </c>
      <c r="F20" s="266">
        <f>J20*'５－１　水稲（食用米）作業時間'!AP34</f>
        <v>55800</v>
      </c>
      <c r="G20" s="228"/>
      <c r="H20" s="246"/>
      <c r="I20" s="286" t="s">
        <v>358</v>
      </c>
      <c r="J20" s="487">
        <v>900</v>
      </c>
      <c r="K20" s="789"/>
      <c r="L20" s="228"/>
      <c r="M20" s="246"/>
      <c r="N20" s="228"/>
      <c r="O20" s="250"/>
      <c r="P20" s="248">
        <f>'８－２　水稲算出基礎（あきさかり） '!G20</f>
        <v>0</v>
      </c>
      <c r="Q20" s="783"/>
      <c r="R20" s="784"/>
      <c r="S20" s="785"/>
    </row>
    <row r="21" spans="1:39" s="161" customFormat="1" ht="20.25" customHeight="1" x14ac:dyDescent="0.15">
      <c r="A21" s="160"/>
      <c r="B21" s="753"/>
      <c r="C21" s="750"/>
      <c r="D21" s="767"/>
      <c r="E21" s="270" t="s">
        <v>126</v>
      </c>
      <c r="F21" s="266">
        <f>(F19+F20)*0.012</f>
        <v>1117.08</v>
      </c>
      <c r="G21" s="228"/>
      <c r="H21" s="246"/>
      <c r="I21" s="246"/>
      <c r="J21" s="274"/>
      <c r="K21" s="789"/>
      <c r="L21" s="228" t="s">
        <v>193</v>
      </c>
      <c r="M21" s="246"/>
      <c r="N21" s="228" t="s">
        <v>341</v>
      </c>
      <c r="O21" s="248"/>
      <c r="P21" s="248">
        <f>'８－２　水稲算出基礎（あきさかり） '!G24</f>
        <v>14364.15</v>
      </c>
      <c r="Q21" s="783"/>
      <c r="R21" s="784"/>
      <c r="S21" s="785"/>
    </row>
    <row r="22" spans="1:39" s="161" customFormat="1" ht="20.25" customHeight="1" thickBot="1" x14ac:dyDescent="0.2">
      <c r="A22" s="160"/>
      <c r="B22" s="753"/>
      <c r="C22" s="750"/>
      <c r="D22" s="767" t="s">
        <v>65</v>
      </c>
      <c r="E22" s="270" t="s">
        <v>66</v>
      </c>
      <c r="F22" s="266">
        <f>I22*10</f>
        <v>23760</v>
      </c>
      <c r="G22" s="228"/>
      <c r="H22" s="246"/>
      <c r="I22" s="246">
        <v>2376</v>
      </c>
      <c r="J22" s="274" t="s">
        <v>356</v>
      </c>
      <c r="K22" s="789"/>
      <c r="L22" s="172" t="s">
        <v>29</v>
      </c>
      <c r="M22" s="171"/>
      <c r="N22" s="172"/>
      <c r="O22" s="172"/>
      <c r="P22" s="172">
        <f>SUM(P17:P21)</f>
        <v>117164.15</v>
      </c>
      <c r="Q22" s="797"/>
      <c r="R22" s="798"/>
      <c r="S22" s="799"/>
    </row>
    <row r="23" spans="1:39" s="161" customFormat="1" ht="20.25" customHeight="1" thickTop="1" x14ac:dyDescent="0.15">
      <c r="A23" s="160"/>
      <c r="B23" s="753"/>
      <c r="C23" s="750"/>
      <c r="D23" s="767"/>
      <c r="E23" s="270" t="s">
        <v>94</v>
      </c>
      <c r="F23" s="266">
        <f>I23*10</f>
        <v>50000</v>
      </c>
      <c r="G23" s="816"/>
      <c r="H23" s="817"/>
      <c r="I23" s="246">
        <v>5000</v>
      </c>
      <c r="J23" s="274" t="s">
        <v>356</v>
      </c>
      <c r="K23" s="789"/>
      <c r="L23" s="228" t="s">
        <v>186</v>
      </c>
      <c r="M23" s="246"/>
      <c r="N23" s="247" t="s">
        <v>26</v>
      </c>
      <c r="O23" s="247" t="s">
        <v>24</v>
      </c>
      <c r="P23" s="247" t="s">
        <v>27</v>
      </c>
      <c r="Q23" s="800" t="s">
        <v>28</v>
      </c>
      <c r="R23" s="801"/>
      <c r="S23" s="802"/>
    </row>
    <row r="24" spans="1:39" s="161" customFormat="1" ht="18" customHeight="1" x14ac:dyDescent="0.15">
      <c r="A24" s="160"/>
      <c r="B24" s="753"/>
      <c r="C24" s="750"/>
      <c r="D24" s="266" t="s">
        <v>67</v>
      </c>
      <c r="E24" s="267"/>
      <c r="F24" s="266">
        <f>I24*10</f>
        <v>30000</v>
      </c>
      <c r="G24" s="228"/>
      <c r="H24" s="246"/>
      <c r="I24" s="488">
        <v>3000</v>
      </c>
      <c r="J24" s="274" t="s">
        <v>356</v>
      </c>
      <c r="K24" s="789"/>
      <c r="L24" s="248" t="s">
        <v>30</v>
      </c>
      <c r="M24" s="246"/>
      <c r="N24" s="228" t="s">
        <v>343</v>
      </c>
      <c r="O24" s="248"/>
      <c r="P24" s="248">
        <f>'８－２　水稲算出基礎（あきさかり） '!G38</f>
        <v>4111.6539999999995</v>
      </c>
      <c r="Q24" s="783"/>
      <c r="R24" s="784"/>
      <c r="S24" s="785"/>
    </row>
    <row r="25" spans="1:39" s="161" customFormat="1" ht="18" customHeight="1" x14ac:dyDescent="0.15">
      <c r="A25" s="160"/>
      <c r="B25" s="753"/>
      <c r="C25" s="750"/>
      <c r="D25" s="266" t="s">
        <v>188</v>
      </c>
      <c r="E25" s="267"/>
      <c r="F25" s="266">
        <f>SUM(F6:F24)/99</f>
        <v>8709.6840980759989</v>
      </c>
      <c r="G25" s="277" t="s">
        <v>240</v>
      </c>
      <c r="H25" s="291">
        <v>0.01</v>
      </c>
      <c r="I25" s="467"/>
      <c r="J25" s="489"/>
      <c r="K25" s="789"/>
      <c r="L25" s="248" t="s">
        <v>31</v>
      </c>
      <c r="M25" s="246"/>
      <c r="N25" s="228" t="s">
        <v>341</v>
      </c>
      <c r="O25" s="248"/>
      <c r="P25" s="248">
        <f>'８－２　水稲算出基礎（あきさかり） '!G49</f>
        <v>4090.8629999999998</v>
      </c>
      <c r="Q25" s="783"/>
      <c r="R25" s="784"/>
      <c r="S25" s="785"/>
    </row>
    <row r="26" spans="1:39" s="161" customFormat="1" ht="18" customHeight="1" x14ac:dyDescent="0.15">
      <c r="A26" s="160"/>
      <c r="B26" s="753"/>
      <c r="C26" s="751"/>
      <c r="D26" s="762" t="s">
        <v>231</v>
      </c>
      <c r="E26" s="763"/>
      <c r="F26" s="190">
        <f>SUM(F6:F25)</f>
        <v>870968.40980759985</v>
      </c>
      <c r="G26" s="240"/>
      <c r="H26" s="467"/>
      <c r="I26" s="467"/>
      <c r="J26" s="468"/>
      <c r="K26" s="789"/>
      <c r="L26" s="248" t="s">
        <v>32</v>
      </c>
      <c r="M26" s="246"/>
      <c r="N26" s="228" t="s">
        <v>341</v>
      </c>
      <c r="O26" s="248"/>
      <c r="P26" s="248">
        <f>'８－２　水稲算出基礎（あきさかり） '!G53</f>
        <v>24330</v>
      </c>
      <c r="Q26" s="783"/>
      <c r="R26" s="784"/>
      <c r="S26" s="785"/>
      <c r="AM26" s="161" t="s">
        <v>487</v>
      </c>
    </row>
    <row r="27" spans="1:39" s="161" customFormat="1" ht="18" customHeight="1" x14ac:dyDescent="0.15">
      <c r="A27" s="160"/>
      <c r="B27" s="753"/>
      <c r="C27" s="755" t="s">
        <v>218</v>
      </c>
      <c r="D27" s="677" t="s">
        <v>68</v>
      </c>
      <c r="E27" s="58" t="s">
        <v>3</v>
      </c>
      <c r="F27" s="166">
        <f>P11/30*J27</f>
        <v>16000</v>
      </c>
      <c r="G27" s="257"/>
      <c r="H27" s="246"/>
      <c r="I27" s="170" t="s">
        <v>364</v>
      </c>
      <c r="J27" s="391">
        <v>80</v>
      </c>
      <c r="K27" s="789"/>
      <c r="L27" s="248" t="s">
        <v>342</v>
      </c>
      <c r="M27" s="246"/>
      <c r="N27" s="228" t="s">
        <v>345</v>
      </c>
      <c r="O27" s="248"/>
      <c r="P27" s="248">
        <f>'８－２　水稲算出基礎（あきさかり） '!G57</f>
        <v>28636.513166666664</v>
      </c>
      <c r="Q27" s="783"/>
      <c r="R27" s="784"/>
      <c r="S27" s="785"/>
    </row>
    <row r="28" spans="1:39" s="161" customFormat="1" ht="18" customHeight="1" thickBot="1" x14ac:dyDescent="0.2">
      <c r="A28" s="160"/>
      <c r="B28" s="753"/>
      <c r="C28" s="756"/>
      <c r="D28" s="680"/>
      <c r="E28" s="58" t="s">
        <v>4</v>
      </c>
      <c r="F28" s="191">
        <v>0</v>
      </c>
      <c r="G28" s="257"/>
      <c r="H28" s="278"/>
      <c r="I28" s="278"/>
      <c r="J28" s="279"/>
      <c r="K28" s="789"/>
      <c r="L28" s="172" t="s">
        <v>29</v>
      </c>
      <c r="M28" s="171"/>
      <c r="N28" s="172"/>
      <c r="O28" s="172"/>
      <c r="P28" s="172">
        <f>SUM(P24:P27)</f>
        <v>61169.030166666664</v>
      </c>
      <c r="Q28" s="797"/>
      <c r="R28" s="798"/>
      <c r="S28" s="799"/>
    </row>
    <row r="29" spans="1:39" s="161" customFormat="1" ht="18" customHeight="1" thickTop="1" x14ac:dyDescent="0.15">
      <c r="A29" s="160"/>
      <c r="B29" s="753"/>
      <c r="C29" s="756"/>
      <c r="D29" s="678"/>
      <c r="E29" s="58" t="s">
        <v>8</v>
      </c>
      <c r="F29" s="166">
        <f>P11/30*J29</f>
        <v>5000</v>
      </c>
      <c r="G29" s="257"/>
      <c r="H29" s="467"/>
      <c r="I29" s="278" t="s">
        <v>365</v>
      </c>
      <c r="J29" s="392">
        <v>25</v>
      </c>
      <c r="K29" s="789"/>
      <c r="L29" s="228" t="s">
        <v>187</v>
      </c>
      <c r="M29" s="246"/>
      <c r="N29" s="247" t="s">
        <v>26</v>
      </c>
      <c r="O29" s="247" t="s">
        <v>24</v>
      </c>
      <c r="P29" s="247" t="s">
        <v>27</v>
      </c>
      <c r="Q29" s="800" t="s">
        <v>28</v>
      </c>
      <c r="R29" s="801"/>
      <c r="S29" s="802"/>
    </row>
    <row r="30" spans="1:39" s="161" customFormat="1" ht="18" customHeight="1" x14ac:dyDescent="0.15">
      <c r="A30" s="160"/>
      <c r="B30" s="753"/>
      <c r="C30" s="756"/>
      <c r="D30" s="58" t="s">
        <v>69</v>
      </c>
      <c r="E30" s="59"/>
      <c r="F30" s="166">
        <v>0</v>
      </c>
      <c r="G30" s="257"/>
      <c r="H30" s="467"/>
      <c r="I30" s="278"/>
      <c r="J30" s="280"/>
      <c r="K30" s="789"/>
      <c r="L30" s="248" t="s">
        <v>49</v>
      </c>
      <c r="M30" s="249"/>
      <c r="N30" s="228" t="s">
        <v>346</v>
      </c>
      <c r="O30" s="250"/>
      <c r="P30" s="248">
        <f>'８－２　水稲算出基礎（あきさかり） '!N12</f>
        <v>14263.48</v>
      </c>
      <c r="Q30" s="803"/>
      <c r="R30" s="804"/>
      <c r="S30" s="805"/>
    </row>
    <row r="31" spans="1:39" s="161" customFormat="1" ht="18" customHeight="1" x14ac:dyDescent="0.15">
      <c r="A31" s="160"/>
      <c r="B31" s="753"/>
      <c r="C31" s="756"/>
      <c r="D31" s="690" t="s">
        <v>285</v>
      </c>
      <c r="E31" s="68" t="s">
        <v>128</v>
      </c>
      <c r="F31" s="166">
        <v>0</v>
      </c>
      <c r="G31" s="257"/>
      <c r="H31" s="281"/>
      <c r="I31" s="281"/>
      <c r="J31" s="282"/>
      <c r="K31" s="789"/>
      <c r="L31" s="248" t="s">
        <v>48</v>
      </c>
      <c r="M31" s="249"/>
      <c r="N31" s="228" t="s">
        <v>347</v>
      </c>
      <c r="O31" s="250"/>
      <c r="P31" s="248">
        <f>'８－２　水稲算出基礎（あきさかり） '!N16</f>
        <v>1816.8480000000002</v>
      </c>
      <c r="Q31" s="803"/>
      <c r="R31" s="804"/>
      <c r="S31" s="805"/>
    </row>
    <row r="32" spans="1:39" s="161" customFormat="1" ht="18" customHeight="1" x14ac:dyDescent="0.15">
      <c r="A32" s="160"/>
      <c r="B32" s="753"/>
      <c r="C32" s="756"/>
      <c r="D32" s="690"/>
      <c r="E32" s="68" t="s">
        <v>127</v>
      </c>
      <c r="F32" s="166">
        <v>0</v>
      </c>
      <c r="G32" s="257"/>
      <c r="H32" s="283"/>
      <c r="I32" s="283"/>
      <c r="J32" s="284"/>
      <c r="K32" s="789"/>
      <c r="L32" s="248" t="s">
        <v>50</v>
      </c>
      <c r="M32" s="246"/>
      <c r="N32" s="250"/>
      <c r="O32" s="250"/>
      <c r="P32" s="248">
        <f>SUM(P30:P31)*R32</f>
        <v>4824.0983999999999</v>
      </c>
      <c r="Q32" s="251" t="s">
        <v>33</v>
      </c>
      <c r="R32" s="252">
        <v>0.3</v>
      </c>
      <c r="S32" s="175"/>
    </row>
    <row r="33" spans="1:23" ht="18" customHeight="1" x14ac:dyDescent="0.15">
      <c r="B33" s="753"/>
      <c r="C33" s="756"/>
      <c r="D33" s="58" t="s">
        <v>70</v>
      </c>
      <c r="E33" s="69"/>
      <c r="F33" s="166">
        <v>0</v>
      </c>
      <c r="G33" s="257"/>
      <c r="H33" s="285"/>
      <c r="I33" s="286"/>
      <c r="J33" s="280"/>
      <c r="K33" s="789"/>
      <c r="L33" s="248" t="s">
        <v>51</v>
      </c>
      <c r="M33" s="249"/>
      <c r="N33" s="228"/>
      <c r="O33" s="250"/>
      <c r="P33" s="248">
        <f>'８－２　水稲算出基礎（あきさかり） '!N20</f>
        <v>0</v>
      </c>
      <c r="Q33" s="783"/>
      <c r="R33" s="784"/>
      <c r="S33" s="785"/>
    </row>
    <row r="34" spans="1:23" ht="18" customHeight="1" x14ac:dyDescent="0.15">
      <c r="B34" s="753"/>
      <c r="C34" s="756"/>
      <c r="D34" s="58" t="s">
        <v>95</v>
      </c>
      <c r="E34" s="69"/>
      <c r="F34" s="166">
        <v>0</v>
      </c>
      <c r="G34" s="257"/>
      <c r="H34" s="287"/>
      <c r="I34" s="288"/>
      <c r="J34" s="289"/>
      <c r="K34" s="789"/>
      <c r="L34" s="248" t="s">
        <v>52</v>
      </c>
      <c r="M34" s="249"/>
      <c r="N34" s="228" t="s">
        <v>347</v>
      </c>
      <c r="O34" s="250"/>
      <c r="P34" s="248">
        <f>'８－２　水稲算出基礎（あきさかり） '!N24</f>
        <v>17563.241999999998</v>
      </c>
      <c r="Q34" s="783"/>
      <c r="R34" s="784"/>
      <c r="S34" s="785"/>
    </row>
    <row r="35" spans="1:23" ht="18" customHeight="1" x14ac:dyDescent="0.15">
      <c r="B35" s="753"/>
      <c r="C35" s="756"/>
      <c r="D35" s="58" t="s">
        <v>131</v>
      </c>
      <c r="E35" s="59"/>
      <c r="F35" s="191">
        <f>'８－２　水稲算出基礎（あきさかり） '!V57</f>
        <v>8425</v>
      </c>
      <c r="G35" s="257"/>
      <c r="H35" s="469"/>
      <c r="I35" s="469"/>
      <c r="J35" s="470"/>
      <c r="K35" s="789"/>
      <c r="L35" s="248" t="s">
        <v>282</v>
      </c>
      <c r="M35" s="249"/>
      <c r="N35" s="228"/>
      <c r="O35" s="250"/>
      <c r="P35" s="248">
        <f>'８－２　水稲算出基礎（あきさかり） '!N28</f>
        <v>0</v>
      </c>
      <c r="Q35" s="783"/>
      <c r="R35" s="784"/>
      <c r="S35" s="785"/>
    </row>
    <row r="36" spans="1:23" ht="18" customHeight="1" x14ac:dyDescent="0.15">
      <c r="B36" s="753"/>
      <c r="C36" s="756"/>
      <c r="D36" s="79" t="s">
        <v>96</v>
      </c>
      <c r="E36" s="80"/>
      <c r="F36" s="290">
        <v>0</v>
      </c>
      <c r="G36" s="228"/>
      <c r="H36" s="287"/>
      <c r="I36" s="288"/>
      <c r="J36" s="280"/>
      <c r="K36" s="789"/>
      <c r="L36" s="248" t="s">
        <v>53</v>
      </c>
      <c r="M36" s="246"/>
      <c r="N36" s="228" t="s">
        <v>348</v>
      </c>
      <c r="O36" s="250"/>
      <c r="P36" s="248">
        <f>'８－２　水稲算出基礎（あきさかり） '!N32</f>
        <v>3811.2200000000003</v>
      </c>
      <c r="Q36" s="783"/>
      <c r="R36" s="784"/>
      <c r="S36" s="785"/>
    </row>
    <row r="37" spans="1:23" ht="18" customHeight="1" thickBot="1" x14ac:dyDescent="0.2">
      <c r="B37" s="753"/>
      <c r="C37" s="756"/>
      <c r="D37" s="58" t="s">
        <v>71</v>
      </c>
      <c r="E37" s="59"/>
      <c r="F37" s="191">
        <f>'８－２　水稲算出基礎（あきさかり） '!N57</f>
        <v>3431.5033333333336</v>
      </c>
      <c r="G37" s="257"/>
      <c r="H37" s="469"/>
      <c r="I37" s="469"/>
      <c r="J37" s="470"/>
      <c r="K37" s="790"/>
      <c r="L37" s="183" t="s">
        <v>29</v>
      </c>
      <c r="M37" s="182"/>
      <c r="N37" s="183"/>
      <c r="O37" s="183"/>
      <c r="P37" s="183">
        <f>SUM(P30:P36)</f>
        <v>42278.888399999996</v>
      </c>
      <c r="Q37" s="794"/>
      <c r="R37" s="795"/>
      <c r="S37" s="796"/>
    </row>
    <row r="38" spans="1:23" s="177" customFormat="1" ht="18" customHeight="1" x14ac:dyDescent="0.15">
      <c r="A38" s="160"/>
      <c r="B38" s="753"/>
      <c r="C38" s="756"/>
      <c r="D38" s="58" t="s">
        <v>0</v>
      </c>
      <c r="E38" s="69"/>
      <c r="F38" s="191">
        <v>0</v>
      </c>
      <c r="G38" s="15"/>
      <c r="H38" s="242"/>
      <c r="I38" s="243"/>
      <c r="J38" s="241"/>
    </row>
    <row r="39" spans="1:23" s="177" customFormat="1" ht="18" customHeight="1" thickBot="1" x14ac:dyDescent="0.2">
      <c r="A39" s="160"/>
      <c r="B39" s="754"/>
      <c r="C39" s="757"/>
      <c r="D39" s="758" t="s">
        <v>230</v>
      </c>
      <c r="E39" s="759"/>
      <c r="F39" s="235">
        <f>SUM(F27:F38)</f>
        <v>32856.503333333334</v>
      </c>
      <c r="G39" s="236"/>
      <c r="H39" s="237"/>
      <c r="I39" s="238"/>
      <c r="J39" s="239"/>
      <c r="T39" s="178"/>
    </row>
    <row r="40" spans="1:23" s="177" customFormat="1" ht="18" customHeight="1" x14ac:dyDescent="0.15">
      <c r="A40" s="160"/>
      <c r="B40" s="768" t="s">
        <v>234</v>
      </c>
      <c r="C40" s="771" t="s">
        <v>73</v>
      </c>
      <c r="D40" s="231" t="s">
        <v>130</v>
      </c>
      <c r="E40" s="232"/>
      <c r="F40" s="233">
        <f>J40*10</f>
        <v>75000</v>
      </c>
      <c r="G40" s="228"/>
      <c r="H40" s="818" t="s">
        <v>524</v>
      </c>
      <c r="I40" s="818"/>
      <c r="J40" s="393">
        <v>7500</v>
      </c>
      <c r="T40" s="161"/>
      <c r="U40" s="161"/>
      <c r="V40" s="161"/>
      <c r="W40" s="161"/>
    </row>
    <row r="41" spans="1:23" s="177" customFormat="1" ht="18" customHeight="1" x14ac:dyDescent="0.15">
      <c r="A41" s="160"/>
      <c r="B41" s="769"/>
      <c r="C41" s="772"/>
      <c r="D41" s="58" t="s">
        <v>129</v>
      </c>
      <c r="E41" s="59"/>
      <c r="F41" s="225">
        <v>0</v>
      </c>
      <c r="G41" s="228"/>
      <c r="H41" s="184"/>
      <c r="I41" s="184"/>
      <c r="J41" s="244"/>
      <c r="T41" s="179"/>
      <c r="U41" s="180"/>
      <c r="V41" s="181"/>
      <c r="W41" s="179"/>
    </row>
    <row r="42" spans="1:23" s="177" customFormat="1" ht="18" customHeight="1" x14ac:dyDescent="0.15">
      <c r="A42" s="160"/>
      <c r="B42" s="769"/>
      <c r="C42" s="773"/>
      <c r="D42" s="79" t="s">
        <v>72</v>
      </c>
      <c r="E42" s="59"/>
      <c r="F42" s="225">
        <v>0</v>
      </c>
      <c r="G42" s="228"/>
      <c r="H42" s="184"/>
      <c r="I42" s="184"/>
      <c r="J42" s="244"/>
      <c r="T42" s="161"/>
      <c r="U42" s="161"/>
      <c r="V42" s="161"/>
      <c r="W42" s="161"/>
    </row>
    <row r="43" spans="1:23" s="177" customFormat="1" ht="18" customHeight="1" x14ac:dyDescent="0.15">
      <c r="B43" s="769"/>
      <c r="C43" s="774" t="s">
        <v>233</v>
      </c>
      <c r="D43" s="79" t="s">
        <v>286</v>
      </c>
      <c r="E43" s="80"/>
      <c r="F43" s="225">
        <v>0</v>
      </c>
      <c r="G43" s="228"/>
      <c r="H43" s="184"/>
      <c r="I43" s="184"/>
      <c r="J43" s="244"/>
      <c r="T43" s="162"/>
      <c r="U43" s="178"/>
      <c r="V43" s="161"/>
      <c r="W43" s="179"/>
    </row>
    <row r="44" spans="1:23" s="177" customFormat="1" ht="18" customHeight="1" x14ac:dyDescent="0.15">
      <c r="B44" s="769"/>
      <c r="C44" s="775"/>
      <c r="D44" s="81" t="s">
        <v>1</v>
      </c>
      <c r="E44" s="82"/>
      <c r="F44" s="225">
        <v>0</v>
      </c>
      <c r="G44" s="228"/>
      <c r="H44" s="184"/>
      <c r="I44" s="184"/>
      <c r="J44" s="244"/>
      <c r="T44" s="162"/>
      <c r="U44" s="178"/>
      <c r="V44" s="161"/>
      <c r="W44" s="179"/>
    </row>
    <row r="45" spans="1:23" s="177" customFormat="1" ht="18" customHeight="1" thickBot="1" x14ac:dyDescent="0.2">
      <c r="B45" s="770"/>
      <c r="C45" s="776" t="s">
        <v>98</v>
      </c>
      <c r="D45" s="777"/>
      <c r="E45" s="778"/>
      <c r="F45" s="227">
        <f>SUM(F40:F42)-SUM(F43:F44)</f>
        <v>75000</v>
      </c>
      <c r="G45" s="185"/>
      <c r="H45" s="186"/>
      <c r="I45" s="186"/>
      <c r="J45" s="245"/>
      <c r="T45" s="161"/>
      <c r="U45" s="161"/>
      <c r="V45" s="180"/>
      <c r="W45" s="161"/>
    </row>
  </sheetData>
  <mergeCells count="58">
    <mergeCell ref="G23:H23"/>
    <mergeCell ref="H40:I40"/>
    <mergeCell ref="I13:J13"/>
    <mergeCell ref="Q13:S13"/>
    <mergeCell ref="I14:J14"/>
    <mergeCell ref="Q24:S24"/>
    <mergeCell ref="Q26:S26"/>
    <mergeCell ref="Q25:S25"/>
    <mergeCell ref="Q23:S23"/>
    <mergeCell ref="Q29:S29"/>
    <mergeCell ref="Q30:S30"/>
    <mergeCell ref="Q36:S36"/>
    <mergeCell ref="Q33:S33"/>
    <mergeCell ref="Q34:S34"/>
    <mergeCell ref="Q31:S31"/>
    <mergeCell ref="Q35:S35"/>
    <mergeCell ref="Q14:S14"/>
    <mergeCell ref="D15:D17"/>
    <mergeCell ref="G10:J10"/>
    <mergeCell ref="R10:S10"/>
    <mergeCell ref="G11:J11"/>
    <mergeCell ref="R11:S11"/>
    <mergeCell ref="Q16:S16"/>
    <mergeCell ref="Q17:S17"/>
    <mergeCell ref="Q12:S12"/>
    <mergeCell ref="B3:E3"/>
    <mergeCell ref="K3:S3"/>
    <mergeCell ref="B4:C5"/>
    <mergeCell ref="R4:S4"/>
    <mergeCell ref="R5:S5"/>
    <mergeCell ref="R6:S6"/>
    <mergeCell ref="R7:S7"/>
    <mergeCell ref="R8:S8"/>
    <mergeCell ref="D26:E26"/>
    <mergeCell ref="K12:K37"/>
    <mergeCell ref="Q37:S37"/>
    <mergeCell ref="Q27:S27"/>
    <mergeCell ref="Q28:S28"/>
    <mergeCell ref="R9:S9"/>
    <mergeCell ref="Q18:S18"/>
    <mergeCell ref="Q19:S19"/>
    <mergeCell ref="Q20:S20"/>
    <mergeCell ref="Q21:S21"/>
    <mergeCell ref="Q22:S22"/>
    <mergeCell ref="Q15:S15"/>
    <mergeCell ref="D18:D21"/>
    <mergeCell ref="D39:E39"/>
    <mergeCell ref="B40:B45"/>
    <mergeCell ref="C40:C42"/>
    <mergeCell ref="C43:C44"/>
    <mergeCell ref="C45:E45"/>
    <mergeCell ref="B6:B39"/>
    <mergeCell ref="C27:C39"/>
    <mergeCell ref="D27:D29"/>
    <mergeCell ref="D22:D23"/>
    <mergeCell ref="D13:D14"/>
    <mergeCell ref="D31:D32"/>
    <mergeCell ref="C6:C26"/>
  </mergeCells>
  <phoneticPr fontId="5"/>
  <pageMargins left="1.1811023622047245" right="0.78740157480314965" top="0.74803149606299213" bottom="0.74803149606299213" header="0.31496062992125984" footer="0.31496062992125984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M45"/>
  <sheetViews>
    <sheetView zoomScale="75" zoomScaleNormal="75" workbookViewId="0"/>
  </sheetViews>
  <sheetFormatPr defaultColWidth="10.875" defaultRowHeight="13.5" x14ac:dyDescent="0.15"/>
  <cols>
    <col min="1" max="1" width="1.625" style="160" customWidth="1"/>
    <col min="2" max="2" width="5.875" style="160" customWidth="1"/>
    <col min="3" max="3" width="10.625" style="160" customWidth="1"/>
    <col min="4" max="4" width="12.375" style="160" customWidth="1"/>
    <col min="5" max="5" width="14.625" style="160" customWidth="1"/>
    <col min="6" max="7" width="15.875" style="160" customWidth="1"/>
    <col min="8" max="8" width="10.875" style="160"/>
    <col min="9" max="9" width="11.375" style="160" bestFit="1" customWidth="1"/>
    <col min="10" max="10" width="13.375" style="160" customWidth="1"/>
    <col min="11" max="11" width="7.125" style="160" customWidth="1"/>
    <col min="12" max="12" width="15.375" style="160" customWidth="1"/>
    <col min="13" max="13" width="9.375" style="160" bestFit="1" customWidth="1"/>
    <col min="14" max="14" width="10.875" style="160"/>
    <col min="15" max="15" width="7.25" style="160" customWidth="1"/>
    <col min="16" max="16" width="9.625" style="160" customWidth="1"/>
    <col min="17" max="17" width="10.875" style="160" customWidth="1"/>
    <col min="18" max="18" width="7.5" style="160" customWidth="1"/>
    <col min="19" max="19" width="3.75" style="160" customWidth="1"/>
    <col min="20" max="16384" width="10.875" style="160"/>
  </cols>
  <sheetData>
    <row r="1" spans="2:21" s="161" customFormat="1" ht="20.25" customHeight="1" x14ac:dyDescent="0.15"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2:21" s="161" customFormat="1" ht="20.25" customHeight="1" thickBot="1" x14ac:dyDescent="0.2">
      <c r="B2" s="3" t="s">
        <v>390</v>
      </c>
      <c r="H2" s="162" t="s">
        <v>274</v>
      </c>
      <c r="I2" s="3" t="s">
        <v>463</v>
      </c>
      <c r="K2" s="162" t="s">
        <v>275</v>
      </c>
      <c r="L2" s="3" t="s">
        <v>276</v>
      </c>
      <c r="N2" s="160"/>
      <c r="O2" s="160"/>
      <c r="Q2" s="4"/>
      <c r="R2" s="4"/>
    </row>
    <row r="3" spans="2:21" s="161" customFormat="1" ht="20.25" customHeight="1" x14ac:dyDescent="0.15">
      <c r="B3" s="746" t="s">
        <v>20</v>
      </c>
      <c r="C3" s="747"/>
      <c r="D3" s="747"/>
      <c r="E3" s="748"/>
      <c r="F3" s="189" t="s">
        <v>21</v>
      </c>
      <c r="G3" s="164"/>
      <c r="H3" s="165" t="s">
        <v>22</v>
      </c>
      <c r="I3" s="163"/>
      <c r="J3" s="163"/>
      <c r="K3" s="806" t="s">
        <v>239</v>
      </c>
      <c r="L3" s="807"/>
      <c r="M3" s="807"/>
      <c r="N3" s="807"/>
      <c r="O3" s="807"/>
      <c r="P3" s="807"/>
      <c r="Q3" s="807"/>
      <c r="R3" s="807"/>
      <c r="S3" s="808"/>
    </row>
    <row r="4" spans="2:21" s="161" customFormat="1" ht="20.25" customHeight="1" x14ac:dyDescent="0.15">
      <c r="B4" s="760" t="s">
        <v>23</v>
      </c>
      <c r="C4" s="761"/>
      <c r="D4" s="257" t="s">
        <v>232</v>
      </c>
      <c r="E4" s="272"/>
      <c r="F4" s="266">
        <f>+R11</f>
        <v>330000</v>
      </c>
      <c r="G4" s="257" t="s">
        <v>215</v>
      </c>
      <c r="H4" s="174"/>
      <c r="I4" s="174"/>
      <c r="J4" s="174"/>
      <c r="K4" s="263" t="s">
        <v>57</v>
      </c>
      <c r="L4" s="342" t="s">
        <v>363</v>
      </c>
      <c r="M4" s="264" t="s">
        <v>24</v>
      </c>
      <c r="N4" s="264" t="s">
        <v>23</v>
      </c>
      <c r="O4" s="264" t="s">
        <v>281</v>
      </c>
      <c r="P4" s="342" t="s">
        <v>279</v>
      </c>
      <c r="Q4" s="264" t="s">
        <v>24</v>
      </c>
      <c r="R4" s="809" t="s">
        <v>23</v>
      </c>
      <c r="S4" s="810"/>
    </row>
    <row r="5" spans="2:21" s="161" customFormat="1" ht="20.25" customHeight="1" x14ac:dyDescent="0.15">
      <c r="B5" s="760"/>
      <c r="C5" s="761"/>
      <c r="D5" s="257" t="s">
        <v>91</v>
      </c>
      <c r="E5" s="272"/>
      <c r="F5" s="266">
        <v>0</v>
      </c>
      <c r="G5" s="228"/>
      <c r="H5" s="246"/>
      <c r="I5" s="246"/>
      <c r="J5" s="246"/>
      <c r="K5" s="338" t="s">
        <v>353</v>
      </c>
      <c r="L5" s="266">
        <v>30000</v>
      </c>
      <c r="M5" s="266">
        <v>11</v>
      </c>
      <c r="N5" s="266">
        <f t="shared" ref="N5:N11" si="0">L5*M5</f>
        <v>330000</v>
      </c>
      <c r="O5" s="266"/>
      <c r="P5" s="266"/>
      <c r="Q5" s="266"/>
      <c r="R5" s="779">
        <f>P5*Q5</f>
        <v>0</v>
      </c>
      <c r="S5" s="780"/>
    </row>
    <row r="6" spans="2:21" s="161" customFormat="1" ht="20.25" customHeight="1" x14ac:dyDescent="0.15">
      <c r="B6" s="752" t="s">
        <v>237</v>
      </c>
      <c r="C6" s="749" t="s">
        <v>223</v>
      </c>
      <c r="D6" s="266" t="s">
        <v>59</v>
      </c>
      <c r="E6" s="267"/>
      <c r="F6" s="266">
        <f>+P13</f>
        <v>99050</v>
      </c>
      <c r="G6" s="228" t="s">
        <v>216</v>
      </c>
      <c r="H6" s="246"/>
      <c r="I6" s="246"/>
      <c r="J6" s="246"/>
      <c r="K6" s="271"/>
      <c r="L6" s="268"/>
      <c r="M6" s="266"/>
      <c r="N6" s="266">
        <f t="shared" si="0"/>
        <v>0</v>
      </c>
      <c r="O6" s="266"/>
      <c r="P6" s="266"/>
      <c r="Q6" s="266"/>
      <c r="R6" s="779">
        <f>P6*Q6</f>
        <v>0</v>
      </c>
      <c r="S6" s="780"/>
    </row>
    <row r="7" spans="2:21" s="161" customFormat="1" ht="20.25" customHeight="1" x14ac:dyDescent="0.15">
      <c r="B7" s="753"/>
      <c r="C7" s="750"/>
      <c r="D7" s="266" t="s">
        <v>60</v>
      </c>
      <c r="E7" s="267"/>
      <c r="F7" s="266">
        <f>P22</f>
        <v>155104.15</v>
      </c>
      <c r="G7" s="257" t="s">
        <v>522</v>
      </c>
      <c r="H7" s="174"/>
      <c r="I7" s="174"/>
      <c r="J7" s="273"/>
      <c r="K7" s="269"/>
      <c r="L7" s="270"/>
      <c r="M7" s="266"/>
      <c r="N7" s="266">
        <f t="shared" si="0"/>
        <v>0</v>
      </c>
      <c r="O7" s="266"/>
      <c r="P7" s="266"/>
      <c r="Q7" s="266"/>
      <c r="R7" s="779">
        <f>P7*Q7</f>
        <v>0</v>
      </c>
      <c r="S7" s="780"/>
    </row>
    <row r="8" spans="2:21" s="161" customFormat="1" ht="20.25" customHeight="1" x14ac:dyDescent="0.15">
      <c r="B8" s="753"/>
      <c r="C8" s="750"/>
      <c r="D8" s="266" t="s">
        <v>61</v>
      </c>
      <c r="E8" s="267"/>
      <c r="F8" s="266">
        <f>P28</f>
        <v>41598.106666666667</v>
      </c>
      <c r="G8" s="228" t="s">
        <v>519</v>
      </c>
      <c r="H8" s="246"/>
      <c r="I8" s="246"/>
      <c r="J8" s="274"/>
      <c r="K8" s="267"/>
      <c r="L8" s="266"/>
      <c r="M8" s="266"/>
      <c r="N8" s="266">
        <f t="shared" si="0"/>
        <v>0</v>
      </c>
      <c r="O8" s="266"/>
      <c r="P8" s="266"/>
      <c r="Q8" s="266"/>
      <c r="R8" s="779">
        <f>P8*Q8</f>
        <v>0</v>
      </c>
      <c r="S8" s="780"/>
    </row>
    <row r="9" spans="2:21" s="161" customFormat="1" ht="20.25" customHeight="1" x14ac:dyDescent="0.15">
      <c r="B9" s="753"/>
      <c r="C9" s="750"/>
      <c r="D9" s="266" t="s">
        <v>92</v>
      </c>
      <c r="E9" s="267"/>
      <c r="F9" s="266">
        <f>P37</f>
        <v>20912.238400000002</v>
      </c>
      <c r="G9" s="228" t="s">
        <v>520</v>
      </c>
      <c r="H9" s="246"/>
      <c r="I9" s="246"/>
      <c r="J9" s="274"/>
      <c r="K9" s="267"/>
      <c r="L9" s="266"/>
      <c r="M9" s="266"/>
      <c r="N9" s="266">
        <f t="shared" si="0"/>
        <v>0</v>
      </c>
      <c r="O9" s="266"/>
      <c r="P9" s="266"/>
      <c r="Q9" s="266"/>
      <c r="R9" s="779">
        <f>P9*Q9</f>
        <v>0</v>
      </c>
      <c r="S9" s="780"/>
    </row>
    <row r="10" spans="2:21" s="161" customFormat="1" ht="20.25" customHeight="1" x14ac:dyDescent="0.15">
      <c r="B10" s="753"/>
      <c r="C10" s="750"/>
      <c r="D10" s="266" t="s">
        <v>62</v>
      </c>
      <c r="E10" s="267"/>
      <c r="F10" s="266">
        <f>'８－３　水稲算出基礎（ＷＣＳ）'!V21</f>
        <v>5806.666666666667</v>
      </c>
      <c r="G10" s="781"/>
      <c r="H10" s="782"/>
      <c r="I10" s="782"/>
      <c r="J10" s="780"/>
      <c r="K10" s="267"/>
      <c r="L10" s="266"/>
      <c r="M10" s="266"/>
      <c r="N10" s="266">
        <f t="shared" si="0"/>
        <v>0</v>
      </c>
      <c r="O10" s="266"/>
      <c r="P10" s="266"/>
      <c r="Q10" s="266"/>
      <c r="R10" s="779"/>
      <c r="S10" s="780"/>
    </row>
    <row r="11" spans="2:21" s="161" customFormat="1" ht="20.25" customHeight="1" thickBot="1" x14ac:dyDescent="0.2">
      <c r="B11" s="753"/>
      <c r="C11" s="750"/>
      <c r="D11" s="266" t="s">
        <v>6</v>
      </c>
      <c r="E11" s="267"/>
      <c r="F11" s="266">
        <f>'８－３　水稲算出基礎（ＷＣＳ）'!V34</f>
        <v>83.333333333333329</v>
      </c>
      <c r="G11" s="781"/>
      <c r="H11" s="782"/>
      <c r="I11" s="782"/>
      <c r="J11" s="780"/>
      <c r="K11" s="180"/>
      <c r="L11" s="167"/>
      <c r="M11" s="167"/>
      <c r="N11" s="166">
        <f t="shared" si="0"/>
        <v>0</v>
      </c>
      <c r="O11" s="168" t="s">
        <v>25</v>
      </c>
      <c r="P11" s="169">
        <f>SUM(L5:L11,P5:Q10)</f>
        <v>30000</v>
      </c>
      <c r="Q11" s="169">
        <f>R11/P11</f>
        <v>11</v>
      </c>
      <c r="R11" s="811">
        <f>SUM(N5:N11,R5:S10)</f>
        <v>330000</v>
      </c>
      <c r="S11" s="812"/>
    </row>
    <row r="12" spans="2:21" s="161" customFormat="1" ht="20.25" customHeight="1" thickTop="1" x14ac:dyDescent="0.15">
      <c r="B12" s="753"/>
      <c r="C12" s="750"/>
      <c r="D12" s="266" t="s">
        <v>7</v>
      </c>
      <c r="E12" s="267"/>
      <c r="F12" s="266">
        <f>I12*10</f>
        <v>302400</v>
      </c>
      <c r="G12" s="276"/>
      <c r="H12" s="439" t="s">
        <v>464</v>
      </c>
      <c r="I12" s="490">
        <v>30240</v>
      </c>
      <c r="J12" s="491" t="s">
        <v>465</v>
      </c>
      <c r="K12" s="788" t="s">
        <v>238</v>
      </c>
      <c r="L12" s="259" t="s">
        <v>184</v>
      </c>
      <c r="M12" s="260" t="s">
        <v>9</v>
      </c>
      <c r="N12" s="344" t="s">
        <v>278</v>
      </c>
      <c r="O12" s="261" t="s">
        <v>24</v>
      </c>
      <c r="P12" s="261" t="s">
        <v>27</v>
      </c>
      <c r="Q12" s="813" t="s">
        <v>28</v>
      </c>
      <c r="R12" s="814"/>
      <c r="S12" s="815"/>
    </row>
    <row r="13" spans="2:21" s="161" customFormat="1" ht="20.25" customHeight="1" x14ac:dyDescent="0.15">
      <c r="B13" s="753"/>
      <c r="C13" s="750"/>
      <c r="D13" s="764" t="s">
        <v>63</v>
      </c>
      <c r="E13" s="276" t="s">
        <v>211</v>
      </c>
      <c r="F13" s="266">
        <f>'６（参考）WCS用稲資本装備'!L15*'７－３　水稲部門（ＷＣＳ）収支 '!H13</f>
        <v>2668.5</v>
      </c>
      <c r="G13" s="228" t="s">
        <v>217</v>
      </c>
      <c r="H13" s="486">
        <v>0.01</v>
      </c>
      <c r="I13" s="786" t="s">
        <v>219</v>
      </c>
      <c r="J13" s="787"/>
      <c r="K13" s="789"/>
      <c r="L13" s="275" t="s">
        <v>352</v>
      </c>
      <c r="M13" s="258" t="s">
        <v>176</v>
      </c>
      <c r="N13" s="192">
        <v>35</v>
      </c>
      <c r="O13" s="192">
        <v>2830</v>
      </c>
      <c r="P13" s="192">
        <f>N13*O13</f>
        <v>99050</v>
      </c>
      <c r="Q13" s="791"/>
      <c r="R13" s="792"/>
      <c r="S13" s="793"/>
    </row>
    <row r="14" spans="2:21" s="161" customFormat="1" ht="20.25" customHeight="1" x14ac:dyDescent="0.15">
      <c r="B14" s="753"/>
      <c r="C14" s="750"/>
      <c r="D14" s="765"/>
      <c r="E14" s="276" t="s">
        <v>212</v>
      </c>
      <c r="F14" s="266">
        <f>'７－３　水稲部門（ＷＣＳ）収支 '!H14*'６　固定資本装備と減価償却費'!L69</f>
        <v>35044.453333333331</v>
      </c>
      <c r="G14" s="228" t="s">
        <v>217</v>
      </c>
      <c r="H14" s="486">
        <v>0.05</v>
      </c>
      <c r="I14" s="786" t="s">
        <v>219</v>
      </c>
      <c r="J14" s="787"/>
      <c r="K14" s="789"/>
      <c r="L14" s="262"/>
      <c r="M14" s="258"/>
      <c r="N14" s="192"/>
      <c r="O14" s="192"/>
      <c r="P14" s="192">
        <f>N14*O14</f>
        <v>0</v>
      </c>
      <c r="Q14" s="819"/>
      <c r="R14" s="792"/>
      <c r="S14" s="793"/>
    </row>
    <row r="15" spans="2:21" s="161" customFormat="1" ht="20.25" customHeight="1" thickBot="1" x14ac:dyDescent="0.2">
      <c r="B15" s="753"/>
      <c r="C15" s="750"/>
      <c r="D15" s="764" t="s">
        <v>93</v>
      </c>
      <c r="E15" s="276" t="s">
        <v>211</v>
      </c>
      <c r="F15" s="266">
        <f>'６（参考）WCS用稲資本装備'!P15</f>
        <v>14805</v>
      </c>
      <c r="G15" s="228" t="s">
        <v>219</v>
      </c>
      <c r="H15" s="246"/>
      <c r="I15" s="246"/>
      <c r="J15" s="274"/>
      <c r="K15" s="789"/>
      <c r="L15" s="172" t="s">
        <v>29</v>
      </c>
      <c r="M15" s="171"/>
      <c r="N15" s="172"/>
      <c r="O15" s="172"/>
      <c r="P15" s="172">
        <f>SUM(P13:P14)</f>
        <v>99050</v>
      </c>
      <c r="Q15" s="797"/>
      <c r="R15" s="798"/>
      <c r="S15" s="799"/>
      <c r="U15" s="161">
        <f>+I12*10</f>
        <v>302400</v>
      </c>
    </row>
    <row r="16" spans="2:21" s="161" customFormat="1" ht="20.25" customHeight="1" thickTop="1" x14ac:dyDescent="0.15">
      <c r="B16" s="753"/>
      <c r="C16" s="750"/>
      <c r="D16" s="766"/>
      <c r="E16" s="276" t="s">
        <v>212</v>
      </c>
      <c r="F16" s="266">
        <f>+'６　固定資本装備と減価償却費'!P69</f>
        <v>108769.86666666667</v>
      </c>
      <c r="G16" s="228" t="s">
        <v>219</v>
      </c>
      <c r="H16" s="246"/>
      <c r="I16" s="246"/>
      <c r="J16" s="274"/>
      <c r="K16" s="789"/>
      <c r="L16" s="253" t="s">
        <v>185</v>
      </c>
      <c r="M16" s="254"/>
      <c r="N16" s="343" t="s">
        <v>278</v>
      </c>
      <c r="O16" s="255" t="s">
        <v>24</v>
      </c>
      <c r="P16" s="256" t="s">
        <v>27</v>
      </c>
      <c r="Q16" s="800" t="s">
        <v>28</v>
      </c>
      <c r="R16" s="801"/>
      <c r="S16" s="802"/>
      <c r="U16" s="161">
        <f>+U15+10800</f>
        <v>313200</v>
      </c>
    </row>
    <row r="17" spans="1:39" s="161" customFormat="1" ht="20.25" customHeight="1" x14ac:dyDescent="0.15">
      <c r="B17" s="753"/>
      <c r="C17" s="750"/>
      <c r="D17" s="765"/>
      <c r="E17" s="266" t="s">
        <v>64</v>
      </c>
      <c r="F17" s="266">
        <f>'６（参考）水稲資本装備'!P55</f>
        <v>0</v>
      </c>
      <c r="G17" s="228" t="s">
        <v>219</v>
      </c>
      <c r="H17" s="246"/>
      <c r="I17" s="246"/>
      <c r="J17" s="274"/>
      <c r="K17" s="789"/>
      <c r="L17" s="257" t="s">
        <v>191</v>
      </c>
      <c r="M17" s="258"/>
      <c r="N17" s="228" t="s">
        <v>341</v>
      </c>
      <c r="O17" s="250"/>
      <c r="P17" s="248">
        <f>'８－３　水稲算出基礎（ＷＣＳ）'!G7</f>
        <v>70000</v>
      </c>
      <c r="Q17" s="783"/>
      <c r="R17" s="784"/>
      <c r="S17" s="785"/>
    </row>
    <row r="18" spans="1:39" s="161" customFormat="1" ht="20.25" customHeight="1" x14ac:dyDescent="0.15">
      <c r="A18" s="160"/>
      <c r="B18" s="753"/>
      <c r="C18" s="750"/>
      <c r="D18" s="767" t="s">
        <v>284</v>
      </c>
      <c r="E18" s="270" t="s">
        <v>128</v>
      </c>
      <c r="F18" s="266">
        <v>0</v>
      </c>
      <c r="G18" s="228"/>
      <c r="H18" s="246"/>
      <c r="I18" s="246"/>
      <c r="J18" s="274"/>
      <c r="K18" s="789"/>
      <c r="L18" s="257" t="s">
        <v>189</v>
      </c>
      <c r="M18" s="258"/>
      <c r="N18" s="228"/>
      <c r="O18" s="250"/>
      <c r="P18" s="248">
        <f>'８－３　水稲算出基礎（ＷＣＳ）'!G11</f>
        <v>0</v>
      </c>
      <c r="Q18" s="783"/>
      <c r="R18" s="784"/>
      <c r="S18" s="785"/>
    </row>
    <row r="19" spans="1:39" s="161" customFormat="1" ht="20.25" customHeight="1" x14ac:dyDescent="0.15">
      <c r="A19" s="160"/>
      <c r="B19" s="753"/>
      <c r="C19" s="750"/>
      <c r="D19" s="767"/>
      <c r="E19" s="270" t="s">
        <v>124</v>
      </c>
      <c r="F19" s="266">
        <f>J19*'５－２　水稲（ＷＣＳ）作業時間'!AO34</f>
        <v>37290.000000000007</v>
      </c>
      <c r="G19" s="228"/>
      <c r="H19" s="246"/>
      <c r="I19" s="286" t="s">
        <v>357</v>
      </c>
      <c r="J19" s="487">
        <v>1100</v>
      </c>
      <c r="K19" s="789"/>
      <c r="L19" s="228" t="s">
        <v>190</v>
      </c>
      <c r="M19" s="246"/>
      <c r="N19" s="228" t="s">
        <v>341</v>
      </c>
      <c r="O19" s="250"/>
      <c r="P19" s="248">
        <f>'８－３　水稲算出基礎（ＷＣＳ）'!G16</f>
        <v>70740</v>
      </c>
      <c r="Q19" s="783"/>
      <c r="R19" s="784"/>
      <c r="S19" s="785"/>
    </row>
    <row r="20" spans="1:39" s="161" customFormat="1" ht="20.25" customHeight="1" x14ac:dyDescent="0.15">
      <c r="A20" s="160"/>
      <c r="B20" s="753"/>
      <c r="C20" s="750"/>
      <c r="D20" s="767"/>
      <c r="E20" s="270" t="s">
        <v>125</v>
      </c>
      <c r="F20" s="266">
        <f>J20*'５－２　水稲（ＷＣＳ）作業時間'!AP34</f>
        <v>55800</v>
      </c>
      <c r="G20" s="228"/>
      <c r="H20" s="246"/>
      <c r="I20" s="286" t="s">
        <v>358</v>
      </c>
      <c r="J20" s="487">
        <v>900</v>
      </c>
      <c r="K20" s="789"/>
      <c r="L20" s="228" t="s">
        <v>192</v>
      </c>
      <c r="M20" s="246"/>
      <c r="N20" s="228"/>
      <c r="O20" s="250"/>
      <c r="P20" s="248">
        <f>'８－３　水稲算出基礎（ＷＣＳ）'!G20</f>
        <v>0</v>
      </c>
      <c r="Q20" s="783"/>
      <c r="R20" s="784"/>
      <c r="S20" s="785"/>
    </row>
    <row r="21" spans="1:39" s="161" customFormat="1" ht="20.25" customHeight="1" x14ac:dyDescent="0.15">
      <c r="A21" s="160"/>
      <c r="B21" s="753"/>
      <c r="C21" s="750"/>
      <c r="D21" s="767"/>
      <c r="E21" s="270" t="s">
        <v>126</v>
      </c>
      <c r="F21" s="266">
        <f>(F19+F20)*0.012</f>
        <v>1117.08</v>
      </c>
      <c r="G21" s="228"/>
      <c r="H21" s="246"/>
      <c r="I21" s="246"/>
      <c r="J21" s="274"/>
      <c r="K21" s="789"/>
      <c r="L21" s="228" t="s">
        <v>193</v>
      </c>
      <c r="M21" s="246"/>
      <c r="N21" s="228" t="s">
        <v>341</v>
      </c>
      <c r="O21" s="248"/>
      <c r="P21" s="248">
        <f>'８－３　水稲算出基礎（ＷＣＳ）'!G24</f>
        <v>14364.15</v>
      </c>
      <c r="Q21" s="783"/>
      <c r="R21" s="784"/>
      <c r="S21" s="785"/>
    </row>
    <row r="22" spans="1:39" s="161" customFormat="1" ht="20.25" customHeight="1" thickBot="1" x14ac:dyDescent="0.2">
      <c r="A22" s="160"/>
      <c r="B22" s="753"/>
      <c r="C22" s="750"/>
      <c r="D22" s="767" t="s">
        <v>65</v>
      </c>
      <c r="E22" s="270" t="s">
        <v>66</v>
      </c>
      <c r="F22" s="266">
        <f>I22*10</f>
        <v>23760</v>
      </c>
      <c r="G22" s="228"/>
      <c r="H22" s="246"/>
      <c r="I22" s="246">
        <v>2376</v>
      </c>
      <c r="J22" s="274" t="s">
        <v>356</v>
      </c>
      <c r="K22" s="789"/>
      <c r="L22" s="172" t="s">
        <v>29</v>
      </c>
      <c r="M22" s="171"/>
      <c r="N22" s="172"/>
      <c r="O22" s="172"/>
      <c r="P22" s="172">
        <f>SUM(P17:P21)</f>
        <v>155104.15</v>
      </c>
      <c r="Q22" s="797"/>
      <c r="R22" s="798"/>
      <c r="S22" s="799"/>
    </row>
    <row r="23" spans="1:39" s="161" customFormat="1" ht="20.25" customHeight="1" thickTop="1" x14ac:dyDescent="0.15">
      <c r="A23" s="160"/>
      <c r="B23" s="753"/>
      <c r="C23" s="750"/>
      <c r="D23" s="767"/>
      <c r="E23" s="270" t="s">
        <v>94</v>
      </c>
      <c r="F23" s="266">
        <f>I23*10</f>
        <v>50000</v>
      </c>
      <c r="G23" s="228"/>
      <c r="H23" s="267"/>
      <c r="I23" s="246">
        <v>5000</v>
      </c>
      <c r="J23" s="274" t="s">
        <v>356</v>
      </c>
      <c r="K23" s="789"/>
      <c r="L23" s="228" t="s">
        <v>186</v>
      </c>
      <c r="M23" s="246"/>
      <c r="N23" s="247" t="s">
        <v>26</v>
      </c>
      <c r="O23" s="247" t="s">
        <v>24</v>
      </c>
      <c r="P23" s="247" t="s">
        <v>27</v>
      </c>
      <c r="Q23" s="800" t="s">
        <v>28</v>
      </c>
      <c r="R23" s="801"/>
      <c r="S23" s="802"/>
    </row>
    <row r="24" spans="1:39" s="161" customFormat="1" ht="18" customHeight="1" x14ac:dyDescent="0.15">
      <c r="A24" s="160"/>
      <c r="B24" s="753"/>
      <c r="C24" s="750"/>
      <c r="D24" s="266" t="s">
        <v>67</v>
      </c>
      <c r="E24" s="267"/>
      <c r="F24" s="266">
        <f>I24*10</f>
        <v>30000</v>
      </c>
      <c r="G24" s="228"/>
      <c r="H24" s="246"/>
      <c r="I24" s="488">
        <v>3000</v>
      </c>
      <c r="J24" s="274" t="s">
        <v>356</v>
      </c>
      <c r="K24" s="789"/>
      <c r="L24" s="248" t="s">
        <v>30</v>
      </c>
      <c r="M24" s="246"/>
      <c r="N24" s="228" t="s">
        <v>354</v>
      </c>
      <c r="O24" s="248"/>
      <c r="P24" s="248">
        <f>'８－３　水稲算出基礎（ＷＣＳ）'!G38</f>
        <v>2174.44</v>
      </c>
      <c r="Q24" s="783"/>
      <c r="R24" s="784"/>
      <c r="S24" s="785"/>
    </row>
    <row r="25" spans="1:39" s="161" customFormat="1" ht="18" customHeight="1" x14ac:dyDescent="0.15">
      <c r="A25" s="160"/>
      <c r="B25" s="753"/>
      <c r="C25" s="750"/>
      <c r="D25" s="266" t="s">
        <v>188</v>
      </c>
      <c r="E25" s="267"/>
      <c r="F25" s="266">
        <f>SUM(F6:F24)/99</f>
        <v>9941.509041077441</v>
      </c>
      <c r="G25" s="277" t="s">
        <v>240</v>
      </c>
      <c r="H25" s="291">
        <v>0.01</v>
      </c>
      <c r="I25" s="173"/>
      <c r="J25" s="16"/>
      <c r="K25" s="789"/>
      <c r="L25" s="248" t="s">
        <v>31</v>
      </c>
      <c r="M25" s="246"/>
      <c r="N25" s="228" t="s">
        <v>345</v>
      </c>
      <c r="O25" s="248"/>
      <c r="P25" s="248">
        <f>'８－３　水稲算出基礎（ＷＣＳ）'!G49</f>
        <v>15093.666666666666</v>
      </c>
      <c r="Q25" s="783"/>
      <c r="R25" s="784"/>
      <c r="S25" s="785"/>
    </row>
    <row r="26" spans="1:39" s="161" customFormat="1" ht="18" customHeight="1" x14ac:dyDescent="0.15">
      <c r="A26" s="160"/>
      <c r="B26" s="753"/>
      <c r="C26" s="751"/>
      <c r="D26" s="762" t="s">
        <v>231</v>
      </c>
      <c r="E26" s="763"/>
      <c r="F26" s="190">
        <f>SUM(F6:F25)</f>
        <v>994150.90410774411</v>
      </c>
      <c r="G26" s="240"/>
      <c r="H26" s="173"/>
      <c r="I26" s="173"/>
      <c r="J26" s="176"/>
      <c r="K26" s="789"/>
      <c r="L26" s="248" t="s">
        <v>32</v>
      </c>
      <c r="M26" s="246"/>
      <c r="N26" s="228" t="s">
        <v>341</v>
      </c>
      <c r="O26" s="248"/>
      <c r="P26" s="248">
        <f>'８－３　水稲算出基礎（ＷＣＳ）'!G53</f>
        <v>24330</v>
      </c>
      <c r="Q26" s="783"/>
      <c r="R26" s="784"/>
      <c r="S26" s="785"/>
      <c r="AM26" s="161" t="s">
        <v>487</v>
      </c>
    </row>
    <row r="27" spans="1:39" s="161" customFormat="1" ht="18" customHeight="1" x14ac:dyDescent="0.15">
      <c r="A27" s="160"/>
      <c r="B27" s="753"/>
      <c r="C27" s="755" t="s">
        <v>218</v>
      </c>
      <c r="D27" s="677" t="s">
        <v>68</v>
      </c>
      <c r="E27" s="58" t="s">
        <v>3</v>
      </c>
      <c r="F27" s="166">
        <v>0</v>
      </c>
      <c r="G27" s="257"/>
      <c r="H27" s="246"/>
      <c r="I27" s="170"/>
      <c r="J27" s="274"/>
      <c r="K27" s="789"/>
      <c r="L27" s="248" t="s">
        <v>154</v>
      </c>
      <c r="M27" s="246"/>
      <c r="N27" s="228"/>
      <c r="O27" s="248"/>
      <c r="P27" s="248">
        <f>'８－３　水稲算出基礎（ＷＣＳ）'!G57</f>
        <v>0</v>
      </c>
      <c r="Q27" s="783"/>
      <c r="R27" s="784"/>
      <c r="S27" s="785"/>
    </row>
    <row r="28" spans="1:39" s="161" customFormat="1" ht="18" customHeight="1" thickBot="1" x14ac:dyDescent="0.2">
      <c r="A28" s="160"/>
      <c r="B28" s="753"/>
      <c r="C28" s="756"/>
      <c r="D28" s="680"/>
      <c r="E28" s="58" t="s">
        <v>4</v>
      </c>
      <c r="F28" s="166">
        <v>0</v>
      </c>
      <c r="G28" s="257"/>
      <c r="H28" s="278"/>
      <c r="I28" s="278"/>
      <c r="J28" s="279"/>
      <c r="K28" s="789"/>
      <c r="L28" s="172" t="s">
        <v>29</v>
      </c>
      <c r="M28" s="171"/>
      <c r="N28" s="172"/>
      <c r="O28" s="172"/>
      <c r="P28" s="172">
        <f>SUM(P24:P27)</f>
        <v>41598.106666666667</v>
      </c>
      <c r="Q28" s="797"/>
      <c r="R28" s="798"/>
      <c r="S28" s="799"/>
    </row>
    <row r="29" spans="1:39" s="161" customFormat="1" ht="18" customHeight="1" thickTop="1" x14ac:dyDescent="0.15">
      <c r="A29" s="160"/>
      <c r="B29" s="753"/>
      <c r="C29" s="756"/>
      <c r="D29" s="678"/>
      <c r="E29" s="58" t="s">
        <v>8</v>
      </c>
      <c r="F29" s="166">
        <v>0</v>
      </c>
      <c r="G29" s="257"/>
      <c r="H29" s="174"/>
      <c r="I29" s="278"/>
      <c r="J29" s="273"/>
      <c r="K29" s="789"/>
      <c r="L29" s="228" t="s">
        <v>187</v>
      </c>
      <c r="M29" s="246"/>
      <c r="N29" s="247" t="s">
        <v>26</v>
      </c>
      <c r="O29" s="247" t="s">
        <v>24</v>
      </c>
      <c r="P29" s="247" t="s">
        <v>27</v>
      </c>
      <c r="Q29" s="800" t="s">
        <v>28</v>
      </c>
      <c r="R29" s="801"/>
      <c r="S29" s="802"/>
    </row>
    <row r="30" spans="1:39" s="161" customFormat="1" ht="18" customHeight="1" x14ac:dyDescent="0.15">
      <c r="A30" s="160"/>
      <c r="B30" s="753"/>
      <c r="C30" s="756"/>
      <c r="D30" s="58" t="s">
        <v>69</v>
      </c>
      <c r="E30" s="59"/>
      <c r="F30" s="166">
        <v>0</v>
      </c>
      <c r="G30" s="257"/>
      <c r="H30" s="174"/>
      <c r="I30" s="278"/>
      <c r="J30" s="280"/>
      <c r="K30" s="789"/>
      <c r="L30" s="248" t="s">
        <v>49</v>
      </c>
      <c r="M30" s="249"/>
      <c r="N30" s="228" t="s">
        <v>348</v>
      </c>
      <c r="O30" s="250"/>
      <c r="P30" s="248">
        <f>'８－３　水稲算出基礎（ＷＣＳ）'!N12</f>
        <v>12501.720000000001</v>
      </c>
      <c r="Q30" s="803"/>
      <c r="R30" s="804"/>
      <c r="S30" s="805"/>
    </row>
    <row r="31" spans="1:39" s="161" customFormat="1" ht="18" customHeight="1" x14ac:dyDescent="0.15">
      <c r="A31" s="160"/>
      <c r="B31" s="753"/>
      <c r="C31" s="756"/>
      <c r="D31" s="690" t="s">
        <v>285</v>
      </c>
      <c r="E31" s="68" t="s">
        <v>128</v>
      </c>
      <c r="F31" s="166">
        <v>0</v>
      </c>
      <c r="G31" s="257"/>
      <c r="H31" s="281"/>
      <c r="I31" s="281"/>
      <c r="J31" s="282"/>
      <c r="K31" s="789"/>
      <c r="L31" s="248" t="s">
        <v>48</v>
      </c>
      <c r="M31" s="249"/>
      <c r="N31" s="228" t="s">
        <v>347</v>
      </c>
      <c r="O31" s="250"/>
      <c r="P31" s="248">
        <f>'８－３　水稲算出基礎（ＷＣＳ）'!N16</f>
        <v>1816.8480000000002</v>
      </c>
      <c r="Q31" s="803"/>
      <c r="R31" s="804"/>
      <c r="S31" s="805"/>
    </row>
    <row r="32" spans="1:39" s="161" customFormat="1" ht="18" customHeight="1" x14ac:dyDescent="0.15">
      <c r="A32" s="160"/>
      <c r="B32" s="753"/>
      <c r="C32" s="756"/>
      <c r="D32" s="690"/>
      <c r="E32" s="68" t="s">
        <v>127</v>
      </c>
      <c r="F32" s="166">
        <v>0</v>
      </c>
      <c r="G32" s="257"/>
      <c r="H32" s="283"/>
      <c r="I32" s="283"/>
      <c r="J32" s="284"/>
      <c r="K32" s="789"/>
      <c r="L32" s="248" t="s">
        <v>50</v>
      </c>
      <c r="M32" s="246"/>
      <c r="N32" s="250"/>
      <c r="O32" s="250"/>
      <c r="P32" s="248">
        <f>SUM(P30:P31)*R32</f>
        <v>4295.5704000000005</v>
      </c>
      <c r="Q32" s="251" t="s">
        <v>33</v>
      </c>
      <c r="R32" s="252">
        <v>0.3</v>
      </c>
      <c r="S32" s="175"/>
    </row>
    <row r="33" spans="1:23" ht="18" customHeight="1" x14ac:dyDescent="0.15">
      <c r="B33" s="753"/>
      <c r="C33" s="756"/>
      <c r="D33" s="58" t="s">
        <v>70</v>
      </c>
      <c r="E33" s="69"/>
      <c r="F33" s="166">
        <v>0</v>
      </c>
      <c r="G33" s="257"/>
      <c r="H33" s="285"/>
      <c r="I33" s="286"/>
      <c r="J33" s="280"/>
      <c r="K33" s="789"/>
      <c r="L33" s="248" t="s">
        <v>51</v>
      </c>
      <c r="M33" s="249"/>
      <c r="N33" s="228"/>
      <c r="O33" s="250"/>
      <c r="P33" s="248">
        <f>'８－３　水稲算出基礎（ＷＣＳ）'!N20</f>
        <v>0</v>
      </c>
      <c r="Q33" s="783"/>
      <c r="R33" s="784"/>
      <c r="S33" s="785"/>
    </row>
    <row r="34" spans="1:23" ht="18" customHeight="1" x14ac:dyDescent="0.15">
      <c r="B34" s="753"/>
      <c r="C34" s="756"/>
      <c r="D34" s="58" t="s">
        <v>95</v>
      </c>
      <c r="E34" s="69"/>
      <c r="F34" s="166">
        <v>0</v>
      </c>
      <c r="G34" s="257"/>
      <c r="H34" s="287"/>
      <c r="I34" s="288"/>
      <c r="J34" s="289"/>
      <c r="K34" s="789"/>
      <c r="L34" s="248" t="s">
        <v>52</v>
      </c>
      <c r="M34" s="249"/>
      <c r="N34" s="228"/>
      <c r="O34" s="250"/>
      <c r="P34" s="248">
        <f>'８－３　水稲算出基礎（ＷＣＳ）'!N24</f>
        <v>0</v>
      </c>
      <c r="Q34" s="783"/>
      <c r="R34" s="784"/>
      <c r="S34" s="785"/>
    </row>
    <row r="35" spans="1:23" ht="18" customHeight="1" x14ac:dyDescent="0.15">
      <c r="B35" s="753"/>
      <c r="C35" s="756"/>
      <c r="D35" s="58" t="s">
        <v>131</v>
      </c>
      <c r="E35" s="59"/>
      <c r="F35" s="191">
        <f>'８－３　水稲算出基礎（ＷＣＳ）'!V57</f>
        <v>4545</v>
      </c>
      <c r="G35" s="781"/>
      <c r="H35" s="782"/>
      <c r="I35" s="782"/>
      <c r="J35" s="780"/>
      <c r="K35" s="789"/>
      <c r="L35" s="248" t="s">
        <v>282</v>
      </c>
      <c r="M35" s="249"/>
      <c r="N35" s="228"/>
      <c r="O35" s="250"/>
      <c r="P35" s="248">
        <f>'８－３　水稲算出基礎（ＷＣＳ）'!N28</f>
        <v>0</v>
      </c>
      <c r="Q35" s="783"/>
      <c r="R35" s="784"/>
      <c r="S35" s="785"/>
    </row>
    <row r="36" spans="1:23" ht="18" customHeight="1" x14ac:dyDescent="0.15">
      <c r="B36" s="753"/>
      <c r="C36" s="756"/>
      <c r="D36" s="79" t="s">
        <v>96</v>
      </c>
      <c r="E36" s="80"/>
      <c r="F36" s="290">
        <v>0</v>
      </c>
      <c r="G36" s="228"/>
      <c r="H36" s="287"/>
      <c r="I36" s="288"/>
      <c r="J36" s="280"/>
      <c r="K36" s="789"/>
      <c r="L36" s="248" t="s">
        <v>53</v>
      </c>
      <c r="M36" s="246"/>
      <c r="N36" s="228" t="s">
        <v>348</v>
      </c>
      <c r="O36" s="250"/>
      <c r="P36" s="248">
        <f>'８－３　水稲算出基礎（ＷＣＳ）'!N32</f>
        <v>2298.1</v>
      </c>
      <c r="Q36" s="783"/>
      <c r="R36" s="784"/>
      <c r="S36" s="785"/>
    </row>
    <row r="37" spans="1:23" ht="18" customHeight="1" thickBot="1" x14ac:dyDescent="0.2">
      <c r="B37" s="753"/>
      <c r="C37" s="756"/>
      <c r="D37" s="58" t="s">
        <v>71</v>
      </c>
      <c r="E37" s="59"/>
      <c r="F37" s="191">
        <f>'８－３　水稲算出基礎（ＷＣＳ）'!N57</f>
        <v>2024.1033333333332</v>
      </c>
      <c r="G37" s="781"/>
      <c r="H37" s="782"/>
      <c r="I37" s="782"/>
      <c r="J37" s="780"/>
      <c r="K37" s="790"/>
      <c r="L37" s="183" t="s">
        <v>29</v>
      </c>
      <c r="M37" s="182"/>
      <c r="N37" s="183"/>
      <c r="O37" s="183"/>
      <c r="P37" s="183">
        <f>SUM(P30:P36)</f>
        <v>20912.238400000002</v>
      </c>
      <c r="Q37" s="794"/>
      <c r="R37" s="795"/>
      <c r="S37" s="796"/>
    </row>
    <row r="38" spans="1:23" s="177" customFormat="1" ht="18" customHeight="1" x14ac:dyDescent="0.15">
      <c r="A38" s="160"/>
      <c r="B38" s="753"/>
      <c r="C38" s="756"/>
      <c r="D38" s="58" t="s">
        <v>0</v>
      </c>
      <c r="E38" s="69"/>
      <c r="F38" s="191">
        <v>0</v>
      </c>
      <c r="G38" s="15"/>
      <c r="H38" s="242"/>
      <c r="I38" s="243"/>
      <c r="J38" s="241"/>
    </row>
    <row r="39" spans="1:23" s="177" customFormat="1" ht="18" customHeight="1" thickBot="1" x14ac:dyDescent="0.2">
      <c r="A39" s="160"/>
      <c r="B39" s="754"/>
      <c r="C39" s="757"/>
      <c r="D39" s="758" t="s">
        <v>230</v>
      </c>
      <c r="E39" s="759"/>
      <c r="F39" s="235">
        <f>SUM(F27:F38)</f>
        <v>6569.1033333333335</v>
      </c>
      <c r="G39" s="236"/>
      <c r="H39" s="237"/>
      <c r="I39" s="238"/>
      <c r="J39" s="239"/>
      <c r="T39" s="178"/>
    </row>
    <row r="40" spans="1:23" s="177" customFormat="1" ht="18" customHeight="1" x14ac:dyDescent="0.15">
      <c r="A40" s="160"/>
      <c r="B40" s="768" t="s">
        <v>234</v>
      </c>
      <c r="C40" s="771" t="s">
        <v>73</v>
      </c>
      <c r="D40" s="231" t="s">
        <v>130</v>
      </c>
      <c r="E40" s="232"/>
      <c r="F40" s="233">
        <f>J40*10</f>
        <v>1005000</v>
      </c>
      <c r="G40" s="228"/>
      <c r="H40" s="234"/>
      <c r="I40" s="234"/>
      <c r="J40" s="393">
        <f>87500+13000</f>
        <v>100500</v>
      </c>
      <c r="T40" s="161"/>
      <c r="U40" s="161"/>
      <c r="V40" s="161"/>
      <c r="W40" s="161"/>
    </row>
    <row r="41" spans="1:23" s="177" customFormat="1" ht="18" customHeight="1" x14ac:dyDescent="0.15">
      <c r="A41" s="160"/>
      <c r="B41" s="769"/>
      <c r="C41" s="772"/>
      <c r="D41" s="58" t="s">
        <v>129</v>
      </c>
      <c r="E41" s="59"/>
      <c r="F41" s="225">
        <v>0</v>
      </c>
      <c r="G41" s="228"/>
      <c r="H41" s="184"/>
      <c r="I41" s="184"/>
      <c r="J41" s="244"/>
      <c r="T41" s="179"/>
      <c r="U41" s="180"/>
      <c r="V41" s="181"/>
      <c r="W41" s="179"/>
    </row>
    <row r="42" spans="1:23" s="177" customFormat="1" ht="18" customHeight="1" x14ac:dyDescent="0.15">
      <c r="A42" s="160"/>
      <c r="B42" s="769"/>
      <c r="C42" s="773"/>
      <c r="D42" s="79" t="s">
        <v>72</v>
      </c>
      <c r="E42" s="59"/>
      <c r="F42" s="225">
        <v>0</v>
      </c>
      <c r="G42" s="228"/>
      <c r="H42" s="184"/>
      <c r="I42" s="184"/>
      <c r="J42" s="244"/>
      <c r="T42" s="161"/>
      <c r="U42" s="161"/>
      <c r="V42" s="161"/>
      <c r="W42" s="161"/>
    </row>
    <row r="43" spans="1:23" s="177" customFormat="1" ht="18" customHeight="1" x14ac:dyDescent="0.15">
      <c r="B43" s="769"/>
      <c r="C43" s="774" t="s">
        <v>233</v>
      </c>
      <c r="D43" s="79" t="s">
        <v>286</v>
      </c>
      <c r="E43" s="80"/>
      <c r="F43" s="225">
        <v>0</v>
      </c>
      <c r="G43" s="228"/>
      <c r="H43" s="184"/>
      <c r="I43" s="184"/>
      <c r="J43" s="244"/>
      <c r="T43" s="162"/>
      <c r="U43" s="178"/>
      <c r="V43" s="161"/>
      <c r="W43" s="179"/>
    </row>
    <row r="44" spans="1:23" s="177" customFormat="1" ht="18" customHeight="1" x14ac:dyDescent="0.15">
      <c r="B44" s="769"/>
      <c r="C44" s="775"/>
      <c r="D44" s="81" t="s">
        <v>1</v>
      </c>
      <c r="E44" s="82"/>
      <c r="F44" s="225">
        <v>0</v>
      </c>
      <c r="G44" s="228"/>
      <c r="H44" s="184"/>
      <c r="I44" s="184"/>
      <c r="J44" s="244"/>
      <c r="T44" s="162"/>
      <c r="U44" s="178"/>
      <c r="V44" s="161"/>
      <c r="W44" s="179"/>
    </row>
    <row r="45" spans="1:23" s="177" customFormat="1" ht="18" customHeight="1" thickBot="1" x14ac:dyDescent="0.2">
      <c r="B45" s="770"/>
      <c r="C45" s="776" t="s">
        <v>98</v>
      </c>
      <c r="D45" s="777"/>
      <c r="E45" s="778"/>
      <c r="F45" s="227">
        <f>SUM(F40:F42)-SUM(F43:F44)</f>
        <v>1005000</v>
      </c>
      <c r="G45" s="185"/>
      <c r="H45" s="186"/>
      <c r="I45" s="186"/>
      <c r="J45" s="245"/>
      <c r="T45" s="161"/>
      <c r="U45" s="161"/>
      <c r="V45" s="180"/>
      <c r="W45" s="161"/>
    </row>
  </sheetData>
  <mergeCells count="58">
    <mergeCell ref="R10:S10"/>
    <mergeCell ref="G11:J11"/>
    <mergeCell ref="R6:S6"/>
    <mergeCell ref="Q27:S27"/>
    <mergeCell ref="Q21:S21"/>
    <mergeCell ref="R7:S7"/>
    <mergeCell ref="Q13:S13"/>
    <mergeCell ref="Q19:S19"/>
    <mergeCell ref="Q20:S20"/>
    <mergeCell ref="R9:S9"/>
    <mergeCell ref="R8:S8"/>
    <mergeCell ref="Q17:S17"/>
    <mergeCell ref="G10:J10"/>
    <mergeCell ref="R11:S11"/>
    <mergeCell ref="I13:J13"/>
    <mergeCell ref="Q16:S16"/>
    <mergeCell ref="B3:E3"/>
    <mergeCell ref="K3:S3"/>
    <mergeCell ref="B4:C5"/>
    <mergeCell ref="R4:S4"/>
    <mergeCell ref="R5:S5"/>
    <mergeCell ref="K12:K37"/>
    <mergeCell ref="Q12:S12"/>
    <mergeCell ref="I14:J14"/>
    <mergeCell ref="Q14:S14"/>
    <mergeCell ref="Q22:S22"/>
    <mergeCell ref="Q23:S23"/>
    <mergeCell ref="G37:J37"/>
    <mergeCell ref="Q15:S15"/>
    <mergeCell ref="Q37:S37"/>
    <mergeCell ref="G35:J35"/>
    <mergeCell ref="Q33:S33"/>
    <mergeCell ref="Q28:S28"/>
    <mergeCell ref="Q26:S26"/>
    <mergeCell ref="Q35:S35"/>
    <mergeCell ref="Q31:S31"/>
    <mergeCell ref="Q34:S34"/>
    <mergeCell ref="Q24:S24"/>
    <mergeCell ref="Q25:S25"/>
    <mergeCell ref="Q18:S18"/>
    <mergeCell ref="Q36:S36"/>
    <mergeCell ref="Q29:S29"/>
    <mergeCell ref="Q30:S30"/>
    <mergeCell ref="B40:B45"/>
    <mergeCell ref="C40:C42"/>
    <mergeCell ref="C43:C44"/>
    <mergeCell ref="C45:E45"/>
    <mergeCell ref="B6:B39"/>
    <mergeCell ref="C27:C39"/>
    <mergeCell ref="D27:D29"/>
    <mergeCell ref="C6:C26"/>
    <mergeCell ref="D22:D23"/>
    <mergeCell ref="D39:E39"/>
    <mergeCell ref="D31:D32"/>
    <mergeCell ref="D15:D17"/>
    <mergeCell ref="D26:E26"/>
    <mergeCell ref="D13:D14"/>
    <mergeCell ref="D18:D21"/>
  </mergeCells>
  <phoneticPr fontId="5"/>
  <pageMargins left="1.1811023622047245" right="0.78740157480314965" top="0.74803149606299213" bottom="0.74803149606299213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M192"/>
  <sheetViews>
    <sheetView zoomScale="75" zoomScaleNormal="75" zoomScaleSheetLayoutView="73" workbookViewId="0"/>
  </sheetViews>
  <sheetFormatPr defaultRowHeight="13.5" x14ac:dyDescent="0.15"/>
  <cols>
    <col min="1" max="1" width="1.625" style="88" customWidth="1"/>
    <col min="2" max="2" width="3.625" style="88" customWidth="1"/>
    <col min="3" max="3" width="19.5" style="88" customWidth="1"/>
    <col min="4" max="7" width="8.625" style="88" customWidth="1"/>
    <col min="8" max="8" width="2.375" style="218" customWidth="1"/>
    <col min="9" max="9" width="3.625" style="88" customWidth="1"/>
    <col min="10" max="10" width="15.625" style="88" customWidth="1"/>
    <col min="11" max="14" width="8.625" style="88" customWidth="1"/>
    <col min="15" max="15" width="3.5" style="88" customWidth="1"/>
    <col min="16" max="16" width="15.625" style="187" customWidth="1"/>
    <col min="17" max="17" width="8.625" style="88" customWidth="1"/>
    <col min="18" max="18" width="8.625" style="89" customWidth="1"/>
    <col min="19" max="21" width="8.625" style="88" customWidth="1"/>
    <col min="22" max="22" width="10.625" style="89" customWidth="1"/>
    <col min="23" max="16384" width="9" style="88"/>
  </cols>
  <sheetData>
    <row r="1" spans="1:22" ht="20.25" customHeight="1" x14ac:dyDescent="0.15">
      <c r="A1" s="88" t="s">
        <v>376</v>
      </c>
    </row>
    <row r="2" spans="1:22" ht="20.25" customHeight="1" x14ac:dyDescent="0.15">
      <c r="B2" s="1" t="s">
        <v>466</v>
      </c>
      <c r="C2" s="90"/>
      <c r="D2" s="13"/>
      <c r="E2" s="13"/>
      <c r="F2" s="90"/>
      <c r="G2" s="161"/>
      <c r="H2" s="170"/>
      <c r="I2" s="161"/>
      <c r="J2" s="161"/>
      <c r="K2" s="161"/>
      <c r="L2" s="161"/>
      <c r="M2" s="161"/>
      <c r="N2" s="161"/>
      <c r="O2" s="13"/>
    </row>
    <row r="3" spans="1:22" ht="20.25" customHeight="1" thickBot="1" x14ac:dyDescent="0.2">
      <c r="B3" s="88" t="s">
        <v>235</v>
      </c>
      <c r="I3" s="13" t="s">
        <v>236</v>
      </c>
      <c r="P3" s="88" t="s">
        <v>256</v>
      </c>
    </row>
    <row r="4" spans="1:22" ht="20.25" customHeight="1" x14ac:dyDescent="0.15">
      <c r="B4" s="311" t="s">
        <v>89</v>
      </c>
      <c r="C4" s="207" t="s">
        <v>196</v>
      </c>
      <c r="D4" s="207" t="s">
        <v>156</v>
      </c>
      <c r="E4" s="207" t="s">
        <v>157</v>
      </c>
      <c r="F4" s="382" t="s">
        <v>24</v>
      </c>
      <c r="G4" s="195" t="s">
        <v>158</v>
      </c>
      <c r="H4" s="208"/>
      <c r="I4" s="827" t="s">
        <v>89</v>
      </c>
      <c r="J4" s="825" t="s">
        <v>200</v>
      </c>
      <c r="K4" s="211" t="s">
        <v>197</v>
      </c>
      <c r="L4" s="211" t="s">
        <v>159</v>
      </c>
      <c r="M4" s="858" t="s">
        <v>24</v>
      </c>
      <c r="N4" s="860" t="s">
        <v>158</v>
      </c>
      <c r="O4" s="230"/>
      <c r="P4" s="312" t="s">
        <v>203</v>
      </c>
      <c r="Q4" s="313" t="s">
        <v>204</v>
      </c>
      <c r="R4" s="313" t="s">
        <v>205</v>
      </c>
      <c r="S4" s="313" t="s">
        <v>206</v>
      </c>
      <c r="T4" s="838" t="s">
        <v>207</v>
      </c>
      <c r="U4" s="748"/>
      <c r="V4" s="314" t="s">
        <v>208</v>
      </c>
    </row>
    <row r="5" spans="1:22" ht="20.25" customHeight="1" x14ac:dyDescent="0.15">
      <c r="B5" s="710" t="s">
        <v>191</v>
      </c>
      <c r="C5" s="105"/>
      <c r="D5" s="105"/>
      <c r="E5" s="415"/>
      <c r="F5" s="105"/>
      <c r="G5" s="196">
        <f>D5*F5</f>
        <v>0</v>
      </c>
      <c r="H5" s="209"/>
      <c r="I5" s="828"/>
      <c r="J5" s="826"/>
      <c r="K5" s="213" t="s">
        <v>161</v>
      </c>
      <c r="L5" s="213" t="s">
        <v>316</v>
      </c>
      <c r="M5" s="859"/>
      <c r="N5" s="861"/>
      <c r="O5" s="230"/>
      <c r="P5" s="413" t="s">
        <v>484</v>
      </c>
      <c r="Q5" s="471"/>
      <c r="R5" s="414" t="s">
        <v>485</v>
      </c>
      <c r="S5" s="471"/>
      <c r="T5" s="816" t="s">
        <v>486</v>
      </c>
      <c r="U5" s="839"/>
      <c r="V5" s="416">
        <v>5806.666666666667</v>
      </c>
    </row>
    <row r="6" spans="1:22" ht="20.25" customHeight="1" x14ac:dyDescent="0.15">
      <c r="B6" s="711"/>
      <c r="C6" s="87"/>
      <c r="D6" s="87"/>
      <c r="E6" s="98"/>
      <c r="F6" s="87"/>
      <c r="G6" s="197">
        <f>D6*F6</f>
        <v>0</v>
      </c>
      <c r="H6" s="209"/>
      <c r="I6" s="854" t="s">
        <v>199</v>
      </c>
      <c r="J6" s="87" t="s">
        <v>313</v>
      </c>
      <c r="K6" s="388">
        <v>8.4</v>
      </c>
      <c r="L6" s="388">
        <v>13</v>
      </c>
      <c r="M6" s="388">
        <v>84.7</v>
      </c>
      <c r="N6" s="367">
        <f t="shared" ref="N6:N11" si="0">K6*L6*M6</f>
        <v>9249.24</v>
      </c>
      <c r="O6" s="230"/>
      <c r="P6" s="315"/>
      <c r="Q6" s="193"/>
      <c r="R6" s="224"/>
      <c r="S6" s="193"/>
      <c r="T6" s="862"/>
      <c r="U6" s="863"/>
      <c r="V6" s="219"/>
    </row>
    <row r="7" spans="1:22" ht="20.25" customHeight="1" thickBot="1" x14ac:dyDescent="0.2">
      <c r="B7" s="824"/>
      <c r="C7" s="198" t="s">
        <v>162</v>
      </c>
      <c r="D7" s="198"/>
      <c r="E7" s="198"/>
      <c r="F7" s="198"/>
      <c r="G7" s="199">
        <f>SUM(G5:G6)</f>
        <v>0</v>
      </c>
      <c r="H7" s="209"/>
      <c r="I7" s="855"/>
      <c r="J7" s="87" t="s">
        <v>314</v>
      </c>
      <c r="K7" s="388">
        <v>2.6</v>
      </c>
      <c r="L7" s="388">
        <f>5+6.5</f>
        <v>11.5</v>
      </c>
      <c r="M7" s="388">
        <v>84.7</v>
      </c>
      <c r="N7" s="367">
        <f t="shared" si="0"/>
        <v>2532.5300000000002</v>
      </c>
      <c r="O7" s="230"/>
      <c r="P7" s="315"/>
      <c r="Q7" s="193"/>
      <c r="R7" s="224"/>
      <c r="S7" s="193"/>
      <c r="T7" s="862"/>
      <c r="U7" s="863"/>
      <c r="V7" s="219"/>
    </row>
    <row r="8" spans="1:22" ht="20.25" customHeight="1" thickTop="1" x14ac:dyDescent="0.15">
      <c r="B8" s="823" t="s">
        <v>189</v>
      </c>
      <c r="C8" s="87" t="s">
        <v>525</v>
      </c>
      <c r="D8" s="87">
        <v>10</v>
      </c>
      <c r="E8" s="98" t="s">
        <v>299</v>
      </c>
      <c r="F8" s="87">
        <v>3840</v>
      </c>
      <c r="G8" s="197">
        <f>D8*F8</f>
        <v>38400</v>
      </c>
      <c r="H8" s="209"/>
      <c r="I8" s="855"/>
      <c r="J8" s="87" t="s">
        <v>322</v>
      </c>
      <c r="K8" s="388">
        <v>1.2</v>
      </c>
      <c r="L8" s="388">
        <v>3</v>
      </c>
      <c r="M8" s="388">
        <v>84.7</v>
      </c>
      <c r="N8" s="367">
        <f t="shared" si="0"/>
        <v>304.91999999999996</v>
      </c>
      <c r="O8" s="230"/>
      <c r="P8" s="315"/>
      <c r="Q8" s="193"/>
      <c r="R8" s="224"/>
      <c r="S8" s="193"/>
      <c r="T8" s="862"/>
      <c r="U8" s="863"/>
      <c r="V8" s="219"/>
    </row>
    <row r="9" spans="1:22" ht="20.25" customHeight="1" x14ac:dyDescent="0.15">
      <c r="B9" s="711"/>
      <c r="C9" s="87"/>
      <c r="D9" s="87"/>
      <c r="E9" s="98"/>
      <c r="F9" s="87"/>
      <c r="G9" s="197">
        <f>D9*F9</f>
        <v>0</v>
      </c>
      <c r="H9" s="209"/>
      <c r="I9" s="855"/>
      <c r="J9" s="375" t="s">
        <v>317</v>
      </c>
      <c r="K9" s="460">
        <v>4.3</v>
      </c>
      <c r="L9" s="460">
        <v>5</v>
      </c>
      <c r="M9" s="388">
        <v>84.7</v>
      </c>
      <c r="N9" s="376">
        <f t="shared" si="0"/>
        <v>1821.05</v>
      </c>
      <c r="O9" s="230"/>
      <c r="P9" s="315"/>
      <c r="Q9" s="193"/>
      <c r="R9" s="224"/>
      <c r="S9" s="193"/>
      <c r="T9" s="862"/>
      <c r="U9" s="863"/>
      <c r="V9" s="219"/>
    </row>
    <row r="10" spans="1:22" ht="20.25" customHeight="1" x14ac:dyDescent="0.15">
      <c r="B10" s="711"/>
      <c r="C10" s="87"/>
      <c r="D10" s="87"/>
      <c r="E10" s="98"/>
      <c r="F10" s="87"/>
      <c r="G10" s="197">
        <f>D10*F10</f>
        <v>0</v>
      </c>
      <c r="H10" s="209"/>
      <c r="I10" s="855"/>
      <c r="J10" s="378"/>
      <c r="K10" s="461"/>
      <c r="L10" s="461"/>
      <c r="M10" s="388"/>
      <c r="N10" s="379"/>
      <c r="O10" s="230"/>
      <c r="P10" s="315"/>
      <c r="Q10" s="193"/>
      <c r="R10" s="224"/>
      <c r="S10" s="193"/>
      <c r="T10" s="377"/>
      <c r="U10" s="365"/>
      <c r="V10" s="219"/>
    </row>
    <row r="11" spans="1:22" ht="20.25" customHeight="1" thickBot="1" x14ac:dyDescent="0.2">
      <c r="B11" s="824"/>
      <c r="C11" s="200" t="s">
        <v>163</v>
      </c>
      <c r="D11" s="201"/>
      <c r="E11" s="201"/>
      <c r="F11" s="201"/>
      <c r="G11" s="202">
        <f>SUM(G8:G10)</f>
        <v>38400</v>
      </c>
      <c r="H11" s="209"/>
      <c r="I11" s="855"/>
      <c r="J11" s="380" t="s">
        <v>319</v>
      </c>
      <c r="K11" s="462">
        <v>1.2</v>
      </c>
      <c r="L11" s="462">
        <v>3.5</v>
      </c>
      <c r="M11" s="388">
        <v>84.7</v>
      </c>
      <c r="N11" s="381">
        <f t="shared" si="0"/>
        <v>355.74</v>
      </c>
      <c r="O11" s="230"/>
      <c r="P11" s="315"/>
      <c r="Q11" s="193"/>
      <c r="R11" s="224"/>
      <c r="S11" s="193"/>
      <c r="T11" s="862"/>
      <c r="U11" s="863"/>
      <c r="V11" s="219"/>
    </row>
    <row r="12" spans="1:22" ht="20.25" customHeight="1" thickTop="1" thickBot="1" x14ac:dyDescent="0.2">
      <c r="B12" s="823" t="s">
        <v>190</v>
      </c>
      <c r="C12" s="87" t="s">
        <v>526</v>
      </c>
      <c r="D12" s="105">
        <v>300</v>
      </c>
      <c r="E12" s="98" t="s">
        <v>311</v>
      </c>
      <c r="F12" s="87">
        <f>3220/20</f>
        <v>161</v>
      </c>
      <c r="G12" s="197">
        <f>D12*F12</f>
        <v>48300</v>
      </c>
      <c r="H12" s="209"/>
      <c r="I12" s="856"/>
      <c r="J12" s="200" t="s">
        <v>261</v>
      </c>
      <c r="K12" s="366">
        <f>SUM(K6:K9)</f>
        <v>16.5</v>
      </c>
      <c r="L12" s="366">
        <f>SUM(L6:L11)</f>
        <v>36</v>
      </c>
      <c r="M12" s="366"/>
      <c r="N12" s="368">
        <f>SUM(N6:N11)</f>
        <v>14263.48</v>
      </c>
      <c r="O12" s="230"/>
      <c r="P12" s="315"/>
      <c r="Q12" s="193"/>
      <c r="R12" s="224"/>
      <c r="S12" s="193"/>
      <c r="T12" s="862"/>
      <c r="U12" s="863"/>
      <c r="V12" s="219"/>
    </row>
    <row r="13" spans="1:22" ht="20.25" customHeight="1" thickTop="1" x14ac:dyDescent="0.15">
      <c r="B13" s="711"/>
      <c r="C13" s="87"/>
      <c r="D13" s="87"/>
      <c r="E13" s="98"/>
      <c r="F13" s="87"/>
      <c r="G13" s="197">
        <f>D13*F13</f>
        <v>0</v>
      </c>
      <c r="H13" s="209"/>
      <c r="I13" s="835" t="s">
        <v>262</v>
      </c>
      <c r="J13" s="87" t="s">
        <v>315</v>
      </c>
      <c r="K13" s="388">
        <v>3.7</v>
      </c>
      <c r="L13" s="388">
        <v>3.1</v>
      </c>
      <c r="M13" s="388">
        <v>158.4</v>
      </c>
      <c r="N13" s="492">
        <f>K13*L13*M13</f>
        <v>1816.8480000000002</v>
      </c>
      <c r="O13" s="230"/>
      <c r="P13" s="315"/>
      <c r="Q13" s="193"/>
      <c r="R13" s="224"/>
      <c r="S13" s="193"/>
      <c r="T13" s="862"/>
      <c r="U13" s="863"/>
      <c r="V13" s="219"/>
    </row>
    <row r="14" spans="1:22" ht="20.25" customHeight="1" x14ac:dyDescent="0.15">
      <c r="B14" s="711"/>
      <c r="C14" s="87"/>
      <c r="D14" s="87"/>
      <c r="E14" s="98"/>
      <c r="F14" s="87"/>
      <c r="G14" s="197">
        <f>D14*F14</f>
        <v>0</v>
      </c>
      <c r="H14" s="209"/>
      <c r="I14" s="836"/>
      <c r="J14" s="87"/>
      <c r="K14" s="214"/>
      <c r="L14" s="214"/>
      <c r="M14" s="214"/>
      <c r="N14" s="367">
        <f>K14*L14*M14</f>
        <v>0</v>
      </c>
      <c r="O14" s="230"/>
      <c r="P14" s="315"/>
      <c r="Q14" s="193"/>
      <c r="R14" s="224"/>
      <c r="S14" s="193"/>
      <c r="T14" s="862"/>
      <c r="U14" s="863"/>
      <c r="V14" s="219"/>
    </row>
    <row r="15" spans="1:22" ht="20.25" customHeight="1" x14ac:dyDescent="0.15">
      <c r="B15" s="711"/>
      <c r="C15" s="87"/>
      <c r="D15" s="87"/>
      <c r="E15" s="87"/>
      <c r="F15" s="87"/>
      <c r="G15" s="197">
        <f>D15*F15</f>
        <v>0</v>
      </c>
      <c r="H15" s="209"/>
      <c r="I15" s="836"/>
      <c r="J15" s="87"/>
      <c r="K15" s="214"/>
      <c r="L15" s="214"/>
      <c r="M15" s="214"/>
      <c r="N15" s="367">
        <f>K15*L15*M15</f>
        <v>0</v>
      </c>
      <c r="O15" s="230"/>
      <c r="P15" s="315"/>
      <c r="Q15" s="193"/>
      <c r="R15" s="224"/>
      <c r="S15" s="193"/>
      <c r="T15" s="862"/>
      <c r="U15" s="863"/>
      <c r="V15" s="219"/>
    </row>
    <row r="16" spans="1:22" ht="20.25" customHeight="1" thickBot="1" x14ac:dyDescent="0.2">
      <c r="B16" s="824"/>
      <c r="C16" s="200" t="s">
        <v>163</v>
      </c>
      <c r="D16" s="201"/>
      <c r="E16" s="201"/>
      <c r="F16" s="201"/>
      <c r="G16" s="202">
        <f>SUM(G12:G15)</f>
        <v>48300</v>
      </c>
      <c r="H16" s="209"/>
      <c r="I16" s="837"/>
      <c r="J16" s="316" t="s">
        <v>261</v>
      </c>
      <c r="K16" s="215">
        <f>SUM(K13:K15)</f>
        <v>3.7</v>
      </c>
      <c r="L16" s="215">
        <f>SUM(L13:L15)</f>
        <v>3.1</v>
      </c>
      <c r="M16" s="215"/>
      <c r="N16" s="369">
        <f>SUM(N13:N15)</f>
        <v>1816.8480000000002</v>
      </c>
      <c r="O16" s="230"/>
      <c r="P16" s="315"/>
      <c r="Q16" s="193"/>
      <c r="R16" s="224"/>
      <c r="S16" s="193"/>
      <c r="T16" s="862"/>
      <c r="U16" s="863"/>
      <c r="V16" s="219"/>
    </row>
    <row r="17" spans="2:39" ht="20.25" customHeight="1" thickTop="1" x14ac:dyDescent="0.15">
      <c r="B17" s="823" t="s">
        <v>192</v>
      </c>
      <c r="C17" s="87"/>
      <c r="D17" s="87"/>
      <c r="E17" s="98"/>
      <c r="F17" s="87"/>
      <c r="G17" s="197">
        <f>D17*F17</f>
        <v>0</v>
      </c>
      <c r="H17" s="209"/>
      <c r="I17" s="835" t="s">
        <v>201</v>
      </c>
      <c r="J17" s="87"/>
      <c r="K17" s="214"/>
      <c r="L17" s="214"/>
      <c r="M17" s="214"/>
      <c r="N17" s="367">
        <f>K17*L17*M17</f>
        <v>0</v>
      </c>
      <c r="O17" s="230"/>
      <c r="P17" s="315"/>
      <c r="Q17" s="193"/>
      <c r="R17" s="224"/>
      <c r="S17" s="193"/>
      <c r="T17" s="862"/>
      <c r="U17" s="863"/>
      <c r="V17" s="219"/>
    </row>
    <row r="18" spans="2:39" ht="20.25" customHeight="1" x14ac:dyDescent="0.15">
      <c r="B18" s="711"/>
      <c r="C18" s="87"/>
      <c r="D18" s="87"/>
      <c r="E18" s="98"/>
      <c r="F18" s="87"/>
      <c r="G18" s="197">
        <f>D18*F18</f>
        <v>0</v>
      </c>
      <c r="H18" s="209"/>
      <c r="I18" s="836"/>
      <c r="J18" s="87"/>
      <c r="K18" s="214"/>
      <c r="L18" s="214"/>
      <c r="M18" s="214"/>
      <c r="N18" s="367">
        <f>K18*L18*M18</f>
        <v>0</v>
      </c>
      <c r="O18" s="230"/>
      <c r="P18" s="315"/>
      <c r="Q18" s="193"/>
      <c r="R18" s="224"/>
      <c r="S18" s="193"/>
      <c r="T18" s="862"/>
      <c r="U18" s="863"/>
      <c r="V18" s="219"/>
    </row>
    <row r="19" spans="2:39" ht="20.25" customHeight="1" x14ac:dyDescent="0.15">
      <c r="B19" s="711"/>
      <c r="C19" s="87"/>
      <c r="D19" s="87"/>
      <c r="E19" s="87"/>
      <c r="F19" s="87"/>
      <c r="G19" s="197">
        <f>D19*F19</f>
        <v>0</v>
      </c>
      <c r="H19" s="209"/>
      <c r="I19" s="836"/>
      <c r="J19" s="87"/>
      <c r="K19" s="214"/>
      <c r="L19" s="214"/>
      <c r="M19" s="214"/>
      <c r="N19" s="367">
        <f>K19*L19*M19</f>
        <v>0</v>
      </c>
      <c r="O19" s="230"/>
      <c r="P19" s="315"/>
      <c r="Q19" s="193"/>
      <c r="R19" s="224"/>
      <c r="S19" s="193"/>
      <c r="T19" s="862"/>
      <c r="U19" s="863"/>
      <c r="V19" s="219"/>
    </row>
    <row r="20" spans="2:39" ht="20.25" customHeight="1" thickBot="1" x14ac:dyDescent="0.2">
      <c r="B20" s="824"/>
      <c r="C20" s="200" t="s">
        <v>163</v>
      </c>
      <c r="D20" s="201"/>
      <c r="E20" s="201"/>
      <c r="F20" s="201"/>
      <c r="G20" s="202">
        <f>SUM(G17:G19)</f>
        <v>0</v>
      </c>
      <c r="H20" s="209"/>
      <c r="I20" s="837"/>
      <c r="J20" s="316" t="s">
        <v>263</v>
      </c>
      <c r="K20" s="215">
        <f>SUM(K17:K19)</f>
        <v>0</v>
      </c>
      <c r="L20" s="216">
        <f>SUM(L17:L19)</f>
        <v>0</v>
      </c>
      <c r="M20" s="217"/>
      <c r="N20" s="369">
        <f>SUM(N17:N19)</f>
        <v>0</v>
      </c>
      <c r="O20" s="230"/>
      <c r="P20" s="315"/>
      <c r="Q20" s="193"/>
      <c r="R20" s="224"/>
      <c r="S20" s="193"/>
      <c r="T20" s="862"/>
      <c r="U20" s="863"/>
      <c r="V20" s="219"/>
    </row>
    <row r="21" spans="2:39" ht="20.25" customHeight="1" thickTop="1" thickBot="1" x14ac:dyDescent="0.2">
      <c r="B21" s="823" t="s">
        <v>193</v>
      </c>
      <c r="C21" s="87" t="s">
        <v>527</v>
      </c>
      <c r="D21" s="87">
        <f>131*4.3</f>
        <v>563.29999999999995</v>
      </c>
      <c r="E21" s="98" t="s">
        <v>312</v>
      </c>
      <c r="F21" s="87">
        <f>510/20</f>
        <v>25.5</v>
      </c>
      <c r="G21" s="197">
        <f>D21*F21</f>
        <v>14364.15</v>
      </c>
      <c r="H21" s="209"/>
      <c r="I21" s="835" t="s">
        <v>202</v>
      </c>
      <c r="J21" s="87" t="s">
        <v>318</v>
      </c>
      <c r="K21" s="214">
        <v>28.2</v>
      </c>
      <c r="L21" s="214">
        <v>6.1</v>
      </c>
      <c r="M21" s="388">
        <v>102.1</v>
      </c>
      <c r="N21" s="367">
        <f>K21*L21*M21</f>
        <v>17563.241999999998</v>
      </c>
      <c r="O21" s="230"/>
      <c r="P21" s="220" t="s">
        <v>29</v>
      </c>
      <c r="Q21" s="221"/>
      <c r="R21" s="221"/>
      <c r="S21" s="221"/>
      <c r="T21" s="877"/>
      <c r="U21" s="878"/>
      <c r="V21" s="222">
        <f>SUM(V5:V20)</f>
        <v>5806.666666666667</v>
      </c>
    </row>
    <row r="22" spans="2:39" ht="20.25" customHeight="1" x14ac:dyDescent="0.15">
      <c r="B22" s="711"/>
      <c r="C22" s="87"/>
      <c r="D22" s="87"/>
      <c r="E22" s="98"/>
      <c r="F22" s="87"/>
      <c r="G22" s="197">
        <f>D22*F22</f>
        <v>0</v>
      </c>
      <c r="H22" s="209"/>
      <c r="I22" s="836"/>
      <c r="J22" s="87"/>
      <c r="K22" s="214"/>
      <c r="L22" s="214"/>
      <c r="M22" s="214"/>
      <c r="N22" s="367">
        <f>K22*L22*M22</f>
        <v>0</v>
      </c>
      <c r="O22" s="230"/>
    </row>
    <row r="23" spans="2:39" ht="20.25" customHeight="1" thickBot="1" x14ac:dyDescent="0.2">
      <c r="B23" s="711"/>
      <c r="C23" s="87"/>
      <c r="D23" s="87"/>
      <c r="E23" s="98"/>
      <c r="F23" s="87"/>
      <c r="G23" s="197">
        <f>D23*F23</f>
        <v>0</v>
      </c>
      <c r="H23" s="209"/>
      <c r="I23" s="836"/>
      <c r="J23" s="87"/>
      <c r="K23" s="214"/>
      <c r="L23" s="214"/>
      <c r="M23" s="214"/>
      <c r="N23" s="367">
        <f>K23*L23*M23</f>
        <v>0</v>
      </c>
      <c r="O23" s="230"/>
      <c r="P23" s="88" t="s">
        <v>257</v>
      </c>
    </row>
    <row r="24" spans="2:39" ht="15" customHeight="1" thickBot="1" x14ac:dyDescent="0.2">
      <c r="B24" s="857"/>
      <c r="C24" s="203" t="s">
        <v>165</v>
      </c>
      <c r="D24" s="204"/>
      <c r="E24" s="204"/>
      <c r="F24" s="204"/>
      <c r="G24" s="205">
        <f>SUM(G21:G23)</f>
        <v>14364.15</v>
      </c>
      <c r="H24" s="209"/>
      <c r="I24" s="837"/>
      <c r="J24" s="316" t="s">
        <v>263</v>
      </c>
      <c r="K24" s="215">
        <f>SUM(K21:K23)</f>
        <v>28.2</v>
      </c>
      <c r="L24" s="216">
        <f>SUM(L21:L23)</f>
        <v>6.1</v>
      </c>
      <c r="M24" s="217"/>
      <c r="N24" s="369">
        <f>SUM(N21:N23)</f>
        <v>17563.241999999998</v>
      </c>
      <c r="O24" s="230"/>
      <c r="P24" s="312" t="s">
        <v>209</v>
      </c>
      <c r="Q24" s="313" t="s">
        <v>204</v>
      </c>
      <c r="R24" s="313" t="s">
        <v>205</v>
      </c>
      <c r="S24" s="313" t="s">
        <v>264</v>
      </c>
      <c r="T24" s="313" t="s">
        <v>207</v>
      </c>
      <c r="U24" s="189" t="s">
        <v>210</v>
      </c>
      <c r="V24" s="314" t="s">
        <v>208</v>
      </c>
    </row>
    <row r="25" spans="2:39" ht="15" customHeight="1" thickTop="1" x14ac:dyDescent="0.15">
      <c r="I25" s="835" t="s">
        <v>282</v>
      </c>
      <c r="J25" s="87"/>
      <c r="K25" s="214"/>
      <c r="L25" s="214"/>
      <c r="M25" s="214"/>
      <c r="N25" s="367">
        <f>K25*L25*M25</f>
        <v>0</v>
      </c>
      <c r="O25" s="230"/>
      <c r="P25" s="315" t="s">
        <v>328</v>
      </c>
      <c r="Q25" s="193">
        <v>10</v>
      </c>
      <c r="R25" s="224" t="s">
        <v>260</v>
      </c>
      <c r="S25" s="270">
        <v>500</v>
      </c>
      <c r="T25" s="193">
        <v>2</v>
      </c>
      <c r="U25" s="194">
        <v>30</v>
      </c>
      <c r="V25" s="219">
        <f>Q25*S25/T25/U25</f>
        <v>83.333333333333329</v>
      </c>
    </row>
    <row r="26" spans="2:39" ht="15" customHeight="1" thickBot="1" x14ac:dyDescent="0.2">
      <c r="B26" s="13" t="s">
        <v>265</v>
      </c>
      <c r="C26" s="13"/>
      <c r="D26" s="90"/>
      <c r="E26" s="13"/>
      <c r="F26" s="90"/>
      <c r="G26" s="94"/>
      <c r="H26" s="210"/>
      <c r="I26" s="836"/>
      <c r="J26" s="87"/>
      <c r="K26" s="214"/>
      <c r="L26" s="214"/>
      <c r="M26" s="214"/>
      <c r="N26" s="367">
        <f>K26*L26*M26</f>
        <v>0</v>
      </c>
      <c r="O26" s="230"/>
      <c r="P26" s="413"/>
      <c r="Q26" s="270"/>
      <c r="R26" s="414"/>
      <c r="S26" s="270"/>
      <c r="T26" s="270"/>
      <c r="U26" s="262"/>
      <c r="V26" s="416"/>
      <c r="AM26" s="88" t="s">
        <v>487</v>
      </c>
    </row>
    <row r="27" spans="2:39" ht="15" customHeight="1" x14ac:dyDescent="0.15">
      <c r="B27" s="311" t="s">
        <v>89</v>
      </c>
      <c r="C27" s="207" t="s">
        <v>155</v>
      </c>
      <c r="D27" s="207" t="s">
        <v>156</v>
      </c>
      <c r="E27" s="207" t="s">
        <v>157</v>
      </c>
      <c r="F27" s="382" t="s">
        <v>24</v>
      </c>
      <c r="G27" s="195" t="s">
        <v>158</v>
      </c>
      <c r="H27" s="208"/>
      <c r="I27" s="836"/>
      <c r="J27" s="87"/>
      <c r="K27" s="214"/>
      <c r="L27" s="214"/>
      <c r="M27" s="214"/>
      <c r="N27" s="367">
        <f>K27*L27*M27</f>
        <v>0</v>
      </c>
      <c r="O27" s="230"/>
      <c r="P27" s="413"/>
      <c r="Q27" s="270"/>
      <c r="R27" s="414"/>
      <c r="S27" s="270"/>
      <c r="T27" s="270"/>
      <c r="U27" s="262"/>
      <c r="V27" s="416"/>
    </row>
    <row r="28" spans="2:39" ht="15" customHeight="1" thickBot="1" x14ac:dyDescent="0.2">
      <c r="B28" s="710" t="s">
        <v>30</v>
      </c>
      <c r="C28" s="87" t="s">
        <v>528</v>
      </c>
      <c r="D28" s="105">
        <v>200</v>
      </c>
      <c r="E28" s="415" t="s">
        <v>309</v>
      </c>
      <c r="F28" s="105">
        <f>62610/10000</f>
        <v>6.2610000000000001</v>
      </c>
      <c r="G28" s="196">
        <f>D28*F28</f>
        <v>1252.2</v>
      </c>
      <c r="H28" s="209"/>
      <c r="I28" s="837"/>
      <c r="J28" s="316" t="s">
        <v>261</v>
      </c>
      <c r="K28" s="215">
        <f>SUM(K25:K27)</f>
        <v>0</v>
      </c>
      <c r="L28" s="216">
        <f>SUM(L25:L27)</f>
        <v>0</v>
      </c>
      <c r="M28" s="217"/>
      <c r="N28" s="369">
        <f>SUM(N25:N27)</f>
        <v>0</v>
      </c>
      <c r="O28" s="230"/>
      <c r="P28" s="413"/>
      <c r="Q28" s="270"/>
      <c r="R28" s="414"/>
      <c r="S28" s="270"/>
      <c r="T28" s="193"/>
      <c r="U28" s="194"/>
      <c r="V28" s="219"/>
    </row>
    <row r="29" spans="2:39" ht="15" customHeight="1" thickTop="1" x14ac:dyDescent="0.15">
      <c r="B29" s="711"/>
      <c r="C29" s="364" t="s">
        <v>529</v>
      </c>
      <c r="D29" s="105">
        <f>1*131</f>
        <v>131</v>
      </c>
      <c r="E29" s="415" t="s">
        <v>309</v>
      </c>
      <c r="F29" s="105">
        <f>4180/500</f>
        <v>8.36</v>
      </c>
      <c r="G29" s="196">
        <f>D29*F29</f>
        <v>1095.1599999999999</v>
      </c>
      <c r="H29" s="209"/>
      <c r="I29" s="835" t="s">
        <v>198</v>
      </c>
      <c r="J29" s="87" t="s">
        <v>318</v>
      </c>
      <c r="K29" s="214">
        <v>31.4</v>
      </c>
      <c r="L29" s="214">
        <v>3.2</v>
      </c>
      <c r="M29" s="214">
        <v>14</v>
      </c>
      <c r="N29" s="367">
        <f>K29*L29*M29</f>
        <v>1406.72</v>
      </c>
      <c r="O29" s="230"/>
      <c r="P29" s="315"/>
      <c r="Q29" s="193"/>
      <c r="R29" s="224"/>
      <c r="S29" s="193"/>
      <c r="T29" s="193"/>
      <c r="U29" s="194"/>
      <c r="V29" s="219"/>
    </row>
    <row r="30" spans="2:39" ht="15" customHeight="1" x14ac:dyDescent="0.15">
      <c r="B30" s="711"/>
      <c r="C30" s="87" t="s">
        <v>530</v>
      </c>
      <c r="D30" s="105">
        <v>833</v>
      </c>
      <c r="E30" s="415" t="s">
        <v>324</v>
      </c>
      <c r="F30" s="105">
        <f>10590/5000</f>
        <v>2.1179999999999999</v>
      </c>
      <c r="G30" s="196">
        <f>D30*F30</f>
        <v>1764.2939999999999</v>
      </c>
      <c r="H30" s="209"/>
      <c r="I30" s="836"/>
      <c r="J30" s="87" t="s">
        <v>320</v>
      </c>
      <c r="K30" s="214">
        <v>4</v>
      </c>
      <c r="L30" s="214">
        <v>1.9</v>
      </c>
      <c r="M30" s="214">
        <v>14</v>
      </c>
      <c r="N30" s="367">
        <f>K30*L30*M30</f>
        <v>106.39999999999999</v>
      </c>
      <c r="O30" s="89"/>
      <c r="P30" s="315"/>
      <c r="Q30" s="193"/>
      <c r="R30" s="224"/>
      <c r="S30" s="193"/>
      <c r="T30" s="193"/>
      <c r="U30" s="194"/>
      <c r="V30" s="219"/>
    </row>
    <row r="31" spans="2:39" ht="15" customHeight="1" x14ac:dyDescent="0.15">
      <c r="B31" s="711"/>
      <c r="C31" s="364"/>
      <c r="D31" s="87"/>
      <c r="E31" s="98"/>
      <c r="F31" s="87"/>
      <c r="G31" s="197">
        <v>0</v>
      </c>
      <c r="H31" s="209"/>
      <c r="I31" s="836"/>
      <c r="J31" s="87" t="s">
        <v>321</v>
      </c>
      <c r="K31" s="214">
        <v>24.5</v>
      </c>
      <c r="L31" s="214">
        <v>6.7</v>
      </c>
      <c r="M31" s="214">
        <v>14</v>
      </c>
      <c r="N31" s="367">
        <f>K31*L31*M31</f>
        <v>2298.1</v>
      </c>
      <c r="P31" s="315"/>
      <c r="Q31" s="193"/>
      <c r="R31" s="224"/>
      <c r="S31" s="193"/>
      <c r="T31" s="193"/>
      <c r="U31" s="194"/>
      <c r="V31" s="219"/>
    </row>
    <row r="32" spans="2:39" ht="15" customHeight="1" thickBot="1" x14ac:dyDescent="0.2">
      <c r="B32" s="711"/>
      <c r="C32" s="87"/>
      <c r="D32" s="87"/>
      <c r="E32" s="98"/>
      <c r="F32" s="87"/>
      <c r="G32" s="197">
        <f t="shared" ref="G32:G37" si="1">D32*F32</f>
        <v>0</v>
      </c>
      <c r="H32" s="209"/>
      <c r="I32" s="853"/>
      <c r="J32" s="370" t="s">
        <v>266</v>
      </c>
      <c r="K32" s="371">
        <f>SUM(K29:K31)</f>
        <v>59.9</v>
      </c>
      <c r="L32" s="372">
        <f>SUM(L29:L31)</f>
        <v>11.8</v>
      </c>
      <c r="M32" s="373"/>
      <c r="N32" s="374">
        <f>SUM(N29:N31)</f>
        <v>3811.2200000000003</v>
      </c>
      <c r="P32" s="315"/>
      <c r="Q32" s="193"/>
      <c r="R32" s="224"/>
      <c r="S32" s="193"/>
      <c r="T32" s="193"/>
      <c r="U32" s="194"/>
      <c r="V32" s="219"/>
    </row>
    <row r="33" spans="2:22" ht="15" customHeight="1" x14ac:dyDescent="0.15">
      <c r="B33" s="711"/>
      <c r="C33" s="87"/>
      <c r="D33" s="87"/>
      <c r="E33" s="98"/>
      <c r="F33" s="87"/>
      <c r="G33" s="197">
        <f t="shared" si="1"/>
        <v>0</v>
      </c>
      <c r="H33" s="209"/>
      <c r="I33" s="188"/>
      <c r="J33" s="188"/>
      <c r="K33" s="188"/>
      <c r="L33" s="188"/>
      <c r="M33" s="188"/>
      <c r="N33" s="188"/>
      <c r="P33" s="315"/>
      <c r="Q33" s="193"/>
      <c r="R33" s="224"/>
      <c r="S33" s="193"/>
      <c r="T33" s="193"/>
      <c r="U33" s="194"/>
      <c r="V33" s="219"/>
    </row>
    <row r="34" spans="2:22" ht="15" customHeight="1" thickBot="1" x14ac:dyDescent="0.2">
      <c r="B34" s="711"/>
      <c r="C34" s="87"/>
      <c r="D34" s="87"/>
      <c r="E34" s="98"/>
      <c r="F34" s="87"/>
      <c r="G34" s="197">
        <f t="shared" si="1"/>
        <v>0</v>
      </c>
      <c r="H34" s="209"/>
      <c r="I34" s="178" t="s">
        <v>255</v>
      </c>
      <c r="J34" s="178"/>
      <c r="K34" s="178"/>
      <c r="L34" s="178"/>
      <c r="M34" s="178"/>
      <c r="P34" s="319" t="s">
        <v>248</v>
      </c>
      <c r="Q34" s="221"/>
      <c r="R34" s="221"/>
      <c r="S34" s="221"/>
      <c r="T34" s="221"/>
      <c r="U34" s="223"/>
      <c r="V34" s="222">
        <f>SUM(V25:V33)</f>
        <v>83.333333333333329</v>
      </c>
    </row>
    <row r="35" spans="2:22" ht="15" customHeight="1" x14ac:dyDescent="0.15">
      <c r="B35" s="711"/>
      <c r="C35" s="87"/>
      <c r="D35" s="87"/>
      <c r="E35" s="98"/>
      <c r="F35" s="87"/>
      <c r="G35" s="197">
        <f t="shared" si="1"/>
        <v>0</v>
      </c>
      <c r="H35" s="209"/>
      <c r="I35" s="293" t="s">
        <v>243</v>
      </c>
      <c r="J35" s="294" t="s">
        <v>5</v>
      </c>
      <c r="K35" s="820" t="s">
        <v>244</v>
      </c>
      <c r="L35" s="821"/>
      <c r="M35" s="320" t="s">
        <v>210</v>
      </c>
      <c r="N35" s="318" t="s">
        <v>267</v>
      </c>
    </row>
    <row r="36" spans="2:22" ht="15" customHeight="1" thickBot="1" x14ac:dyDescent="0.2">
      <c r="B36" s="711"/>
      <c r="C36" s="87"/>
      <c r="D36" s="87"/>
      <c r="E36" s="98"/>
      <c r="F36" s="87"/>
      <c r="G36" s="197">
        <f t="shared" si="1"/>
        <v>0</v>
      </c>
      <c r="H36" s="209"/>
      <c r="I36" s="832" t="s">
        <v>2</v>
      </c>
      <c r="J36" s="206" t="str">
        <f>'６（参考）水稲資本装備'!C5</f>
        <v>農機具庫</v>
      </c>
      <c r="K36" s="822">
        <f>'６（参考）水稲資本装備'!I5</f>
        <v>5940000</v>
      </c>
      <c r="L36" s="822"/>
      <c r="M36" s="40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6">
        <f>+K36/M36*0.014*0.3</f>
        <v>831.6</v>
      </c>
      <c r="P36" s="178" t="s">
        <v>249</v>
      </c>
      <c r="Q36" s="178"/>
      <c r="R36" s="178"/>
      <c r="S36" s="178"/>
      <c r="T36" s="178"/>
    </row>
    <row r="37" spans="2:22" ht="15" customHeight="1" x14ac:dyDescent="0.15">
      <c r="B37" s="711"/>
      <c r="C37" s="87"/>
      <c r="D37" s="87"/>
      <c r="E37" s="98"/>
      <c r="F37" s="87"/>
      <c r="G37" s="197">
        <f t="shared" si="1"/>
        <v>0</v>
      </c>
      <c r="H37" s="209"/>
      <c r="I37" s="833"/>
      <c r="J37" s="206" t="str">
        <f>'６（参考）水稲資本装備'!C6</f>
        <v>乾燥調製施設</v>
      </c>
      <c r="K37" s="822">
        <f>'６（参考）水稲資本装備'!I6</f>
        <v>8910000</v>
      </c>
      <c r="L37" s="822"/>
      <c r="M37" s="403">
        <f>'１　対象経営の概要，２　前提条件'!$N$7+'１　対象経営の概要，２　前提条件'!$N$8+'１　対象経営の概要，２　前提条件'!$N$9</f>
        <v>30</v>
      </c>
      <c r="N37" s="306">
        <f>+K37/M37*0.014*0.3</f>
        <v>1247.3999999999999</v>
      </c>
      <c r="P37" s="293" t="s">
        <v>242</v>
      </c>
      <c r="Q37" s="876" t="s">
        <v>250</v>
      </c>
      <c r="R37" s="876"/>
      <c r="S37" s="305" t="s">
        <v>253</v>
      </c>
      <c r="T37" s="305" t="s">
        <v>252</v>
      </c>
      <c r="U37" s="320" t="s">
        <v>210</v>
      </c>
      <c r="V37" s="321" t="s">
        <v>267</v>
      </c>
    </row>
    <row r="38" spans="2:22" ht="15" customHeight="1" thickBot="1" x14ac:dyDescent="0.2">
      <c r="B38" s="824"/>
      <c r="C38" s="198" t="s">
        <v>162</v>
      </c>
      <c r="D38" s="198"/>
      <c r="E38" s="198"/>
      <c r="F38" s="198"/>
      <c r="G38" s="199">
        <f>SUM(G28:G37)</f>
        <v>4111.6539999999995</v>
      </c>
      <c r="H38" s="209"/>
      <c r="I38" s="833"/>
      <c r="J38" s="206" t="str">
        <f>'６（参考）水稲資本装備'!C7</f>
        <v>育苗ハウス</v>
      </c>
      <c r="K38" s="822">
        <f>'６（参考）水稲資本装備'!I7</f>
        <v>2065500</v>
      </c>
      <c r="L38" s="822"/>
      <c r="M38" s="40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306">
        <f>+K38/M38*0.014*0.3</f>
        <v>289.16999999999996</v>
      </c>
      <c r="O38" s="218"/>
      <c r="P38" s="866" t="s">
        <v>251</v>
      </c>
      <c r="Q38" s="299" t="s">
        <v>241</v>
      </c>
      <c r="R38" s="325"/>
      <c r="S38" s="493"/>
      <c r="T38" s="326"/>
      <c r="U38" s="300"/>
      <c r="V38" s="306">
        <v>3880</v>
      </c>
    </row>
    <row r="39" spans="2:22" ht="15" customHeight="1" thickTop="1" x14ac:dyDescent="0.15">
      <c r="B39" s="823" t="s">
        <v>194</v>
      </c>
      <c r="C39" s="494" t="s">
        <v>531</v>
      </c>
      <c r="D39" s="105">
        <v>833</v>
      </c>
      <c r="E39" s="415" t="s">
        <v>324</v>
      </c>
      <c r="F39" s="105">
        <f>49110/10000</f>
        <v>4.9109999999999996</v>
      </c>
      <c r="G39" s="197">
        <f>D39*F39</f>
        <v>4090.8629999999998</v>
      </c>
      <c r="H39" s="209"/>
      <c r="I39" s="833"/>
      <c r="J39" s="206"/>
      <c r="K39" s="822"/>
      <c r="L39" s="822"/>
      <c r="M39" s="292"/>
      <c r="N39" s="306"/>
      <c r="O39" s="218"/>
      <c r="P39" s="867"/>
      <c r="Q39" s="299"/>
      <c r="R39" s="325"/>
      <c r="S39" s="493"/>
      <c r="T39" s="326"/>
      <c r="U39" s="300"/>
      <c r="V39" s="306"/>
    </row>
    <row r="40" spans="2:22" ht="15" customHeight="1" x14ac:dyDescent="0.15">
      <c r="B40" s="711"/>
      <c r="C40" s="87" t="s">
        <v>532</v>
      </c>
      <c r="D40" s="105"/>
      <c r="E40" s="98"/>
      <c r="F40" s="87"/>
      <c r="G40" s="197">
        <f>D40*F40</f>
        <v>0</v>
      </c>
      <c r="H40" s="209"/>
      <c r="I40" s="833"/>
      <c r="J40" s="206"/>
      <c r="K40" s="822"/>
      <c r="L40" s="822"/>
      <c r="M40" s="292"/>
      <c r="N40" s="306"/>
      <c r="O40" s="218"/>
      <c r="P40" s="867"/>
      <c r="Q40" s="299"/>
      <c r="R40" s="325"/>
      <c r="S40" s="300"/>
      <c r="T40" s="326"/>
      <c r="U40" s="300"/>
      <c r="V40" s="306"/>
    </row>
    <row r="41" spans="2:22" ht="15" customHeight="1" x14ac:dyDescent="0.15">
      <c r="B41" s="711"/>
      <c r="C41" s="87"/>
      <c r="D41" s="87"/>
      <c r="E41" s="98"/>
      <c r="F41" s="87"/>
      <c r="G41" s="197">
        <f>D41*F41</f>
        <v>0</v>
      </c>
      <c r="H41" s="209"/>
      <c r="I41" s="833"/>
      <c r="J41" s="206"/>
      <c r="K41" s="822"/>
      <c r="L41" s="822"/>
      <c r="M41" s="292"/>
      <c r="N41" s="306"/>
      <c r="O41" s="218"/>
      <c r="P41" s="867"/>
      <c r="Q41" s="299"/>
      <c r="R41" s="325"/>
      <c r="S41" s="300"/>
      <c r="T41" s="326"/>
      <c r="U41" s="300"/>
      <c r="V41" s="306"/>
    </row>
    <row r="42" spans="2:22" ht="15" customHeight="1" thickBot="1" x14ac:dyDescent="0.2">
      <c r="B42" s="711"/>
      <c r="C42" s="87"/>
      <c r="D42" s="87"/>
      <c r="E42" s="98"/>
      <c r="F42" s="87"/>
      <c r="G42" s="197">
        <f t="shared" ref="G42:G47" si="2">D42*F42</f>
        <v>0</v>
      </c>
      <c r="H42" s="209"/>
      <c r="I42" s="834"/>
      <c r="J42" s="295" t="s">
        <v>163</v>
      </c>
      <c r="K42" s="864"/>
      <c r="L42" s="865"/>
      <c r="M42" s="296"/>
      <c r="N42" s="303">
        <f>SUM(N36:N41)</f>
        <v>2368.17</v>
      </c>
      <c r="O42" s="218"/>
      <c r="P42" s="867"/>
      <c r="Q42" s="299"/>
      <c r="R42" s="325"/>
      <c r="S42" s="300"/>
      <c r="T42" s="326"/>
      <c r="U42" s="300"/>
      <c r="V42" s="306"/>
    </row>
    <row r="43" spans="2:22" ht="15" customHeight="1" thickTop="1" x14ac:dyDescent="0.15">
      <c r="B43" s="711"/>
      <c r="C43" s="87"/>
      <c r="D43" s="87"/>
      <c r="E43" s="98"/>
      <c r="F43" s="87"/>
      <c r="G43" s="197"/>
      <c r="H43" s="209"/>
      <c r="I43" s="829" t="s">
        <v>245</v>
      </c>
      <c r="J43" s="297" t="s">
        <v>268</v>
      </c>
      <c r="K43" s="852">
        <v>8200</v>
      </c>
      <c r="L43" s="852"/>
      <c r="M43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23">
        <f>+K43/M43</f>
        <v>273.33333333333331</v>
      </c>
      <c r="O43" s="218"/>
      <c r="P43" s="867"/>
      <c r="Q43" s="299"/>
      <c r="R43" s="325"/>
      <c r="S43" s="300"/>
      <c r="T43" s="326"/>
      <c r="U43" s="300"/>
      <c r="V43" s="306"/>
    </row>
    <row r="44" spans="2:22" ht="15" customHeight="1" thickBot="1" x14ac:dyDescent="0.2">
      <c r="B44" s="711"/>
      <c r="C44" s="87"/>
      <c r="D44" s="87"/>
      <c r="E44" s="98"/>
      <c r="F44" s="87"/>
      <c r="G44" s="197"/>
      <c r="H44" s="209"/>
      <c r="I44" s="830"/>
      <c r="J44" s="299"/>
      <c r="K44" s="822"/>
      <c r="L44" s="822"/>
      <c r="M44" s="292"/>
      <c r="N44" s="306"/>
      <c r="O44" s="218"/>
      <c r="P44" s="868"/>
      <c r="Q44" s="307" t="s">
        <v>254</v>
      </c>
      <c r="R44" s="308"/>
      <c r="S44" s="308"/>
      <c r="T44" s="308"/>
      <c r="U44" s="308"/>
      <c r="V44" s="309">
        <f>SUM(V38:V43)</f>
        <v>3880</v>
      </c>
    </row>
    <row r="45" spans="2:22" ht="15" customHeight="1" thickTop="1" x14ac:dyDescent="0.15">
      <c r="B45" s="711"/>
      <c r="C45" s="87"/>
      <c r="D45" s="87"/>
      <c r="E45" s="98"/>
      <c r="F45" s="87"/>
      <c r="G45" s="197"/>
      <c r="H45" s="209"/>
      <c r="I45" s="830"/>
      <c r="J45" s="206"/>
      <c r="K45" s="822"/>
      <c r="L45" s="822"/>
      <c r="M45" s="292"/>
      <c r="N45" s="306"/>
      <c r="O45" s="218"/>
      <c r="P45" s="874" t="s">
        <v>259</v>
      </c>
      <c r="Q45" s="871" t="s">
        <v>270</v>
      </c>
      <c r="R45" s="327" t="s">
        <v>271</v>
      </c>
      <c r="S45" s="297">
        <v>35750</v>
      </c>
      <c r="T45" s="328">
        <v>1</v>
      </c>
      <c r="U45" s="297">
        <v>30</v>
      </c>
      <c r="V45" s="322">
        <f>+S45*T45/U45</f>
        <v>1191.6666666666667</v>
      </c>
    </row>
    <row r="46" spans="2:22" ht="15" customHeight="1" thickBot="1" x14ac:dyDescent="0.2">
      <c r="B46" s="711"/>
      <c r="C46" s="87"/>
      <c r="D46" s="87"/>
      <c r="E46" s="98"/>
      <c r="F46" s="87"/>
      <c r="G46" s="197">
        <f t="shared" si="2"/>
        <v>0</v>
      </c>
      <c r="H46" s="209"/>
      <c r="I46" s="831"/>
      <c r="J46" s="295" t="s">
        <v>163</v>
      </c>
      <c r="K46" s="864"/>
      <c r="L46" s="865"/>
      <c r="M46" s="296"/>
      <c r="N46" s="303">
        <f>SUM(N43:N45)</f>
        <v>273.33333333333331</v>
      </c>
      <c r="O46" s="218"/>
      <c r="P46" s="867"/>
      <c r="Q46" s="872"/>
      <c r="R46" s="329" t="s">
        <v>258</v>
      </c>
      <c r="S46" s="299">
        <v>15600</v>
      </c>
      <c r="T46" s="326">
        <v>1</v>
      </c>
      <c r="U46" s="299">
        <v>30</v>
      </c>
      <c r="V46" s="306">
        <f>+S46*T46/U46</f>
        <v>520</v>
      </c>
    </row>
    <row r="47" spans="2:22" ht="15" customHeight="1" thickTop="1" x14ac:dyDescent="0.15">
      <c r="B47" s="711"/>
      <c r="C47" s="87"/>
      <c r="D47" s="87"/>
      <c r="E47" s="98"/>
      <c r="F47" s="87"/>
      <c r="G47" s="197">
        <f t="shared" si="2"/>
        <v>0</v>
      </c>
      <c r="H47" s="209"/>
      <c r="I47" s="829" t="s">
        <v>246</v>
      </c>
      <c r="J47" s="297" t="s">
        <v>269</v>
      </c>
      <c r="K47" s="852">
        <v>11500</v>
      </c>
      <c r="L47" s="852"/>
      <c r="M47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22">
        <f>K47/M47</f>
        <v>383.33333333333331</v>
      </c>
      <c r="O47" s="218"/>
      <c r="P47" s="867"/>
      <c r="Q47" s="872"/>
      <c r="R47" s="329"/>
      <c r="S47" s="299"/>
      <c r="T47" s="299"/>
      <c r="U47" s="206"/>
      <c r="V47" s="330"/>
    </row>
    <row r="48" spans="2:22" ht="15" customHeight="1" x14ac:dyDescent="0.15">
      <c r="B48" s="711"/>
      <c r="C48" s="87"/>
      <c r="D48" s="87"/>
      <c r="E48" s="98"/>
      <c r="F48" s="87"/>
      <c r="G48" s="197">
        <f>D48*F48</f>
        <v>0</v>
      </c>
      <c r="H48" s="209"/>
      <c r="I48" s="830"/>
      <c r="J48" s="299"/>
      <c r="K48" s="822"/>
      <c r="L48" s="822"/>
      <c r="M48" s="292"/>
      <c r="N48" s="306"/>
      <c r="O48" s="218"/>
      <c r="P48" s="867"/>
      <c r="Q48" s="872"/>
      <c r="R48" s="329"/>
      <c r="S48" s="299"/>
      <c r="T48" s="326"/>
      <c r="U48" s="299"/>
      <c r="V48" s="306"/>
    </row>
    <row r="49" spans="2:22" ht="15" customHeight="1" thickBot="1" x14ac:dyDescent="0.2">
      <c r="B49" s="824"/>
      <c r="C49" s="200" t="s">
        <v>163</v>
      </c>
      <c r="D49" s="201"/>
      <c r="E49" s="201"/>
      <c r="F49" s="201"/>
      <c r="G49" s="202">
        <f>SUM(G39:G48)</f>
        <v>4090.8629999999998</v>
      </c>
      <c r="H49" s="209"/>
      <c r="I49" s="830"/>
      <c r="J49" s="206"/>
      <c r="K49" s="822"/>
      <c r="L49" s="822"/>
      <c r="M49" s="292"/>
      <c r="N49" s="306"/>
      <c r="O49" s="218"/>
      <c r="P49" s="867"/>
      <c r="Q49" s="873"/>
      <c r="R49" s="329"/>
      <c r="S49" s="299"/>
      <c r="T49" s="299"/>
      <c r="U49" s="206"/>
      <c r="V49" s="330"/>
    </row>
    <row r="50" spans="2:22" ht="15" customHeight="1" thickTop="1" thickBot="1" x14ac:dyDescent="0.2">
      <c r="B50" s="823" t="s">
        <v>32</v>
      </c>
      <c r="C50" s="87" t="s">
        <v>533</v>
      </c>
      <c r="D50" s="87">
        <v>10</v>
      </c>
      <c r="E50" s="98" t="s">
        <v>302</v>
      </c>
      <c r="F50" s="87">
        <f>24330/10</f>
        <v>2433</v>
      </c>
      <c r="G50" s="197">
        <f>D50*F50</f>
        <v>24330</v>
      </c>
      <c r="H50" s="209"/>
      <c r="I50" s="831"/>
      <c r="J50" s="295" t="s">
        <v>163</v>
      </c>
      <c r="K50" s="864"/>
      <c r="L50" s="865"/>
      <c r="M50" s="296"/>
      <c r="N50" s="303">
        <f>SUM(N47:N49)</f>
        <v>383.33333333333331</v>
      </c>
      <c r="O50" s="218"/>
      <c r="P50" s="867"/>
      <c r="Q50" s="307" t="s">
        <v>254</v>
      </c>
      <c r="R50" s="308"/>
      <c r="S50" s="308"/>
      <c r="T50" s="308"/>
      <c r="U50" s="308"/>
      <c r="V50" s="309">
        <f>SUM(V45:V49)</f>
        <v>1711.6666666666667</v>
      </c>
    </row>
    <row r="51" spans="2:22" ht="15" customHeight="1" thickTop="1" x14ac:dyDescent="0.15">
      <c r="B51" s="711"/>
      <c r="C51" s="87"/>
      <c r="D51" s="87"/>
      <c r="E51" s="87"/>
      <c r="F51" s="87"/>
      <c r="G51" s="197">
        <f>D51*F51</f>
        <v>0</v>
      </c>
      <c r="H51" s="209"/>
      <c r="I51" s="829" t="s">
        <v>247</v>
      </c>
      <c r="J51" s="297" t="s">
        <v>54</v>
      </c>
      <c r="K51" s="840">
        <v>2400</v>
      </c>
      <c r="L51" s="841"/>
      <c r="M51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23">
        <f>+K51/M51</f>
        <v>80</v>
      </c>
      <c r="O51" s="218"/>
      <c r="P51" s="867"/>
      <c r="Q51" s="871" t="s">
        <v>272</v>
      </c>
      <c r="R51" s="327" t="s">
        <v>271</v>
      </c>
      <c r="S51" s="297">
        <v>60000</v>
      </c>
      <c r="T51" s="328">
        <v>1</v>
      </c>
      <c r="U51" s="297">
        <v>30</v>
      </c>
      <c r="V51" s="322">
        <f>+S51*T51/U51</f>
        <v>2000</v>
      </c>
    </row>
    <row r="52" spans="2:22" ht="15" customHeight="1" x14ac:dyDescent="0.15">
      <c r="B52" s="711"/>
      <c r="C52" s="87"/>
      <c r="D52" s="87"/>
      <c r="E52" s="87"/>
      <c r="F52" s="87"/>
      <c r="G52" s="197">
        <f>D52*F52</f>
        <v>0</v>
      </c>
      <c r="H52" s="209"/>
      <c r="I52" s="830"/>
      <c r="J52" s="299" t="s">
        <v>54</v>
      </c>
      <c r="K52" s="842">
        <v>2400</v>
      </c>
      <c r="L52" s="843"/>
      <c r="M52" s="40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6">
        <f>+K52/M52</f>
        <v>80</v>
      </c>
      <c r="O52" s="218"/>
      <c r="P52" s="867"/>
      <c r="Q52" s="872"/>
      <c r="R52" s="329" t="s">
        <v>258</v>
      </c>
      <c r="S52" s="299">
        <v>25000</v>
      </c>
      <c r="T52" s="326">
        <v>1</v>
      </c>
      <c r="U52" s="299">
        <v>30</v>
      </c>
      <c r="V52" s="306">
        <f>+S52*T52/U52</f>
        <v>833.33333333333337</v>
      </c>
    </row>
    <row r="53" spans="2:22" ht="15" customHeight="1" thickBot="1" x14ac:dyDescent="0.2">
      <c r="B53" s="824"/>
      <c r="C53" s="200" t="s">
        <v>163</v>
      </c>
      <c r="D53" s="201"/>
      <c r="E53" s="201"/>
      <c r="F53" s="201"/>
      <c r="G53" s="202">
        <f>SUM(G50:G52)</f>
        <v>24330</v>
      </c>
      <c r="H53" s="209"/>
      <c r="I53" s="830"/>
      <c r="J53" s="299" t="s">
        <v>56</v>
      </c>
      <c r="K53" s="844">
        <v>2400</v>
      </c>
      <c r="L53" s="845"/>
      <c r="M53" s="310">
        <f>'１　対象経営の概要，２　前提条件'!N7</f>
        <v>30</v>
      </c>
      <c r="N53" s="306">
        <f>+K53/M53</f>
        <v>80</v>
      </c>
      <c r="O53" s="218"/>
      <c r="P53" s="867"/>
      <c r="Q53" s="872"/>
      <c r="R53" s="329"/>
      <c r="S53" s="299"/>
      <c r="T53" s="299"/>
      <c r="U53" s="206"/>
      <c r="V53" s="330"/>
    </row>
    <row r="54" spans="2:22" ht="13.9" customHeight="1" thickTop="1" x14ac:dyDescent="0.15">
      <c r="B54" s="823" t="s">
        <v>342</v>
      </c>
      <c r="C54" s="87" t="s">
        <v>534</v>
      </c>
      <c r="D54" s="385">
        <f>131*50/1000</f>
        <v>6.55</v>
      </c>
      <c r="E54" s="98" t="s">
        <v>393</v>
      </c>
      <c r="F54" s="87">
        <f>9650/3</f>
        <v>3216.6666666666665</v>
      </c>
      <c r="G54" s="196">
        <f>D54*F54</f>
        <v>21069.166666666664</v>
      </c>
      <c r="I54" s="830"/>
      <c r="J54" s="292" t="s">
        <v>258</v>
      </c>
      <c r="K54" s="846">
        <v>5000</v>
      </c>
      <c r="L54" s="847"/>
      <c r="M54" s="40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6">
        <f>+K54/M54</f>
        <v>166.66666666666666</v>
      </c>
      <c r="O54" s="218"/>
      <c r="P54" s="867"/>
      <c r="Q54" s="872"/>
      <c r="R54" s="329"/>
      <c r="S54" s="299"/>
      <c r="T54" s="326"/>
      <c r="U54" s="299"/>
      <c r="V54" s="306"/>
    </row>
    <row r="55" spans="2:22" x14ac:dyDescent="0.15">
      <c r="B55" s="711"/>
      <c r="C55" s="105" t="s">
        <v>535</v>
      </c>
      <c r="D55" s="105">
        <v>1667</v>
      </c>
      <c r="E55" s="415" t="s">
        <v>392</v>
      </c>
      <c r="F55" s="105">
        <f>90790/20000</f>
        <v>4.5395000000000003</v>
      </c>
      <c r="G55" s="197">
        <f>D55*F55</f>
        <v>7567.3465000000006</v>
      </c>
      <c r="I55" s="830"/>
      <c r="J55" s="299"/>
      <c r="K55" s="848"/>
      <c r="L55" s="849"/>
      <c r="M55" s="310"/>
      <c r="N55" s="324"/>
      <c r="O55" s="218"/>
      <c r="P55" s="867"/>
      <c r="Q55" s="873"/>
      <c r="R55" s="329"/>
      <c r="S55" s="299"/>
      <c r="T55" s="299"/>
      <c r="U55" s="206"/>
      <c r="V55" s="330"/>
    </row>
    <row r="56" spans="2:22" x14ac:dyDescent="0.15">
      <c r="B56" s="711"/>
      <c r="C56" s="87"/>
      <c r="D56" s="87"/>
      <c r="E56" s="98"/>
      <c r="F56" s="87"/>
      <c r="G56" s="197">
        <f>D56*F56</f>
        <v>0</v>
      </c>
      <c r="I56" s="832"/>
      <c r="J56" s="301" t="s">
        <v>163</v>
      </c>
      <c r="K56" s="850"/>
      <c r="L56" s="851"/>
      <c r="M56" s="302"/>
      <c r="N56" s="304">
        <f>SUM(N51:N55)</f>
        <v>406.66666666666663</v>
      </c>
      <c r="O56" s="218"/>
      <c r="P56" s="875"/>
      <c r="Q56" s="331" t="s">
        <v>254</v>
      </c>
      <c r="R56" s="332"/>
      <c r="S56" s="332"/>
      <c r="T56" s="332"/>
      <c r="U56" s="332"/>
      <c r="V56" s="333">
        <f>SUM(V51:V55)</f>
        <v>2833.3333333333335</v>
      </c>
    </row>
    <row r="57" spans="2:22" ht="14.25" thickBot="1" x14ac:dyDescent="0.2">
      <c r="B57" s="857"/>
      <c r="C57" s="203" t="s">
        <v>165</v>
      </c>
      <c r="D57" s="204"/>
      <c r="E57" s="204"/>
      <c r="F57" s="204"/>
      <c r="G57" s="205">
        <f>SUM(G54:G56)</f>
        <v>28636.513166666664</v>
      </c>
      <c r="I57" s="879" t="s">
        <v>248</v>
      </c>
      <c r="J57" s="878"/>
      <c r="K57" s="880"/>
      <c r="L57" s="881"/>
      <c r="M57" s="223"/>
      <c r="N57" s="212">
        <f>SUM(N42,N46,N50,N56)</f>
        <v>3431.5033333333336</v>
      </c>
      <c r="O57" s="218"/>
      <c r="P57" s="869" t="s">
        <v>248</v>
      </c>
      <c r="Q57" s="870"/>
      <c r="R57" s="221"/>
      <c r="S57" s="221"/>
      <c r="T57" s="221"/>
      <c r="U57" s="221"/>
      <c r="V57" s="212">
        <f>SUM(V44,V50,V56)</f>
        <v>8425</v>
      </c>
    </row>
    <row r="58" spans="2:22" x14ac:dyDescent="0.15">
      <c r="O58" s="218"/>
      <c r="V58" s="88"/>
    </row>
    <row r="59" spans="2:22" x14ac:dyDescent="0.15">
      <c r="I59" s="218"/>
      <c r="J59" s="218"/>
      <c r="K59" s="218"/>
      <c r="L59" s="218"/>
      <c r="M59" s="218"/>
      <c r="N59" s="218"/>
      <c r="O59" s="218"/>
    </row>
    <row r="60" spans="2:22" x14ac:dyDescent="0.15">
      <c r="I60" s="218"/>
      <c r="J60" s="218"/>
      <c r="K60" s="218"/>
      <c r="L60" s="218"/>
      <c r="M60" s="218"/>
      <c r="N60" s="218"/>
      <c r="O60" s="218"/>
    </row>
    <row r="61" spans="2:22" x14ac:dyDescent="0.15">
      <c r="I61" s="218"/>
      <c r="J61" s="218"/>
      <c r="K61" s="218"/>
      <c r="L61" s="218"/>
      <c r="M61" s="218"/>
      <c r="N61" s="218"/>
      <c r="O61" s="218"/>
    </row>
    <row r="62" spans="2:22" x14ac:dyDescent="0.15">
      <c r="I62" s="218"/>
      <c r="J62" s="218"/>
      <c r="K62" s="218"/>
      <c r="L62" s="218"/>
      <c r="M62" s="218"/>
      <c r="N62" s="218"/>
      <c r="O62" s="218"/>
    </row>
    <row r="63" spans="2:22" x14ac:dyDescent="0.15">
      <c r="I63" s="218"/>
      <c r="J63" s="218"/>
      <c r="K63" s="218"/>
      <c r="L63" s="218"/>
      <c r="M63" s="218"/>
      <c r="N63" s="218"/>
      <c r="O63" s="218"/>
    </row>
    <row r="64" spans="2:22" x14ac:dyDescent="0.15">
      <c r="I64" s="218"/>
      <c r="J64" s="218"/>
      <c r="K64" s="218"/>
      <c r="L64" s="218"/>
      <c r="M64" s="218"/>
      <c r="N64" s="218"/>
      <c r="O64" s="218"/>
    </row>
    <row r="65" spans="9:15" x14ac:dyDescent="0.15">
      <c r="I65" s="218"/>
      <c r="J65" s="218"/>
      <c r="K65" s="218"/>
      <c r="L65" s="218"/>
      <c r="M65" s="218"/>
      <c r="N65" s="218"/>
      <c r="O65" s="218"/>
    </row>
    <row r="66" spans="9:15" x14ac:dyDescent="0.15">
      <c r="I66" s="218"/>
      <c r="J66" s="218"/>
      <c r="K66" s="218"/>
      <c r="L66" s="218"/>
      <c r="M66" s="218"/>
      <c r="N66" s="218"/>
      <c r="O66" s="218"/>
    </row>
    <row r="67" spans="9:15" x14ac:dyDescent="0.15">
      <c r="I67" s="218"/>
      <c r="J67" s="218"/>
      <c r="K67" s="218"/>
      <c r="L67" s="218"/>
      <c r="M67" s="218"/>
      <c r="N67" s="218"/>
      <c r="O67" s="218"/>
    </row>
    <row r="68" spans="9:15" x14ac:dyDescent="0.15">
      <c r="I68" s="218"/>
      <c r="J68" s="218"/>
      <c r="K68" s="218"/>
      <c r="L68" s="218"/>
      <c r="M68" s="218"/>
      <c r="N68" s="218"/>
      <c r="O68" s="218"/>
    </row>
    <row r="69" spans="9:15" x14ac:dyDescent="0.15">
      <c r="I69" s="218"/>
      <c r="J69" s="218"/>
      <c r="K69" s="218"/>
      <c r="L69" s="218"/>
      <c r="M69" s="218"/>
      <c r="N69" s="218"/>
      <c r="O69" s="218"/>
    </row>
    <row r="70" spans="9:15" x14ac:dyDescent="0.15">
      <c r="I70" s="218"/>
      <c r="J70" s="218"/>
      <c r="K70" s="218"/>
      <c r="L70" s="218"/>
      <c r="M70" s="218"/>
      <c r="N70" s="218"/>
      <c r="O70" s="218"/>
    </row>
    <row r="71" spans="9:15" x14ac:dyDescent="0.15">
      <c r="I71" s="218"/>
      <c r="J71" s="218"/>
      <c r="K71" s="218"/>
      <c r="L71" s="218"/>
      <c r="M71" s="218"/>
      <c r="N71" s="218"/>
      <c r="O71" s="218"/>
    </row>
    <row r="72" spans="9:15" x14ac:dyDescent="0.15">
      <c r="I72" s="218"/>
      <c r="J72" s="218"/>
      <c r="K72" s="218"/>
      <c r="L72" s="218"/>
      <c r="M72" s="218"/>
      <c r="N72" s="218"/>
      <c r="O72" s="218"/>
    </row>
    <row r="73" spans="9:15" x14ac:dyDescent="0.15">
      <c r="I73" s="218"/>
      <c r="J73" s="218"/>
      <c r="K73" s="218"/>
      <c r="L73" s="218"/>
      <c r="M73" s="218"/>
      <c r="N73" s="218"/>
      <c r="O73" s="218"/>
    </row>
    <row r="74" spans="9:15" x14ac:dyDescent="0.15">
      <c r="I74" s="218"/>
      <c r="J74" s="218"/>
      <c r="K74" s="218"/>
      <c r="L74" s="218"/>
      <c r="M74" s="218"/>
      <c r="N74" s="218"/>
      <c r="O74" s="218"/>
    </row>
    <row r="75" spans="9:15" x14ac:dyDescent="0.15">
      <c r="I75" s="218"/>
      <c r="J75" s="218"/>
      <c r="K75" s="218"/>
      <c r="L75" s="218"/>
      <c r="M75" s="218"/>
      <c r="N75" s="218"/>
      <c r="O75" s="218"/>
    </row>
    <row r="76" spans="9:15" x14ac:dyDescent="0.15">
      <c r="I76" s="218"/>
      <c r="J76" s="218"/>
      <c r="K76" s="218"/>
      <c r="L76" s="218"/>
      <c r="M76" s="218"/>
      <c r="N76" s="218"/>
      <c r="O76" s="218"/>
    </row>
    <row r="77" spans="9:15" x14ac:dyDescent="0.15">
      <c r="I77" s="218"/>
      <c r="J77" s="218"/>
      <c r="K77" s="218"/>
      <c r="L77" s="218"/>
      <c r="M77" s="218"/>
      <c r="N77" s="218"/>
      <c r="O77" s="218"/>
    </row>
    <row r="78" spans="9:15" x14ac:dyDescent="0.15">
      <c r="I78" s="218"/>
      <c r="J78" s="218"/>
      <c r="K78" s="218"/>
      <c r="L78" s="218"/>
      <c r="M78" s="218"/>
      <c r="N78" s="218"/>
      <c r="O78" s="218"/>
    </row>
    <row r="79" spans="9:15" x14ac:dyDescent="0.15">
      <c r="I79" s="218"/>
      <c r="J79" s="218"/>
      <c r="K79" s="218"/>
      <c r="L79" s="218"/>
      <c r="M79" s="218"/>
      <c r="N79" s="218"/>
      <c r="O79" s="218"/>
    </row>
    <row r="80" spans="9:15" x14ac:dyDescent="0.15">
      <c r="I80" s="218"/>
      <c r="J80" s="218"/>
      <c r="K80" s="218"/>
      <c r="L80" s="218"/>
      <c r="M80" s="218"/>
      <c r="N80" s="218"/>
      <c r="O80" s="218"/>
    </row>
    <row r="81" spans="2:15" x14ac:dyDescent="0.15">
      <c r="I81" s="218"/>
      <c r="J81" s="218"/>
      <c r="K81" s="218"/>
      <c r="L81" s="218"/>
      <c r="M81" s="218"/>
      <c r="N81" s="218"/>
      <c r="O81" s="218"/>
    </row>
    <row r="82" spans="2:15" x14ac:dyDescent="0.15">
      <c r="I82" s="218"/>
      <c r="J82" s="218"/>
      <c r="K82" s="218"/>
      <c r="L82" s="218"/>
      <c r="M82" s="218"/>
      <c r="N82" s="218"/>
      <c r="O82" s="218"/>
    </row>
    <row r="83" spans="2:15" x14ac:dyDescent="0.15">
      <c r="B83" s="208"/>
      <c r="C83" s="209"/>
      <c r="D83" s="209"/>
      <c r="E83" s="209"/>
      <c r="F83" s="209"/>
      <c r="I83" s="218"/>
      <c r="J83" s="218"/>
      <c r="K83" s="218"/>
      <c r="L83" s="218"/>
      <c r="M83" s="218"/>
      <c r="N83" s="218"/>
      <c r="O83" s="218"/>
    </row>
    <row r="84" spans="2:15" x14ac:dyDescent="0.15">
      <c r="B84" s="208"/>
      <c r="C84" s="209"/>
      <c r="D84" s="209"/>
      <c r="E84" s="209"/>
      <c r="F84" s="209"/>
      <c r="I84" s="218"/>
      <c r="J84" s="218"/>
      <c r="K84" s="218"/>
      <c r="L84" s="218"/>
      <c r="M84" s="218"/>
      <c r="N84" s="218"/>
      <c r="O84" s="218"/>
    </row>
    <row r="85" spans="2:15" x14ac:dyDescent="0.15">
      <c r="I85" s="218"/>
      <c r="J85" s="218"/>
      <c r="K85" s="218"/>
      <c r="L85" s="218"/>
      <c r="M85" s="218"/>
      <c r="N85" s="218"/>
      <c r="O85" s="218"/>
    </row>
    <row r="86" spans="2:15" x14ac:dyDescent="0.15">
      <c r="I86" s="218"/>
      <c r="J86" s="218"/>
      <c r="K86" s="218"/>
      <c r="L86" s="218"/>
      <c r="M86" s="218"/>
      <c r="N86" s="218"/>
      <c r="O86" s="218"/>
    </row>
    <row r="87" spans="2:15" x14ac:dyDescent="0.15">
      <c r="I87" s="218"/>
      <c r="J87" s="218"/>
      <c r="K87" s="218"/>
      <c r="L87" s="218"/>
      <c r="M87" s="218"/>
      <c r="N87" s="218"/>
      <c r="O87" s="218"/>
    </row>
    <row r="88" spans="2:15" x14ac:dyDescent="0.15">
      <c r="I88" s="218"/>
      <c r="J88" s="218"/>
      <c r="K88" s="218"/>
      <c r="L88" s="218"/>
      <c r="M88" s="218"/>
      <c r="N88" s="218"/>
      <c r="O88" s="218"/>
    </row>
    <row r="89" spans="2:15" x14ac:dyDescent="0.15">
      <c r="I89" s="218"/>
      <c r="J89" s="218"/>
      <c r="K89" s="218"/>
      <c r="L89" s="218"/>
      <c r="M89" s="218"/>
      <c r="N89" s="218"/>
      <c r="O89" s="218"/>
    </row>
    <row r="90" spans="2:15" x14ac:dyDescent="0.15">
      <c r="I90" s="218"/>
      <c r="J90" s="218"/>
      <c r="K90" s="218"/>
      <c r="L90" s="218"/>
      <c r="M90" s="218"/>
      <c r="N90" s="218"/>
      <c r="O90" s="218"/>
    </row>
    <row r="91" spans="2:15" x14ac:dyDescent="0.15">
      <c r="I91" s="218"/>
      <c r="J91" s="218"/>
      <c r="K91" s="218"/>
      <c r="L91" s="218"/>
      <c r="M91" s="218"/>
      <c r="N91" s="218"/>
      <c r="O91" s="218"/>
    </row>
    <row r="92" spans="2:15" x14ac:dyDescent="0.15">
      <c r="I92" s="218"/>
      <c r="J92" s="218"/>
      <c r="K92" s="218"/>
      <c r="L92" s="218"/>
      <c r="M92" s="218"/>
      <c r="N92" s="218"/>
      <c r="O92" s="218"/>
    </row>
    <row r="93" spans="2:15" x14ac:dyDescent="0.15">
      <c r="I93" s="218"/>
      <c r="J93" s="218"/>
      <c r="K93" s="218"/>
      <c r="L93" s="218"/>
      <c r="M93" s="218"/>
      <c r="N93" s="218"/>
      <c r="O93" s="218"/>
    </row>
    <row r="94" spans="2:15" x14ac:dyDescent="0.15">
      <c r="I94" s="218"/>
      <c r="J94" s="218"/>
      <c r="K94" s="218"/>
      <c r="L94" s="218"/>
      <c r="M94" s="218"/>
      <c r="N94" s="218"/>
      <c r="O94" s="218"/>
    </row>
    <row r="95" spans="2:15" x14ac:dyDescent="0.15">
      <c r="I95" s="218"/>
      <c r="J95" s="218"/>
      <c r="K95" s="218"/>
      <c r="L95" s="218"/>
      <c r="M95" s="218"/>
      <c r="N95" s="218"/>
      <c r="O95" s="218"/>
    </row>
    <row r="96" spans="2:15" x14ac:dyDescent="0.15">
      <c r="I96" s="218"/>
      <c r="J96" s="218"/>
      <c r="K96" s="218"/>
      <c r="L96" s="218"/>
      <c r="M96" s="218"/>
      <c r="N96" s="218"/>
      <c r="O96" s="218"/>
    </row>
    <row r="97" spans="9:15" x14ac:dyDescent="0.15">
      <c r="I97" s="218"/>
      <c r="J97" s="218"/>
      <c r="K97" s="218"/>
      <c r="L97" s="218"/>
      <c r="M97" s="218"/>
      <c r="N97" s="218"/>
      <c r="O97" s="218"/>
    </row>
    <row r="98" spans="9:15" x14ac:dyDescent="0.15">
      <c r="I98" s="218"/>
      <c r="J98" s="218"/>
      <c r="K98" s="218"/>
      <c r="L98" s="218"/>
      <c r="M98" s="218"/>
      <c r="N98" s="218"/>
      <c r="O98" s="218"/>
    </row>
    <row r="99" spans="9:15" x14ac:dyDescent="0.15">
      <c r="I99" s="218"/>
      <c r="J99" s="218"/>
      <c r="K99" s="218"/>
      <c r="L99" s="218"/>
      <c r="M99" s="218"/>
      <c r="N99" s="218"/>
      <c r="O99" s="218"/>
    </row>
    <row r="100" spans="9:15" x14ac:dyDescent="0.15">
      <c r="I100" s="218"/>
      <c r="J100" s="218"/>
      <c r="K100" s="218"/>
      <c r="L100" s="218"/>
      <c r="M100" s="218"/>
      <c r="N100" s="218"/>
      <c r="O100" s="218"/>
    </row>
    <row r="101" spans="9:15" x14ac:dyDescent="0.15">
      <c r="I101" s="218"/>
      <c r="J101" s="218"/>
      <c r="K101" s="218"/>
      <c r="L101" s="218"/>
      <c r="M101" s="218"/>
      <c r="N101" s="218"/>
      <c r="O101" s="218"/>
    </row>
    <row r="102" spans="9:15" x14ac:dyDescent="0.15">
      <c r="I102" s="218"/>
      <c r="J102" s="218"/>
      <c r="K102" s="218"/>
      <c r="L102" s="218"/>
      <c r="M102" s="218"/>
      <c r="N102" s="218"/>
      <c r="O102" s="218"/>
    </row>
    <row r="103" spans="9:15" x14ac:dyDescent="0.15">
      <c r="I103" s="218"/>
      <c r="J103" s="218"/>
      <c r="K103" s="218"/>
      <c r="L103" s="218"/>
      <c r="M103" s="218"/>
      <c r="N103" s="218"/>
      <c r="O103" s="218"/>
    </row>
    <row r="104" spans="9:15" x14ac:dyDescent="0.15">
      <c r="I104" s="218"/>
      <c r="J104" s="218"/>
      <c r="K104" s="218"/>
      <c r="L104" s="218"/>
      <c r="M104" s="218"/>
      <c r="N104" s="218"/>
      <c r="O104" s="218"/>
    </row>
    <row r="105" spans="9:15" x14ac:dyDescent="0.15">
      <c r="I105" s="218"/>
      <c r="J105" s="218"/>
      <c r="K105" s="218"/>
      <c r="L105" s="218"/>
      <c r="M105" s="218"/>
      <c r="N105" s="218"/>
      <c r="O105" s="218"/>
    </row>
    <row r="106" spans="9:15" x14ac:dyDescent="0.15">
      <c r="I106" s="218"/>
      <c r="J106" s="218"/>
      <c r="K106" s="218"/>
      <c r="L106" s="218"/>
      <c r="M106" s="218"/>
      <c r="N106" s="218"/>
      <c r="O106" s="218"/>
    </row>
    <row r="107" spans="9:15" x14ac:dyDescent="0.15">
      <c r="I107" s="218"/>
      <c r="J107" s="218"/>
      <c r="K107" s="218"/>
      <c r="L107" s="218"/>
      <c r="M107" s="218"/>
      <c r="N107" s="218"/>
      <c r="O107" s="218"/>
    </row>
    <row r="108" spans="9:15" x14ac:dyDescent="0.15">
      <c r="I108" s="218"/>
      <c r="J108" s="218"/>
      <c r="K108" s="218"/>
      <c r="L108" s="218"/>
      <c r="M108" s="218"/>
      <c r="N108" s="218"/>
      <c r="O108" s="218"/>
    </row>
    <row r="109" spans="9:15" x14ac:dyDescent="0.15">
      <c r="I109" s="218"/>
      <c r="J109" s="218"/>
      <c r="K109" s="218"/>
      <c r="L109" s="218"/>
      <c r="M109" s="218"/>
      <c r="N109" s="218"/>
      <c r="O109" s="218"/>
    </row>
    <row r="110" spans="9:15" x14ac:dyDescent="0.15">
      <c r="I110" s="218"/>
      <c r="J110" s="218"/>
      <c r="K110" s="218"/>
      <c r="L110" s="218"/>
      <c r="M110" s="218"/>
      <c r="N110" s="218"/>
      <c r="O110" s="218"/>
    </row>
    <row r="111" spans="9:15" x14ac:dyDescent="0.15">
      <c r="I111" s="218"/>
      <c r="J111" s="218"/>
      <c r="K111" s="218"/>
      <c r="L111" s="218"/>
      <c r="M111" s="218"/>
      <c r="N111" s="218"/>
      <c r="O111" s="218"/>
    </row>
    <row r="112" spans="9:15" x14ac:dyDescent="0.15">
      <c r="I112" s="218"/>
      <c r="J112" s="218"/>
      <c r="K112" s="218"/>
      <c r="L112" s="218"/>
      <c r="M112" s="218"/>
      <c r="N112" s="218"/>
      <c r="O112" s="218"/>
    </row>
    <row r="113" spans="9:15" x14ac:dyDescent="0.15">
      <c r="I113" s="218"/>
      <c r="J113" s="218"/>
      <c r="K113" s="218"/>
      <c r="L113" s="218"/>
      <c r="M113" s="218"/>
      <c r="N113" s="218"/>
      <c r="O113" s="218"/>
    </row>
    <row r="114" spans="9:15" x14ac:dyDescent="0.15">
      <c r="I114" s="218"/>
      <c r="J114" s="218"/>
      <c r="K114" s="218"/>
      <c r="L114" s="218"/>
      <c r="M114" s="218"/>
      <c r="N114" s="218"/>
      <c r="O114" s="218"/>
    </row>
    <row r="115" spans="9:15" x14ac:dyDescent="0.15">
      <c r="I115" s="218"/>
      <c r="J115" s="218"/>
      <c r="K115" s="218"/>
      <c r="L115" s="218"/>
      <c r="M115" s="218"/>
      <c r="N115" s="218"/>
      <c r="O115" s="218"/>
    </row>
    <row r="116" spans="9:15" x14ac:dyDescent="0.15">
      <c r="I116" s="218"/>
      <c r="J116" s="218"/>
      <c r="K116" s="218"/>
      <c r="L116" s="218"/>
      <c r="M116" s="218"/>
      <c r="N116" s="218"/>
      <c r="O116" s="218"/>
    </row>
    <row r="117" spans="9:15" x14ac:dyDescent="0.15">
      <c r="I117" s="218"/>
      <c r="J117" s="218"/>
      <c r="K117" s="218"/>
      <c r="L117" s="218"/>
      <c r="M117" s="218"/>
      <c r="N117" s="218"/>
      <c r="O117" s="218"/>
    </row>
    <row r="118" spans="9:15" x14ac:dyDescent="0.15">
      <c r="I118" s="218"/>
      <c r="J118" s="218"/>
      <c r="K118" s="218"/>
      <c r="L118" s="218"/>
      <c r="M118" s="218"/>
      <c r="N118" s="218"/>
      <c r="O118" s="218"/>
    </row>
    <row r="119" spans="9:15" x14ac:dyDescent="0.15">
      <c r="I119" s="218"/>
      <c r="J119" s="218"/>
      <c r="K119" s="218"/>
      <c r="L119" s="218"/>
      <c r="M119" s="218"/>
      <c r="N119" s="218"/>
      <c r="O119" s="218"/>
    </row>
    <row r="120" spans="9:15" x14ac:dyDescent="0.15">
      <c r="I120" s="218"/>
      <c r="J120" s="218"/>
      <c r="K120" s="218"/>
      <c r="L120" s="218"/>
      <c r="M120" s="218"/>
      <c r="N120" s="218"/>
      <c r="O120" s="218"/>
    </row>
    <row r="121" spans="9:15" x14ac:dyDescent="0.15">
      <c r="I121" s="218"/>
      <c r="J121" s="218"/>
      <c r="K121" s="218"/>
      <c r="L121" s="218"/>
      <c r="M121" s="218"/>
      <c r="N121" s="218"/>
      <c r="O121" s="218"/>
    </row>
    <row r="122" spans="9:15" x14ac:dyDescent="0.15">
      <c r="I122" s="218"/>
      <c r="J122" s="218"/>
      <c r="K122" s="218"/>
      <c r="L122" s="218"/>
      <c r="M122" s="218"/>
      <c r="N122" s="218"/>
      <c r="O122" s="218"/>
    </row>
    <row r="123" spans="9:15" x14ac:dyDescent="0.15">
      <c r="I123" s="218"/>
      <c r="J123" s="218"/>
      <c r="K123" s="218"/>
      <c r="L123" s="218"/>
      <c r="M123" s="218"/>
      <c r="N123" s="218"/>
      <c r="O123" s="218"/>
    </row>
    <row r="124" spans="9:15" x14ac:dyDescent="0.15">
      <c r="I124" s="218"/>
      <c r="J124" s="218"/>
      <c r="K124" s="218"/>
      <c r="L124" s="218"/>
      <c r="M124" s="218"/>
      <c r="N124" s="218"/>
      <c r="O124" s="218"/>
    </row>
    <row r="125" spans="9:15" x14ac:dyDescent="0.15">
      <c r="I125" s="218"/>
      <c r="J125" s="218"/>
      <c r="K125" s="218"/>
      <c r="L125" s="218"/>
      <c r="M125" s="218"/>
      <c r="N125" s="218"/>
      <c r="O125" s="218"/>
    </row>
    <row r="126" spans="9:15" x14ac:dyDescent="0.15">
      <c r="I126" s="218"/>
      <c r="J126" s="218"/>
      <c r="K126" s="218"/>
      <c r="L126" s="218"/>
      <c r="M126" s="218"/>
      <c r="N126" s="218"/>
      <c r="O126" s="218"/>
    </row>
    <row r="127" spans="9:15" x14ac:dyDescent="0.15">
      <c r="I127" s="218"/>
      <c r="J127" s="218"/>
      <c r="K127" s="218"/>
      <c r="L127" s="218"/>
      <c r="M127" s="218"/>
      <c r="N127" s="218"/>
      <c r="O127" s="218"/>
    </row>
    <row r="128" spans="9:15" x14ac:dyDescent="0.15">
      <c r="I128" s="218"/>
      <c r="J128" s="218"/>
      <c r="K128" s="218"/>
      <c r="L128" s="218"/>
      <c r="M128" s="218"/>
      <c r="N128" s="218"/>
      <c r="O128" s="218"/>
    </row>
    <row r="129" spans="9:15" x14ac:dyDescent="0.15">
      <c r="I129" s="218"/>
      <c r="J129" s="218"/>
      <c r="K129" s="218"/>
      <c r="L129" s="218"/>
      <c r="M129" s="218"/>
      <c r="N129" s="218"/>
      <c r="O129" s="218"/>
    </row>
    <row r="130" spans="9:15" x14ac:dyDescent="0.15">
      <c r="I130" s="218"/>
      <c r="J130" s="218"/>
      <c r="K130" s="218"/>
      <c r="L130" s="218"/>
      <c r="M130" s="218"/>
      <c r="N130" s="218"/>
      <c r="O130" s="218"/>
    </row>
    <row r="131" spans="9:15" x14ac:dyDescent="0.15">
      <c r="I131" s="218"/>
      <c r="J131" s="218"/>
      <c r="K131" s="218"/>
      <c r="L131" s="218"/>
      <c r="M131" s="218"/>
      <c r="N131" s="218"/>
      <c r="O131" s="218"/>
    </row>
    <row r="132" spans="9:15" x14ac:dyDescent="0.15">
      <c r="I132" s="218"/>
      <c r="J132" s="218"/>
      <c r="K132" s="218"/>
      <c r="L132" s="218"/>
      <c r="M132" s="218"/>
      <c r="N132" s="218"/>
      <c r="O132" s="218"/>
    </row>
    <row r="133" spans="9:15" x14ac:dyDescent="0.15">
      <c r="I133" s="218"/>
      <c r="J133" s="218"/>
      <c r="K133" s="218"/>
      <c r="L133" s="218"/>
      <c r="M133" s="218"/>
      <c r="N133" s="218"/>
      <c r="O133" s="218"/>
    </row>
    <row r="134" spans="9:15" x14ac:dyDescent="0.15">
      <c r="I134" s="218"/>
      <c r="J134" s="218"/>
      <c r="K134" s="218"/>
      <c r="L134" s="218"/>
      <c r="M134" s="218"/>
      <c r="N134" s="218"/>
      <c r="O134" s="218"/>
    </row>
    <row r="135" spans="9:15" x14ac:dyDescent="0.15">
      <c r="I135" s="218"/>
      <c r="J135" s="218"/>
      <c r="K135" s="218"/>
      <c r="L135" s="218"/>
      <c r="M135" s="218"/>
      <c r="N135" s="218"/>
      <c r="O135" s="218"/>
    </row>
    <row r="136" spans="9:15" x14ac:dyDescent="0.15">
      <c r="I136" s="218"/>
      <c r="J136" s="218"/>
      <c r="K136" s="218"/>
      <c r="L136" s="218"/>
      <c r="M136" s="218"/>
      <c r="N136" s="218"/>
      <c r="O136" s="218"/>
    </row>
    <row r="137" spans="9:15" x14ac:dyDescent="0.15">
      <c r="I137" s="218"/>
      <c r="J137" s="218"/>
      <c r="K137" s="218"/>
      <c r="L137" s="218"/>
      <c r="M137" s="218"/>
      <c r="N137" s="218"/>
      <c r="O137" s="218"/>
    </row>
    <row r="138" spans="9:15" x14ac:dyDescent="0.15">
      <c r="I138" s="218"/>
      <c r="J138" s="218"/>
      <c r="K138" s="218"/>
      <c r="L138" s="218"/>
      <c r="M138" s="218"/>
      <c r="N138" s="218"/>
      <c r="O138" s="218"/>
    </row>
    <row r="139" spans="9:15" x14ac:dyDescent="0.15">
      <c r="I139" s="218"/>
      <c r="J139" s="218"/>
      <c r="K139" s="218"/>
      <c r="L139" s="218"/>
      <c r="M139" s="218"/>
      <c r="N139" s="218"/>
      <c r="O139" s="218"/>
    </row>
    <row r="140" spans="9:15" x14ac:dyDescent="0.15">
      <c r="I140" s="218"/>
      <c r="J140" s="218"/>
      <c r="K140" s="218"/>
      <c r="L140" s="218"/>
      <c r="M140" s="218"/>
      <c r="N140" s="218"/>
    </row>
    <row r="141" spans="9:15" x14ac:dyDescent="0.15">
      <c r="I141" s="218"/>
      <c r="J141" s="218"/>
      <c r="K141" s="218"/>
      <c r="L141" s="218"/>
      <c r="M141" s="218"/>
      <c r="N141" s="218"/>
    </row>
    <row r="142" spans="9:15" x14ac:dyDescent="0.15">
      <c r="I142" s="218"/>
      <c r="J142" s="218"/>
      <c r="K142" s="218"/>
      <c r="L142" s="218"/>
      <c r="M142" s="218"/>
      <c r="N142" s="218"/>
    </row>
    <row r="143" spans="9:15" x14ac:dyDescent="0.15">
      <c r="I143" s="218"/>
      <c r="J143" s="218"/>
      <c r="K143" s="218"/>
      <c r="L143" s="218"/>
      <c r="M143" s="218"/>
      <c r="N143" s="218"/>
    </row>
    <row r="144" spans="9:15" x14ac:dyDescent="0.15">
      <c r="I144" s="218"/>
      <c r="J144" s="218"/>
      <c r="K144" s="218"/>
      <c r="L144" s="218"/>
      <c r="M144" s="218"/>
      <c r="N144" s="218"/>
    </row>
    <row r="145" spans="9:14" x14ac:dyDescent="0.15">
      <c r="I145" s="218"/>
      <c r="J145" s="218"/>
      <c r="K145" s="218"/>
      <c r="L145" s="218"/>
      <c r="M145" s="218"/>
      <c r="N145" s="218"/>
    </row>
    <row r="146" spans="9:14" x14ac:dyDescent="0.15">
      <c r="I146" s="218"/>
      <c r="J146" s="218"/>
      <c r="K146" s="218"/>
      <c r="L146" s="218"/>
      <c r="M146" s="218"/>
      <c r="N146" s="218"/>
    </row>
    <row r="147" spans="9:14" x14ac:dyDescent="0.15">
      <c r="I147" s="218"/>
      <c r="J147" s="218"/>
      <c r="K147" s="218"/>
      <c r="L147" s="218"/>
      <c r="M147" s="218"/>
      <c r="N147" s="218"/>
    </row>
    <row r="148" spans="9:14" x14ac:dyDescent="0.15">
      <c r="I148" s="218"/>
      <c r="J148" s="218"/>
      <c r="K148" s="218"/>
      <c r="L148" s="218"/>
      <c r="M148" s="218"/>
      <c r="N148" s="218"/>
    </row>
    <row r="149" spans="9:14" x14ac:dyDescent="0.15">
      <c r="I149" s="218"/>
      <c r="J149" s="218"/>
      <c r="K149" s="218"/>
      <c r="L149" s="218"/>
      <c r="M149" s="218"/>
      <c r="N149" s="218"/>
    </row>
    <row r="150" spans="9:14" x14ac:dyDescent="0.15">
      <c r="I150" s="218"/>
      <c r="J150" s="218"/>
      <c r="K150" s="218"/>
      <c r="L150" s="218"/>
      <c r="M150" s="218"/>
      <c r="N150" s="218"/>
    </row>
    <row r="151" spans="9:14" x14ac:dyDescent="0.15">
      <c r="I151" s="218"/>
      <c r="J151" s="218"/>
      <c r="K151" s="218"/>
      <c r="L151" s="218"/>
      <c r="M151" s="218"/>
      <c r="N151" s="218"/>
    </row>
    <row r="152" spans="9:14" x14ac:dyDescent="0.15">
      <c r="I152" s="218"/>
      <c r="J152" s="218"/>
      <c r="K152" s="218"/>
      <c r="L152" s="218"/>
      <c r="M152" s="218"/>
      <c r="N152" s="218"/>
    </row>
    <row r="153" spans="9:14" x14ac:dyDescent="0.15">
      <c r="I153" s="218"/>
      <c r="J153" s="218"/>
      <c r="K153" s="218"/>
      <c r="L153" s="218"/>
      <c r="M153" s="218"/>
      <c r="N153" s="218"/>
    </row>
    <row r="154" spans="9:14" x14ac:dyDescent="0.15">
      <c r="I154" s="218"/>
      <c r="J154" s="218"/>
      <c r="K154" s="218"/>
      <c r="L154" s="218"/>
      <c r="M154" s="218"/>
      <c r="N154" s="218"/>
    </row>
    <row r="155" spans="9:14" x14ac:dyDescent="0.15">
      <c r="J155" s="218"/>
      <c r="K155" s="218"/>
      <c r="L155" s="218"/>
      <c r="M155" s="218"/>
      <c r="N155" s="218"/>
    </row>
    <row r="156" spans="9:14" x14ac:dyDescent="0.15">
      <c r="J156" s="218"/>
      <c r="K156" s="218"/>
      <c r="L156" s="218"/>
      <c r="M156" s="218"/>
      <c r="N156" s="218"/>
    </row>
    <row r="173" spans="15:15" x14ac:dyDescent="0.15">
      <c r="O173" s="218"/>
    </row>
    <row r="174" spans="15:15" x14ac:dyDescent="0.15">
      <c r="O174" s="218"/>
    </row>
    <row r="175" spans="15:15" x14ac:dyDescent="0.15">
      <c r="O175" s="218"/>
    </row>
    <row r="176" spans="15:15" x14ac:dyDescent="0.15">
      <c r="O176" s="218"/>
    </row>
    <row r="177" spans="15:15" x14ac:dyDescent="0.15">
      <c r="O177" s="218"/>
    </row>
    <row r="178" spans="15:15" x14ac:dyDescent="0.15">
      <c r="O178" s="218"/>
    </row>
    <row r="179" spans="15:15" x14ac:dyDescent="0.15">
      <c r="O179" s="218"/>
    </row>
    <row r="180" spans="15:15" x14ac:dyDescent="0.15">
      <c r="O180" s="218"/>
    </row>
    <row r="181" spans="15:15" x14ac:dyDescent="0.15">
      <c r="O181" s="218"/>
    </row>
    <row r="182" spans="15:15" x14ac:dyDescent="0.15">
      <c r="O182" s="218"/>
    </row>
    <row r="183" spans="15:15" x14ac:dyDescent="0.15">
      <c r="O183" s="218"/>
    </row>
    <row r="184" spans="15:15" x14ac:dyDescent="0.15">
      <c r="O184" s="218"/>
    </row>
    <row r="185" spans="15:15" x14ac:dyDescent="0.15">
      <c r="O185" s="218"/>
    </row>
    <row r="186" spans="15:15" x14ac:dyDescent="0.15">
      <c r="O186" s="218"/>
    </row>
    <row r="187" spans="15:15" x14ac:dyDescent="0.15">
      <c r="O187" s="218"/>
    </row>
    <row r="188" spans="15:15" x14ac:dyDescent="0.15">
      <c r="O188" s="218"/>
    </row>
    <row r="189" spans="15:15" x14ac:dyDescent="0.15">
      <c r="O189" s="218"/>
    </row>
    <row r="190" spans="15:15" x14ac:dyDescent="0.15">
      <c r="O190" s="218"/>
    </row>
    <row r="191" spans="15:15" x14ac:dyDescent="0.15">
      <c r="O191" s="218"/>
    </row>
    <row r="192" spans="15:15" x14ac:dyDescent="0.15">
      <c r="O192" s="218"/>
    </row>
  </sheetData>
  <mergeCells count="70">
    <mergeCell ref="I57:J57"/>
    <mergeCell ref="K45:L45"/>
    <mergeCell ref="K48:L48"/>
    <mergeCell ref="K49:L49"/>
    <mergeCell ref="K57:L57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8:U18"/>
    <mergeCell ref="T14:U14"/>
    <mergeCell ref="P57:Q57"/>
    <mergeCell ref="Q45:Q49"/>
    <mergeCell ref="Q51:Q55"/>
    <mergeCell ref="P45:P56"/>
    <mergeCell ref="Q37:R37"/>
    <mergeCell ref="M4:M5"/>
    <mergeCell ref="N4:N5"/>
    <mergeCell ref="T7:U7"/>
    <mergeCell ref="K50:L50"/>
    <mergeCell ref="T8:U8"/>
    <mergeCell ref="T6:U6"/>
    <mergeCell ref="T17:U17"/>
    <mergeCell ref="K38:L38"/>
    <mergeCell ref="K36:L36"/>
    <mergeCell ref="K37:L37"/>
    <mergeCell ref="K39:L39"/>
    <mergeCell ref="K42:L42"/>
    <mergeCell ref="P38:P44"/>
    <mergeCell ref="K43:L43"/>
    <mergeCell ref="K44:L44"/>
    <mergeCell ref="K46:L46"/>
    <mergeCell ref="B54:B57"/>
    <mergeCell ref="B50:B53"/>
    <mergeCell ref="B5:B7"/>
    <mergeCell ref="B12:B16"/>
    <mergeCell ref="B21:B24"/>
    <mergeCell ref="B17:B20"/>
    <mergeCell ref="B28:B38"/>
    <mergeCell ref="B8:B11"/>
    <mergeCell ref="T4:U4"/>
    <mergeCell ref="T5:U5"/>
    <mergeCell ref="I51:I56"/>
    <mergeCell ref="K51:L51"/>
    <mergeCell ref="K52:L52"/>
    <mergeCell ref="K53:L53"/>
    <mergeCell ref="K54:L54"/>
    <mergeCell ref="K55:L55"/>
    <mergeCell ref="K56:L56"/>
    <mergeCell ref="K47:L47"/>
    <mergeCell ref="K40:L40"/>
    <mergeCell ref="I29:I32"/>
    <mergeCell ref="I25:I28"/>
    <mergeCell ref="I17:I20"/>
    <mergeCell ref="I6:I12"/>
    <mergeCell ref="I21:I24"/>
    <mergeCell ref="K35:L35"/>
    <mergeCell ref="K41:L41"/>
    <mergeCell ref="B39:B49"/>
    <mergeCell ref="J4:J5"/>
    <mergeCell ref="I4:I5"/>
    <mergeCell ref="I47:I50"/>
    <mergeCell ref="I36:I42"/>
    <mergeCell ref="I43:I46"/>
    <mergeCell ref="I13:I16"/>
  </mergeCells>
  <phoneticPr fontId="5"/>
  <pageMargins left="0.7" right="0.7" top="0.75" bottom="0.75" header="0.3" footer="0.3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AM192"/>
  <sheetViews>
    <sheetView zoomScale="75" zoomScaleNormal="75" workbookViewId="0"/>
  </sheetViews>
  <sheetFormatPr defaultColWidth="8.875" defaultRowHeight="13.5" x14ac:dyDescent="0.15"/>
  <cols>
    <col min="1" max="1" width="1.625" style="88" customWidth="1"/>
    <col min="2" max="2" width="3.625" style="88" customWidth="1"/>
    <col min="3" max="3" width="19.5" style="88" customWidth="1"/>
    <col min="4" max="7" width="8.625" style="88" customWidth="1"/>
    <col min="8" max="8" width="2.375" style="218" customWidth="1"/>
    <col min="9" max="9" width="3.625" style="88" customWidth="1"/>
    <col min="10" max="10" width="15.625" style="88" customWidth="1"/>
    <col min="11" max="14" width="8.625" style="88" customWidth="1"/>
    <col min="15" max="15" width="3.5" style="88" customWidth="1"/>
    <col min="16" max="16" width="15.625" style="187" customWidth="1"/>
    <col min="17" max="17" width="8.625" style="88" customWidth="1"/>
    <col min="18" max="18" width="8.625" style="89" customWidth="1"/>
    <col min="19" max="21" width="8.625" style="88" customWidth="1"/>
    <col min="22" max="22" width="10.625" style="89" customWidth="1"/>
    <col min="23" max="16384" width="8.875" style="88"/>
  </cols>
  <sheetData>
    <row r="1" spans="2:22" ht="20.25" customHeight="1" x14ac:dyDescent="0.15"/>
    <row r="2" spans="2:22" ht="20.25" customHeight="1" x14ac:dyDescent="0.15">
      <c r="B2" s="1" t="s">
        <v>467</v>
      </c>
      <c r="C2" s="90"/>
      <c r="D2" s="13"/>
      <c r="E2" s="13"/>
      <c r="F2" s="90"/>
      <c r="G2" s="161"/>
      <c r="H2" s="170"/>
      <c r="I2" s="161"/>
      <c r="J2" s="161"/>
      <c r="K2" s="161"/>
      <c r="L2" s="161"/>
      <c r="M2" s="161"/>
      <c r="N2" s="161"/>
      <c r="O2" s="13"/>
    </row>
    <row r="3" spans="2:22" ht="20.25" customHeight="1" thickBot="1" x14ac:dyDescent="0.2">
      <c r="B3" s="88" t="s">
        <v>235</v>
      </c>
      <c r="I3" s="13" t="s">
        <v>236</v>
      </c>
      <c r="P3" s="88" t="s">
        <v>256</v>
      </c>
    </row>
    <row r="4" spans="2:22" ht="20.25" customHeight="1" x14ac:dyDescent="0.15">
      <c r="B4" s="311" t="s">
        <v>89</v>
      </c>
      <c r="C4" s="207" t="s">
        <v>196</v>
      </c>
      <c r="D4" s="207" t="s">
        <v>156</v>
      </c>
      <c r="E4" s="207" t="s">
        <v>157</v>
      </c>
      <c r="F4" s="382" t="s">
        <v>24</v>
      </c>
      <c r="G4" s="195" t="s">
        <v>158</v>
      </c>
      <c r="H4" s="208"/>
      <c r="I4" s="827" t="s">
        <v>89</v>
      </c>
      <c r="J4" s="825" t="s">
        <v>200</v>
      </c>
      <c r="K4" s="211" t="s">
        <v>197</v>
      </c>
      <c r="L4" s="211" t="s">
        <v>159</v>
      </c>
      <c r="M4" s="858" t="s">
        <v>24</v>
      </c>
      <c r="N4" s="860" t="s">
        <v>158</v>
      </c>
      <c r="O4" s="230"/>
      <c r="P4" s="312" t="s">
        <v>203</v>
      </c>
      <c r="Q4" s="313" t="s">
        <v>204</v>
      </c>
      <c r="R4" s="313" t="s">
        <v>205</v>
      </c>
      <c r="S4" s="313" t="s">
        <v>206</v>
      </c>
      <c r="T4" s="838" t="s">
        <v>207</v>
      </c>
      <c r="U4" s="748"/>
      <c r="V4" s="314" t="s">
        <v>208</v>
      </c>
    </row>
    <row r="5" spans="2:22" ht="20.25" customHeight="1" x14ac:dyDescent="0.15">
      <c r="B5" s="710" t="s">
        <v>191</v>
      </c>
      <c r="C5" s="105"/>
      <c r="D5" s="105"/>
      <c r="E5" s="415" t="s">
        <v>394</v>
      </c>
      <c r="F5" s="105"/>
      <c r="G5" s="196">
        <f>D5*F5</f>
        <v>0</v>
      </c>
      <c r="H5" s="209"/>
      <c r="I5" s="828"/>
      <c r="J5" s="826"/>
      <c r="K5" s="213" t="s">
        <v>161</v>
      </c>
      <c r="L5" s="213" t="s">
        <v>316</v>
      </c>
      <c r="M5" s="859"/>
      <c r="N5" s="861"/>
      <c r="O5" s="230"/>
      <c r="P5" s="413" t="s">
        <v>484</v>
      </c>
      <c r="Q5" s="471"/>
      <c r="R5" s="414" t="s">
        <v>485</v>
      </c>
      <c r="S5" s="471"/>
      <c r="T5" s="816" t="s">
        <v>486</v>
      </c>
      <c r="U5" s="839"/>
      <c r="V5" s="416">
        <v>5806.666666666667</v>
      </c>
    </row>
    <row r="6" spans="2:22" ht="20.25" customHeight="1" x14ac:dyDescent="0.15">
      <c r="B6" s="711"/>
      <c r="C6" s="87"/>
      <c r="D6" s="87"/>
      <c r="E6" s="98" t="s">
        <v>160</v>
      </c>
      <c r="F6" s="87"/>
      <c r="G6" s="197">
        <f>D6*F6</f>
        <v>0</v>
      </c>
      <c r="H6" s="209"/>
      <c r="I6" s="854" t="s">
        <v>199</v>
      </c>
      <c r="J6" s="87" t="s">
        <v>313</v>
      </c>
      <c r="K6" s="388">
        <v>8.4</v>
      </c>
      <c r="L6" s="388">
        <v>13</v>
      </c>
      <c r="M6" s="388">
        <v>84.7</v>
      </c>
      <c r="N6" s="367">
        <f t="shared" ref="N6:N11" si="0">K6*L6*M6</f>
        <v>9249.24</v>
      </c>
      <c r="O6" s="230"/>
      <c r="P6" s="413"/>
      <c r="Q6" s="471"/>
      <c r="R6" s="414"/>
      <c r="S6" s="471"/>
      <c r="T6" s="816"/>
      <c r="U6" s="839"/>
      <c r="V6" s="416"/>
    </row>
    <row r="7" spans="2:22" ht="20.25" customHeight="1" thickBot="1" x14ac:dyDescent="0.2">
      <c r="B7" s="824"/>
      <c r="C7" s="198" t="s">
        <v>162</v>
      </c>
      <c r="D7" s="198"/>
      <c r="E7" s="198"/>
      <c r="F7" s="198"/>
      <c r="G7" s="199">
        <f>SUM(G5:G6)</f>
        <v>0</v>
      </c>
      <c r="H7" s="209"/>
      <c r="I7" s="855"/>
      <c r="J7" s="87" t="s">
        <v>314</v>
      </c>
      <c r="K7" s="388">
        <v>2.6</v>
      </c>
      <c r="L7" s="388">
        <f>5+6.5</f>
        <v>11.5</v>
      </c>
      <c r="M7" s="388">
        <v>84.7</v>
      </c>
      <c r="N7" s="367">
        <f t="shared" si="0"/>
        <v>2532.5300000000002</v>
      </c>
      <c r="O7" s="230"/>
      <c r="P7" s="315"/>
      <c r="Q7" s="193"/>
      <c r="R7" s="224"/>
      <c r="S7" s="193"/>
      <c r="T7" s="862"/>
      <c r="U7" s="863"/>
      <c r="V7" s="219"/>
    </row>
    <row r="8" spans="2:22" ht="20.25" customHeight="1" thickTop="1" x14ac:dyDescent="0.15">
      <c r="B8" s="823" t="s">
        <v>189</v>
      </c>
      <c r="C8" s="87" t="s">
        <v>525</v>
      </c>
      <c r="D8" s="87">
        <v>10</v>
      </c>
      <c r="E8" s="98" t="s">
        <v>299</v>
      </c>
      <c r="F8" s="87">
        <v>3840</v>
      </c>
      <c r="G8" s="197">
        <f>D8*F8</f>
        <v>38400</v>
      </c>
      <c r="H8" s="209"/>
      <c r="I8" s="855"/>
      <c r="J8" s="87" t="s">
        <v>322</v>
      </c>
      <c r="K8" s="388">
        <v>1.2</v>
      </c>
      <c r="L8" s="388">
        <v>3</v>
      </c>
      <c r="M8" s="388">
        <v>84.7</v>
      </c>
      <c r="N8" s="367">
        <f t="shared" si="0"/>
        <v>304.91999999999996</v>
      </c>
      <c r="O8" s="230"/>
      <c r="P8" s="315"/>
      <c r="Q8" s="193"/>
      <c r="R8" s="224"/>
      <c r="S8" s="193"/>
      <c r="T8" s="862"/>
      <c r="U8" s="863"/>
      <c r="V8" s="219"/>
    </row>
    <row r="9" spans="2:22" ht="20.25" customHeight="1" x14ac:dyDescent="0.15">
      <c r="B9" s="711"/>
      <c r="C9" s="87"/>
      <c r="D9" s="87">
        <v>0</v>
      </c>
      <c r="E9" s="98" t="s">
        <v>160</v>
      </c>
      <c r="F9" s="87"/>
      <c r="G9" s="197">
        <f>D9*F9</f>
        <v>0</v>
      </c>
      <c r="H9" s="209"/>
      <c r="I9" s="855"/>
      <c r="J9" s="375" t="s">
        <v>317</v>
      </c>
      <c r="K9" s="460">
        <v>4.3</v>
      </c>
      <c r="L9" s="460">
        <v>5</v>
      </c>
      <c r="M9" s="388">
        <v>84.7</v>
      </c>
      <c r="N9" s="376">
        <f t="shared" si="0"/>
        <v>1821.05</v>
      </c>
      <c r="O9" s="230"/>
      <c r="P9" s="315"/>
      <c r="Q9" s="193"/>
      <c r="R9" s="224"/>
      <c r="S9" s="193"/>
      <c r="T9" s="862"/>
      <c r="U9" s="863"/>
      <c r="V9" s="219"/>
    </row>
    <row r="10" spans="2:22" ht="20.25" customHeight="1" x14ac:dyDescent="0.15">
      <c r="B10" s="711"/>
      <c r="C10" s="87"/>
      <c r="D10" s="87"/>
      <c r="E10" s="98" t="s">
        <v>160</v>
      </c>
      <c r="F10" s="87"/>
      <c r="G10" s="197">
        <f>D10*F10</f>
        <v>0</v>
      </c>
      <c r="H10" s="209"/>
      <c r="I10" s="855"/>
      <c r="J10" s="378"/>
      <c r="K10" s="461"/>
      <c r="L10" s="461"/>
      <c r="M10" s="388"/>
      <c r="N10" s="379"/>
      <c r="O10" s="230"/>
      <c r="P10" s="315"/>
      <c r="Q10" s="193"/>
      <c r="R10" s="224"/>
      <c r="S10" s="193"/>
      <c r="T10" s="377"/>
      <c r="U10" s="365"/>
      <c r="V10" s="219"/>
    </row>
    <row r="11" spans="2:22" ht="20.25" customHeight="1" thickBot="1" x14ac:dyDescent="0.2">
      <c r="B11" s="824"/>
      <c r="C11" s="200" t="s">
        <v>163</v>
      </c>
      <c r="D11" s="201"/>
      <c r="E11" s="201"/>
      <c r="F11" s="201"/>
      <c r="G11" s="202">
        <f>SUM(G8:G10)</f>
        <v>38400</v>
      </c>
      <c r="H11" s="209"/>
      <c r="I11" s="855"/>
      <c r="J11" s="380" t="s">
        <v>319</v>
      </c>
      <c r="K11" s="462">
        <v>1.2</v>
      </c>
      <c r="L11" s="462">
        <v>3.5</v>
      </c>
      <c r="M11" s="388">
        <v>84.7</v>
      </c>
      <c r="N11" s="381">
        <f t="shared" si="0"/>
        <v>355.74</v>
      </c>
      <c r="O11" s="230"/>
      <c r="P11" s="315"/>
      <c r="Q11" s="193"/>
      <c r="R11" s="224"/>
      <c r="S11" s="193"/>
      <c r="T11" s="862"/>
      <c r="U11" s="863"/>
      <c r="V11" s="219"/>
    </row>
    <row r="12" spans="2:22" ht="20.25" customHeight="1" thickTop="1" thickBot="1" x14ac:dyDescent="0.2">
      <c r="B12" s="823" t="s">
        <v>190</v>
      </c>
      <c r="C12" s="105" t="s">
        <v>526</v>
      </c>
      <c r="D12" s="105">
        <v>400</v>
      </c>
      <c r="E12" s="98" t="s">
        <v>310</v>
      </c>
      <c r="F12" s="87">
        <f>3220/20</f>
        <v>161</v>
      </c>
      <c r="G12" s="197">
        <f>D12*F12</f>
        <v>64400</v>
      </c>
      <c r="H12" s="209"/>
      <c r="I12" s="856"/>
      <c r="J12" s="200" t="s">
        <v>261</v>
      </c>
      <c r="K12" s="366">
        <f>SUM(K6:K9)</f>
        <v>16.5</v>
      </c>
      <c r="L12" s="366">
        <f>SUM(L6:L11)</f>
        <v>36</v>
      </c>
      <c r="M12" s="366"/>
      <c r="N12" s="368">
        <f>SUM(N6:N11)</f>
        <v>14263.48</v>
      </c>
      <c r="O12" s="230"/>
      <c r="P12" s="315"/>
      <c r="Q12" s="193"/>
      <c r="R12" s="224"/>
      <c r="S12" s="193"/>
      <c r="T12" s="862"/>
      <c r="U12" s="863"/>
      <c r="V12" s="219"/>
    </row>
    <row r="13" spans="2:22" ht="20.25" customHeight="1" thickTop="1" x14ac:dyDescent="0.15">
      <c r="B13" s="711"/>
      <c r="C13" s="87"/>
      <c r="D13" s="87"/>
      <c r="E13" s="98"/>
      <c r="F13" s="87"/>
      <c r="G13" s="197">
        <f>D13*F13</f>
        <v>0</v>
      </c>
      <c r="H13" s="209"/>
      <c r="I13" s="835" t="s">
        <v>48</v>
      </c>
      <c r="J13" s="87" t="s">
        <v>315</v>
      </c>
      <c r="K13" s="388">
        <v>3.7</v>
      </c>
      <c r="L13" s="388">
        <v>3.1</v>
      </c>
      <c r="M13" s="388">
        <v>158.4</v>
      </c>
      <c r="N13" s="367">
        <f>K13*L13*M13</f>
        <v>1816.8480000000002</v>
      </c>
      <c r="O13" s="230"/>
      <c r="P13" s="315"/>
      <c r="Q13" s="193"/>
      <c r="R13" s="224"/>
      <c r="S13" s="193"/>
      <c r="T13" s="862"/>
      <c r="U13" s="863"/>
      <c r="V13" s="219"/>
    </row>
    <row r="14" spans="2:22" ht="20.25" customHeight="1" x14ac:dyDescent="0.15">
      <c r="B14" s="711"/>
      <c r="C14" s="87"/>
      <c r="D14" s="87"/>
      <c r="E14" s="98"/>
      <c r="F14" s="87"/>
      <c r="G14" s="197">
        <f>D14*F14</f>
        <v>0</v>
      </c>
      <c r="H14" s="209"/>
      <c r="I14" s="836"/>
      <c r="J14" s="87"/>
      <c r="K14" s="214"/>
      <c r="L14" s="214"/>
      <c r="M14" s="214"/>
      <c r="N14" s="367">
        <f>K14*L14*M14</f>
        <v>0</v>
      </c>
      <c r="O14" s="230"/>
      <c r="P14" s="315"/>
      <c r="Q14" s="193"/>
      <c r="R14" s="224"/>
      <c r="S14" s="193"/>
      <c r="T14" s="862"/>
      <c r="U14" s="863"/>
      <c r="V14" s="219"/>
    </row>
    <row r="15" spans="2:22" ht="20.25" customHeight="1" x14ac:dyDescent="0.15">
      <c r="B15" s="711"/>
      <c r="C15" s="87"/>
      <c r="D15" s="87"/>
      <c r="E15" s="87"/>
      <c r="F15" s="87"/>
      <c r="G15" s="197">
        <f>D15*F15</f>
        <v>0</v>
      </c>
      <c r="H15" s="209"/>
      <c r="I15" s="836"/>
      <c r="J15" s="87"/>
      <c r="K15" s="214"/>
      <c r="L15" s="214"/>
      <c r="M15" s="214"/>
      <c r="N15" s="367">
        <f>K15*L15*M15</f>
        <v>0</v>
      </c>
      <c r="O15" s="230"/>
      <c r="P15" s="315"/>
      <c r="Q15" s="193"/>
      <c r="R15" s="224"/>
      <c r="S15" s="193"/>
      <c r="T15" s="862"/>
      <c r="U15" s="863"/>
      <c r="V15" s="219"/>
    </row>
    <row r="16" spans="2:22" ht="20.25" customHeight="1" thickBot="1" x14ac:dyDescent="0.2">
      <c r="B16" s="824"/>
      <c r="C16" s="200" t="s">
        <v>163</v>
      </c>
      <c r="D16" s="201"/>
      <c r="E16" s="201"/>
      <c r="F16" s="201"/>
      <c r="G16" s="202">
        <f>SUM(G12:G15)</f>
        <v>64400</v>
      </c>
      <c r="H16" s="209"/>
      <c r="I16" s="837"/>
      <c r="J16" s="316" t="s">
        <v>261</v>
      </c>
      <c r="K16" s="215">
        <f>SUM(K13:K15)</f>
        <v>3.7</v>
      </c>
      <c r="L16" s="215">
        <f>SUM(L13:L15)</f>
        <v>3.1</v>
      </c>
      <c r="M16" s="215"/>
      <c r="N16" s="369">
        <f>SUM(N13:N15)</f>
        <v>1816.8480000000002</v>
      </c>
      <c r="O16" s="230"/>
      <c r="P16" s="315"/>
      <c r="Q16" s="193"/>
      <c r="R16" s="224"/>
      <c r="S16" s="193"/>
      <c r="T16" s="862"/>
      <c r="U16" s="863"/>
      <c r="V16" s="219"/>
    </row>
    <row r="17" spans="2:39" ht="20.25" customHeight="1" thickTop="1" x14ac:dyDescent="0.15">
      <c r="B17" s="823" t="s">
        <v>192</v>
      </c>
      <c r="C17" s="87"/>
      <c r="D17" s="87"/>
      <c r="E17" s="98" t="s">
        <v>164</v>
      </c>
      <c r="F17" s="87"/>
      <c r="G17" s="197">
        <f>D17*F17</f>
        <v>0</v>
      </c>
      <c r="H17" s="209"/>
      <c r="I17" s="835" t="s">
        <v>201</v>
      </c>
      <c r="J17" s="87"/>
      <c r="K17" s="214">
        <v>0</v>
      </c>
      <c r="L17" s="214"/>
      <c r="M17" s="214"/>
      <c r="N17" s="367">
        <f>K17*L17*M17</f>
        <v>0</v>
      </c>
      <c r="O17" s="230"/>
      <c r="P17" s="315"/>
      <c r="Q17" s="193"/>
      <c r="R17" s="224"/>
      <c r="S17" s="193"/>
      <c r="T17" s="862"/>
      <c r="U17" s="863"/>
      <c r="V17" s="219"/>
    </row>
    <row r="18" spans="2:39" ht="20.25" customHeight="1" x14ac:dyDescent="0.15">
      <c r="B18" s="711"/>
      <c r="C18" s="87"/>
      <c r="D18" s="87"/>
      <c r="E18" s="98"/>
      <c r="F18" s="87"/>
      <c r="G18" s="197">
        <f>D18*F18</f>
        <v>0</v>
      </c>
      <c r="H18" s="209"/>
      <c r="I18" s="836"/>
      <c r="J18" s="87"/>
      <c r="K18" s="214"/>
      <c r="L18" s="214"/>
      <c r="M18" s="214"/>
      <c r="N18" s="367">
        <f>K18*L18*M18</f>
        <v>0</v>
      </c>
      <c r="O18" s="230"/>
      <c r="P18" s="315"/>
      <c r="Q18" s="193"/>
      <c r="R18" s="224"/>
      <c r="S18" s="193"/>
      <c r="T18" s="862"/>
      <c r="U18" s="863"/>
      <c r="V18" s="219"/>
    </row>
    <row r="19" spans="2:39" ht="20.25" customHeight="1" x14ac:dyDescent="0.15">
      <c r="B19" s="711"/>
      <c r="C19" s="87"/>
      <c r="D19" s="87"/>
      <c r="E19" s="87"/>
      <c r="F19" s="87"/>
      <c r="G19" s="197">
        <f>D19*F19</f>
        <v>0</v>
      </c>
      <c r="H19" s="209"/>
      <c r="I19" s="836"/>
      <c r="J19" s="87"/>
      <c r="K19" s="214"/>
      <c r="L19" s="214"/>
      <c r="M19" s="214"/>
      <c r="N19" s="367">
        <f>K19*L19*M19</f>
        <v>0</v>
      </c>
      <c r="O19" s="230"/>
      <c r="P19" s="315"/>
      <c r="Q19" s="193"/>
      <c r="R19" s="224"/>
      <c r="S19" s="193"/>
      <c r="T19" s="862"/>
      <c r="U19" s="863"/>
      <c r="V19" s="219"/>
    </row>
    <row r="20" spans="2:39" ht="20.25" customHeight="1" thickBot="1" x14ac:dyDescent="0.2">
      <c r="B20" s="824"/>
      <c r="C20" s="200" t="s">
        <v>163</v>
      </c>
      <c r="D20" s="201"/>
      <c r="E20" s="201"/>
      <c r="F20" s="201"/>
      <c r="G20" s="202">
        <f>SUM(G17:G19)</f>
        <v>0</v>
      </c>
      <c r="H20" s="209"/>
      <c r="I20" s="837"/>
      <c r="J20" s="316" t="s">
        <v>261</v>
      </c>
      <c r="K20" s="215">
        <f>SUM(K17:K19)</f>
        <v>0</v>
      </c>
      <c r="L20" s="216">
        <f>SUM(L17:L19)</f>
        <v>0</v>
      </c>
      <c r="M20" s="217"/>
      <c r="N20" s="369">
        <f>SUM(N17:N19)</f>
        <v>0</v>
      </c>
      <c r="O20" s="230"/>
      <c r="P20" s="315"/>
      <c r="Q20" s="193"/>
      <c r="R20" s="224"/>
      <c r="S20" s="193"/>
      <c r="T20" s="862"/>
      <c r="U20" s="863"/>
      <c r="V20" s="219"/>
    </row>
    <row r="21" spans="2:39" ht="20.25" customHeight="1" thickTop="1" thickBot="1" x14ac:dyDescent="0.2">
      <c r="B21" s="823" t="s">
        <v>193</v>
      </c>
      <c r="C21" s="87" t="s">
        <v>527</v>
      </c>
      <c r="D21" s="87">
        <f>131*4.3</f>
        <v>563.29999999999995</v>
      </c>
      <c r="E21" s="98" t="s">
        <v>302</v>
      </c>
      <c r="F21" s="87">
        <f>510/20</f>
        <v>25.5</v>
      </c>
      <c r="G21" s="197">
        <f>D21*F21</f>
        <v>14364.15</v>
      </c>
      <c r="H21" s="209"/>
      <c r="I21" s="835" t="s">
        <v>202</v>
      </c>
      <c r="J21" s="87" t="s">
        <v>318</v>
      </c>
      <c r="K21" s="214">
        <v>28.2</v>
      </c>
      <c r="L21" s="214">
        <v>6.1</v>
      </c>
      <c r="M21" s="388">
        <v>102.1</v>
      </c>
      <c r="N21" s="367">
        <f>K21*L21*M21</f>
        <v>17563.241999999998</v>
      </c>
      <c r="O21" s="230"/>
      <c r="P21" s="220" t="s">
        <v>29</v>
      </c>
      <c r="Q21" s="221"/>
      <c r="R21" s="221"/>
      <c r="S21" s="221"/>
      <c r="T21" s="877"/>
      <c r="U21" s="878"/>
      <c r="V21" s="222">
        <f>SUM(V5:V20)</f>
        <v>5806.666666666667</v>
      </c>
    </row>
    <row r="22" spans="2:39" ht="20.25" customHeight="1" x14ac:dyDescent="0.15">
      <c r="B22" s="711"/>
      <c r="C22" s="87"/>
      <c r="D22" s="87"/>
      <c r="E22" s="98"/>
      <c r="F22" s="87"/>
      <c r="G22" s="197">
        <f>D22*F22</f>
        <v>0</v>
      </c>
      <c r="H22" s="209"/>
      <c r="I22" s="836"/>
      <c r="J22" s="87"/>
      <c r="K22" s="214"/>
      <c r="L22" s="214"/>
      <c r="M22" s="214"/>
      <c r="N22" s="367">
        <f>K22*L22*M22</f>
        <v>0</v>
      </c>
      <c r="O22" s="230"/>
    </row>
    <row r="23" spans="2:39" ht="20.25" customHeight="1" thickBot="1" x14ac:dyDescent="0.2">
      <c r="B23" s="711"/>
      <c r="C23" s="87"/>
      <c r="D23" s="87"/>
      <c r="E23" s="98"/>
      <c r="F23" s="87"/>
      <c r="G23" s="197">
        <f>D23*F23</f>
        <v>0</v>
      </c>
      <c r="H23" s="209"/>
      <c r="I23" s="836"/>
      <c r="J23" s="87"/>
      <c r="K23" s="214"/>
      <c r="L23" s="214"/>
      <c r="M23" s="214"/>
      <c r="N23" s="367">
        <f>K23*L23*M23</f>
        <v>0</v>
      </c>
      <c r="O23" s="230"/>
      <c r="P23" s="88" t="s">
        <v>257</v>
      </c>
    </row>
    <row r="24" spans="2:39" ht="15" customHeight="1" thickBot="1" x14ac:dyDescent="0.2">
      <c r="B24" s="857"/>
      <c r="C24" s="203" t="s">
        <v>165</v>
      </c>
      <c r="D24" s="204"/>
      <c r="E24" s="204"/>
      <c r="F24" s="204"/>
      <c r="G24" s="205">
        <f>SUM(G21:G23)</f>
        <v>14364.15</v>
      </c>
      <c r="H24" s="209"/>
      <c r="I24" s="837"/>
      <c r="J24" s="316" t="s">
        <v>261</v>
      </c>
      <c r="K24" s="215">
        <f>SUM(K21:K23)</f>
        <v>28.2</v>
      </c>
      <c r="L24" s="216">
        <f>SUM(L21:L23)</f>
        <v>6.1</v>
      </c>
      <c r="M24" s="217"/>
      <c r="N24" s="369">
        <f>SUM(N21:N23)</f>
        <v>17563.241999999998</v>
      </c>
      <c r="O24" s="230"/>
      <c r="P24" s="312" t="s">
        <v>209</v>
      </c>
      <c r="Q24" s="313" t="s">
        <v>204</v>
      </c>
      <c r="R24" s="313" t="s">
        <v>205</v>
      </c>
      <c r="S24" s="313" t="s">
        <v>206</v>
      </c>
      <c r="T24" s="313" t="s">
        <v>207</v>
      </c>
      <c r="U24" s="189" t="s">
        <v>210</v>
      </c>
      <c r="V24" s="314" t="s">
        <v>208</v>
      </c>
    </row>
    <row r="25" spans="2:39" ht="15" customHeight="1" thickTop="1" x14ac:dyDescent="0.15">
      <c r="I25" s="835" t="s">
        <v>282</v>
      </c>
      <c r="J25" s="87"/>
      <c r="K25" s="214"/>
      <c r="L25" s="214"/>
      <c r="M25" s="214"/>
      <c r="N25" s="367">
        <f>K25*L25*M25</f>
        <v>0</v>
      </c>
      <c r="O25" s="230"/>
      <c r="P25" s="315" t="s">
        <v>328</v>
      </c>
      <c r="Q25" s="193">
        <v>10</v>
      </c>
      <c r="R25" s="224" t="s">
        <v>260</v>
      </c>
      <c r="S25" s="270">
        <v>500</v>
      </c>
      <c r="T25" s="193">
        <v>2</v>
      </c>
      <c r="U25" s="194">
        <v>30</v>
      </c>
      <c r="V25" s="219">
        <f>Q25*S25/T25/U25</f>
        <v>83.333333333333329</v>
      </c>
    </row>
    <row r="26" spans="2:39" ht="15" customHeight="1" thickBot="1" x14ac:dyDescent="0.2">
      <c r="B26" s="13" t="s">
        <v>265</v>
      </c>
      <c r="C26" s="13"/>
      <c r="D26" s="90"/>
      <c r="E26" s="13"/>
      <c r="F26" s="90"/>
      <c r="G26" s="94"/>
      <c r="H26" s="210"/>
      <c r="I26" s="836"/>
      <c r="J26" s="87"/>
      <c r="K26" s="214"/>
      <c r="L26" s="214"/>
      <c r="M26" s="214"/>
      <c r="N26" s="367">
        <f>K26*L26*M26</f>
        <v>0</v>
      </c>
      <c r="O26" s="230"/>
      <c r="P26" s="413"/>
      <c r="Q26" s="270"/>
      <c r="R26" s="414"/>
      <c r="S26" s="270"/>
      <c r="T26" s="270"/>
      <c r="U26" s="262"/>
      <c r="V26" s="416"/>
      <c r="AM26" s="88" t="s">
        <v>487</v>
      </c>
    </row>
    <row r="27" spans="2:39" ht="15" customHeight="1" x14ac:dyDescent="0.15">
      <c r="B27" s="311" t="s">
        <v>89</v>
      </c>
      <c r="C27" s="207" t="s">
        <v>155</v>
      </c>
      <c r="D27" s="207" t="s">
        <v>156</v>
      </c>
      <c r="E27" s="207" t="s">
        <v>157</v>
      </c>
      <c r="F27" s="382" t="s">
        <v>24</v>
      </c>
      <c r="G27" s="195" t="s">
        <v>158</v>
      </c>
      <c r="H27" s="208"/>
      <c r="I27" s="836"/>
      <c r="J27" s="87"/>
      <c r="K27" s="214"/>
      <c r="L27" s="214"/>
      <c r="M27" s="214"/>
      <c r="N27" s="367">
        <f>K27*L27*M27</f>
        <v>0</v>
      </c>
      <c r="O27" s="230"/>
      <c r="P27" s="413"/>
      <c r="Q27" s="270"/>
      <c r="R27" s="414"/>
      <c r="S27" s="270"/>
      <c r="T27" s="270"/>
      <c r="U27" s="262"/>
      <c r="V27" s="416"/>
    </row>
    <row r="28" spans="2:39" ht="15" customHeight="1" thickBot="1" x14ac:dyDescent="0.2">
      <c r="B28" s="710" t="s">
        <v>30</v>
      </c>
      <c r="C28" s="105" t="s">
        <v>528</v>
      </c>
      <c r="D28" s="105">
        <v>200</v>
      </c>
      <c r="E28" s="415" t="s">
        <v>309</v>
      </c>
      <c r="F28" s="105">
        <f>62610/10000</f>
        <v>6.2610000000000001</v>
      </c>
      <c r="G28" s="196">
        <f>D28*F28</f>
        <v>1252.2</v>
      </c>
      <c r="H28" s="209"/>
      <c r="I28" s="837"/>
      <c r="J28" s="316" t="s">
        <v>261</v>
      </c>
      <c r="K28" s="215">
        <f>SUM(K25:K27)</f>
        <v>0</v>
      </c>
      <c r="L28" s="216">
        <f>SUM(L25:L27)</f>
        <v>0</v>
      </c>
      <c r="M28" s="217"/>
      <c r="N28" s="369">
        <f>SUM(N25:N27)</f>
        <v>0</v>
      </c>
      <c r="O28" s="230"/>
      <c r="P28" s="413"/>
      <c r="Q28" s="270"/>
      <c r="R28" s="414"/>
      <c r="S28" s="270"/>
      <c r="T28" s="193"/>
      <c r="U28" s="194"/>
      <c r="V28" s="219"/>
    </row>
    <row r="29" spans="2:39" ht="15" customHeight="1" thickTop="1" x14ac:dyDescent="0.15">
      <c r="B29" s="711"/>
      <c r="C29" s="364" t="s">
        <v>529</v>
      </c>
      <c r="D29" s="105">
        <f>1*131</f>
        <v>131</v>
      </c>
      <c r="E29" s="415" t="s">
        <v>309</v>
      </c>
      <c r="F29" s="105">
        <f>4180/500</f>
        <v>8.36</v>
      </c>
      <c r="G29" s="196">
        <f>D29*F29</f>
        <v>1095.1599999999999</v>
      </c>
      <c r="H29" s="209"/>
      <c r="I29" s="835" t="s">
        <v>198</v>
      </c>
      <c r="J29" s="87" t="s">
        <v>318</v>
      </c>
      <c r="K29" s="214">
        <v>31.4</v>
      </c>
      <c r="L29" s="214">
        <v>3.2</v>
      </c>
      <c r="M29" s="214">
        <v>14</v>
      </c>
      <c r="N29" s="367">
        <f>K29*L29*M29</f>
        <v>1406.72</v>
      </c>
      <c r="O29" s="230"/>
      <c r="P29" s="315"/>
      <c r="Q29" s="193"/>
      <c r="R29" s="224"/>
      <c r="S29" s="193"/>
      <c r="T29" s="193"/>
      <c r="U29" s="194"/>
      <c r="V29" s="219"/>
    </row>
    <row r="30" spans="2:39" ht="15" customHeight="1" x14ac:dyDescent="0.15">
      <c r="B30" s="711"/>
      <c r="C30" s="105" t="s">
        <v>530</v>
      </c>
      <c r="D30" s="105">
        <v>833</v>
      </c>
      <c r="E30" s="415" t="s">
        <v>324</v>
      </c>
      <c r="F30" s="105">
        <f>10590/5000</f>
        <v>2.1179999999999999</v>
      </c>
      <c r="G30" s="196">
        <f>D30*F30</f>
        <v>1764.2939999999999</v>
      </c>
      <c r="H30" s="209"/>
      <c r="I30" s="836"/>
      <c r="J30" s="87" t="s">
        <v>320</v>
      </c>
      <c r="K30" s="214">
        <v>4</v>
      </c>
      <c r="L30" s="214">
        <v>1.9</v>
      </c>
      <c r="M30" s="214">
        <v>14</v>
      </c>
      <c r="N30" s="367">
        <f>K30*L30*M30</f>
        <v>106.39999999999999</v>
      </c>
      <c r="O30" s="89"/>
      <c r="P30" s="315"/>
      <c r="Q30" s="193"/>
      <c r="R30" s="224"/>
      <c r="S30" s="193"/>
      <c r="T30" s="193"/>
      <c r="U30" s="194"/>
      <c r="V30" s="219"/>
    </row>
    <row r="31" spans="2:39" ht="15" customHeight="1" x14ac:dyDescent="0.15">
      <c r="B31" s="711"/>
      <c r="C31" s="364"/>
      <c r="D31" s="87"/>
      <c r="E31" s="98"/>
      <c r="F31" s="87"/>
      <c r="G31" s="197">
        <f t="shared" ref="G31:G37" si="1">D31*F31</f>
        <v>0</v>
      </c>
      <c r="H31" s="209"/>
      <c r="I31" s="836"/>
      <c r="J31" s="87" t="s">
        <v>321</v>
      </c>
      <c r="K31" s="214">
        <v>24.5</v>
      </c>
      <c r="L31" s="214">
        <v>6.7</v>
      </c>
      <c r="M31" s="214">
        <v>14</v>
      </c>
      <c r="N31" s="367">
        <f>K31*L31*M31</f>
        <v>2298.1</v>
      </c>
      <c r="P31" s="315"/>
      <c r="Q31" s="193"/>
      <c r="R31" s="224"/>
      <c r="S31" s="193"/>
      <c r="T31" s="193"/>
      <c r="U31" s="194"/>
      <c r="V31" s="219"/>
    </row>
    <row r="32" spans="2:39" ht="15" customHeight="1" thickBot="1" x14ac:dyDescent="0.2">
      <c r="B32" s="711"/>
      <c r="C32" s="87"/>
      <c r="D32" s="87"/>
      <c r="E32" s="98"/>
      <c r="F32" s="87"/>
      <c r="G32" s="197">
        <f t="shared" si="1"/>
        <v>0</v>
      </c>
      <c r="H32" s="209"/>
      <c r="I32" s="853"/>
      <c r="J32" s="370" t="s">
        <v>261</v>
      </c>
      <c r="K32" s="371">
        <f>SUM(K29:K31)</f>
        <v>59.9</v>
      </c>
      <c r="L32" s="372">
        <f>SUM(L29:L31)</f>
        <v>11.8</v>
      </c>
      <c r="M32" s="373"/>
      <c r="N32" s="374">
        <f>SUM(N29:N31)</f>
        <v>3811.2200000000003</v>
      </c>
      <c r="P32" s="315"/>
      <c r="Q32" s="193"/>
      <c r="R32" s="224"/>
      <c r="S32" s="193"/>
      <c r="T32" s="193"/>
      <c r="U32" s="194"/>
      <c r="V32" s="219"/>
    </row>
    <row r="33" spans="2:22" ht="15" customHeight="1" x14ac:dyDescent="0.15">
      <c r="B33" s="711"/>
      <c r="C33" s="87"/>
      <c r="D33" s="87"/>
      <c r="E33" s="98"/>
      <c r="F33" s="87"/>
      <c r="G33" s="197">
        <f t="shared" si="1"/>
        <v>0</v>
      </c>
      <c r="H33" s="209"/>
      <c r="I33" s="188"/>
      <c r="J33" s="188"/>
      <c r="K33" s="188"/>
      <c r="L33" s="188"/>
      <c r="M33" s="188"/>
      <c r="N33" s="188"/>
      <c r="P33" s="315"/>
      <c r="Q33" s="193"/>
      <c r="R33" s="224"/>
      <c r="S33" s="193"/>
      <c r="T33" s="193"/>
      <c r="U33" s="194"/>
      <c r="V33" s="219"/>
    </row>
    <row r="34" spans="2:22" ht="15" customHeight="1" thickBot="1" x14ac:dyDescent="0.2">
      <c r="B34" s="711"/>
      <c r="C34" s="87"/>
      <c r="D34" s="87"/>
      <c r="E34" s="98"/>
      <c r="F34" s="87"/>
      <c r="G34" s="197">
        <f t="shared" si="1"/>
        <v>0</v>
      </c>
      <c r="H34" s="209"/>
      <c r="I34" s="178" t="s">
        <v>255</v>
      </c>
      <c r="J34" s="178"/>
      <c r="K34" s="178"/>
      <c r="L34" s="178"/>
      <c r="M34" s="178"/>
      <c r="P34" s="319" t="s">
        <v>248</v>
      </c>
      <c r="Q34" s="221"/>
      <c r="R34" s="221"/>
      <c r="S34" s="221"/>
      <c r="T34" s="221"/>
      <c r="U34" s="223"/>
      <c r="V34" s="222">
        <f>SUM(V25:V33)</f>
        <v>83.333333333333329</v>
      </c>
    </row>
    <row r="35" spans="2:22" ht="15" customHeight="1" thickBot="1" x14ac:dyDescent="0.2">
      <c r="B35" s="711"/>
      <c r="C35" s="87"/>
      <c r="D35" s="87"/>
      <c r="E35" s="98"/>
      <c r="F35" s="87"/>
      <c r="G35" s="197">
        <f t="shared" si="1"/>
        <v>0</v>
      </c>
      <c r="H35" s="209"/>
      <c r="I35" s="293" t="s">
        <v>243</v>
      </c>
      <c r="J35" s="294" t="s">
        <v>5</v>
      </c>
      <c r="K35" s="820" t="s">
        <v>244</v>
      </c>
      <c r="L35" s="821"/>
      <c r="M35" s="317" t="s">
        <v>210</v>
      </c>
      <c r="N35" s="318" t="s">
        <v>267</v>
      </c>
    </row>
    <row r="36" spans="2:22" ht="15" customHeight="1" thickTop="1" thickBot="1" x14ac:dyDescent="0.2">
      <c r="B36" s="711"/>
      <c r="C36" s="87"/>
      <c r="D36" s="87"/>
      <c r="E36" s="98"/>
      <c r="F36" s="87"/>
      <c r="G36" s="197">
        <f t="shared" si="1"/>
        <v>0</v>
      </c>
      <c r="H36" s="209"/>
      <c r="I36" s="832" t="s">
        <v>2</v>
      </c>
      <c r="J36" s="206" t="str">
        <f>'６（参考）水稲資本装備'!C5</f>
        <v>農機具庫</v>
      </c>
      <c r="K36" s="822">
        <f>'６（参考）水稲資本装備'!I5</f>
        <v>5940000</v>
      </c>
      <c r="L36" s="822"/>
      <c r="M36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6">
        <f>+K36/M36*0.014*0.3</f>
        <v>831.6</v>
      </c>
      <c r="P36" s="178" t="s">
        <v>249</v>
      </c>
      <c r="Q36" s="178"/>
      <c r="R36" s="178"/>
      <c r="S36" s="178"/>
      <c r="T36" s="178"/>
    </row>
    <row r="37" spans="2:22" ht="15" customHeight="1" thickTop="1" thickBot="1" x14ac:dyDescent="0.2">
      <c r="B37" s="711"/>
      <c r="C37" s="87"/>
      <c r="D37" s="87"/>
      <c r="E37" s="98"/>
      <c r="F37" s="87"/>
      <c r="G37" s="197">
        <f t="shared" si="1"/>
        <v>0</v>
      </c>
      <c r="H37" s="209"/>
      <c r="I37" s="833"/>
      <c r="J37" s="206" t="str">
        <f>'６（参考）水稲資本装備'!C6</f>
        <v>乾燥調製施設</v>
      </c>
      <c r="K37" s="822">
        <f>'６（参考）水稲資本装備'!I6</f>
        <v>8910000</v>
      </c>
      <c r="L37" s="822"/>
      <c r="M37" s="298">
        <f>'１　対象経営の概要，２　前提条件'!$N$7+'１　対象経営の概要，２　前提条件'!$N$8+'１　対象経営の概要，２　前提条件'!$N$9</f>
        <v>30</v>
      </c>
      <c r="N37" s="306">
        <f>+K37/M37*0.014*0.3</f>
        <v>1247.3999999999999</v>
      </c>
      <c r="P37" s="293" t="s">
        <v>242</v>
      </c>
      <c r="Q37" s="876" t="s">
        <v>250</v>
      </c>
      <c r="R37" s="876"/>
      <c r="S37" s="305" t="s">
        <v>253</v>
      </c>
      <c r="T37" s="305" t="s">
        <v>252</v>
      </c>
      <c r="U37" s="320" t="s">
        <v>210</v>
      </c>
      <c r="V37" s="321" t="s">
        <v>267</v>
      </c>
    </row>
    <row r="38" spans="2:22" ht="15" customHeight="1" thickTop="1" thickBot="1" x14ac:dyDescent="0.2">
      <c r="B38" s="824"/>
      <c r="C38" s="198" t="s">
        <v>162</v>
      </c>
      <c r="D38" s="198"/>
      <c r="E38" s="198"/>
      <c r="F38" s="198"/>
      <c r="G38" s="199">
        <f>SUM(G28:G37)</f>
        <v>4111.6539999999995</v>
      </c>
      <c r="H38" s="209"/>
      <c r="I38" s="833"/>
      <c r="J38" s="206" t="str">
        <f>'６（参考）水稲資本装備'!C7</f>
        <v>育苗ハウス</v>
      </c>
      <c r="K38" s="822">
        <f>'６（参考）水稲資本装備'!I7</f>
        <v>2065500</v>
      </c>
      <c r="L38" s="822"/>
      <c r="M38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306">
        <f>+K38/M38*0.014*0.3</f>
        <v>289.16999999999996</v>
      </c>
      <c r="O38" s="218"/>
      <c r="P38" s="866" t="s">
        <v>251</v>
      </c>
      <c r="Q38" s="299" t="s">
        <v>241</v>
      </c>
      <c r="R38" s="325"/>
      <c r="S38" s="493"/>
      <c r="T38" s="326"/>
      <c r="U38" s="300"/>
      <c r="V38" s="306">
        <v>3880</v>
      </c>
    </row>
    <row r="39" spans="2:22" ht="15" customHeight="1" thickTop="1" x14ac:dyDescent="0.15">
      <c r="B39" s="823" t="s">
        <v>194</v>
      </c>
      <c r="C39" s="494" t="s">
        <v>531</v>
      </c>
      <c r="D39" s="105">
        <v>833</v>
      </c>
      <c r="E39" s="415" t="s">
        <v>324</v>
      </c>
      <c r="F39" s="105">
        <f>49110/10000</f>
        <v>4.9109999999999996</v>
      </c>
      <c r="G39" s="197">
        <f>D39*F39</f>
        <v>4090.8629999999998</v>
      </c>
      <c r="H39" s="209"/>
      <c r="I39" s="833"/>
      <c r="J39" s="206"/>
      <c r="K39" s="822"/>
      <c r="L39" s="822"/>
      <c r="M39" s="292"/>
      <c r="N39" s="306"/>
      <c r="O39" s="218"/>
      <c r="P39" s="867"/>
      <c r="Q39" s="299"/>
      <c r="R39" s="325"/>
      <c r="S39" s="493"/>
      <c r="T39" s="326"/>
      <c r="U39" s="300"/>
      <c r="V39" s="306"/>
    </row>
    <row r="40" spans="2:22" ht="15" customHeight="1" x14ac:dyDescent="0.15">
      <c r="B40" s="711"/>
      <c r="C40" s="105" t="s">
        <v>532</v>
      </c>
      <c r="D40" s="105"/>
      <c r="E40" s="415"/>
      <c r="F40" s="105"/>
      <c r="G40" s="197">
        <f>D40*F40</f>
        <v>0</v>
      </c>
      <c r="H40" s="209"/>
      <c r="I40" s="833"/>
      <c r="J40" s="206"/>
      <c r="K40" s="822"/>
      <c r="L40" s="822"/>
      <c r="M40" s="292"/>
      <c r="N40" s="306"/>
      <c r="O40" s="218"/>
      <c r="P40" s="867"/>
      <c r="Q40" s="299"/>
      <c r="R40" s="325"/>
      <c r="S40" s="300"/>
      <c r="T40" s="326"/>
      <c r="U40" s="300"/>
      <c r="V40" s="306"/>
    </row>
    <row r="41" spans="2:22" ht="15" customHeight="1" x14ac:dyDescent="0.15">
      <c r="B41" s="711"/>
      <c r="C41" s="87"/>
      <c r="D41" s="87"/>
      <c r="E41" s="98"/>
      <c r="F41" s="87"/>
      <c r="G41" s="197">
        <f>D41*F41</f>
        <v>0</v>
      </c>
      <c r="H41" s="209"/>
      <c r="I41" s="833"/>
      <c r="J41" s="206"/>
      <c r="K41" s="822"/>
      <c r="L41" s="822"/>
      <c r="M41" s="292"/>
      <c r="N41" s="306"/>
      <c r="O41" s="218"/>
      <c r="P41" s="867"/>
      <c r="Q41" s="299"/>
      <c r="R41" s="325"/>
      <c r="S41" s="300"/>
      <c r="T41" s="326"/>
      <c r="U41" s="300"/>
      <c r="V41" s="306"/>
    </row>
    <row r="42" spans="2:22" ht="15" customHeight="1" thickBot="1" x14ac:dyDescent="0.2">
      <c r="B42" s="711"/>
      <c r="C42" s="87"/>
      <c r="D42" s="87"/>
      <c r="E42" s="98"/>
      <c r="F42" s="87"/>
      <c r="G42" s="197">
        <f t="shared" ref="G42:G52" si="2">D42*F42</f>
        <v>0</v>
      </c>
      <c r="H42" s="209"/>
      <c r="I42" s="834"/>
      <c r="J42" s="295" t="s">
        <v>163</v>
      </c>
      <c r="K42" s="864"/>
      <c r="L42" s="865"/>
      <c r="M42" s="296"/>
      <c r="N42" s="303">
        <f>SUM(N36:N41)</f>
        <v>2368.17</v>
      </c>
      <c r="O42" s="218"/>
      <c r="P42" s="867"/>
      <c r="Q42" s="299"/>
      <c r="R42" s="325"/>
      <c r="S42" s="300"/>
      <c r="T42" s="326"/>
      <c r="U42" s="300"/>
      <c r="V42" s="306"/>
    </row>
    <row r="43" spans="2:22" ht="15" customHeight="1" thickTop="1" x14ac:dyDescent="0.15">
      <c r="B43" s="711"/>
      <c r="C43" s="87"/>
      <c r="D43" s="87"/>
      <c r="E43" s="98"/>
      <c r="F43" s="87"/>
      <c r="G43" s="197"/>
      <c r="H43" s="209"/>
      <c r="I43" s="829" t="s">
        <v>245</v>
      </c>
      <c r="J43" s="297" t="s">
        <v>268</v>
      </c>
      <c r="K43" s="852">
        <v>8200</v>
      </c>
      <c r="L43" s="852"/>
      <c r="M43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23">
        <f>+K43/M43</f>
        <v>273.33333333333331</v>
      </c>
      <c r="O43" s="218"/>
      <c r="P43" s="867"/>
      <c r="Q43" s="299"/>
      <c r="R43" s="325"/>
      <c r="S43" s="300"/>
      <c r="T43" s="326"/>
      <c r="U43" s="300"/>
      <c r="V43" s="306"/>
    </row>
    <row r="44" spans="2:22" ht="15" customHeight="1" thickBot="1" x14ac:dyDescent="0.2">
      <c r="B44" s="711"/>
      <c r="C44" s="87"/>
      <c r="D44" s="87"/>
      <c r="E44" s="98"/>
      <c r="F44" s="87"/>
      <c r="G44" s="197"/>
      <c r="H44" s="209"/>
      <c r="I44" s="830"/>
      <c r="J44" s="299"/>
      <c r="K44" s="822"/>
      <c r="L44" s="822"/>
      <c r="M44" s="292"/>
      <c r="N44" s="306"/>
      <c r="O44" s="218"/>
      <c r="P44" s="868"/>
      <c r="Q44" s="307" t="s">
        <v>254</v>
      </c>
      <c r="R44" s="308"/>
      <c r="S44" s="308"/>
      <c r="T44" s="308"/>
      <c r="U44" s="308"/>
      <c r="V44" s="309">
        <f>SUM(V38:V43)</f>
        <v>3880</v>
      </c>
    </row>
    <row r="45" spans="2:22" ht="15" customHeight="1" thickTop="1" x14ac:dyDescent="0.15">
      <c r="B45" s="711"/>
      <c r="C45" s="87"/>
      <c r="D45" s="87"/>
      <c r="E45" s="98"/>
      <c r="F45" s="87"/>
      <c r="G45" s="197"/>
      <c r="H45" s="209"/>
      <c r="I45" s="830"/>
      <c r="J45" s="206"/>
      <c r="K45" s="822"/>
      <c r="L45" s="822"/>
      <c r="M45" s="292"/>
      <c r="N45" s="306"/>
      <c r="O45" s="218"/>
      <c r="P45" s="874" t="s">
        <v>259</v>
      </c>
      <c r="Q45" s="871" t="s">
        <v>270</v>
      </c>
      <c r="R45" s="327" t="s">
        <v>271</v>
      </c>
      <c r="S45" s="297">
        <v>35750</v>
      </c>
      <c r="T45" s="328">
        <v>1</v>
      </c>
      <c r="U45" s="297">
        <v>30</v>
      </c>
      <c r="V45" s="322">
        <f>+S45*T45/U45</f>
        <v>1191.6666666666667</v>
      </c>
    </row>
    <row r="46" spans="2:22" ht="15" customHeight="1" thickBot="1" x14ac:dyDescent="0.2">
      <c r="B46" s="711"/>
      <c r="C46" s="87"/>
      <c r="D46" s="87"/>
      <c r="E46" s="98"/>
      <c r="F46" s="87"/>
      <c r="G46" s="197">
        <f t="shared" si="2"/>
        <v>0</v>
      </c>
      <c r="H46" s="209"/>
      <c r="I46" s="831"/>
      <c r="J46" s="295" t="s">
        <v>163</v>
      </c>
      <c r="K46" s="864"/>
      <c r="L46" s="865"/>
      <c r="M46" s="296"/>
      <c r="N46" s="303">
        <f>SUM(N43:N45)</f>
        <v>273.33333333333331</v>
      </c>
      <c r="O46" s="218"/>
      <c r="P46" s="867"/>
      <c r="Q46" s="872"/>
      <c r="R46" s="329" t="s">
        <v>258</v>
      </c>
      <c r="S46" s="299">
        <v>15600</v>
      </c>
      <c r="T46" s="326">
        <v>1</v>
      </c>
      <c r="U46" s="299">
        <v>30</v>
      </c>
      <c r="V46" s="306">
        <f>+S46*T46/U46</f>
        <v>520</v>
      </c>
    </row>
    <row r="47" spans="2:22" ht="15" customHeight="1" thickTop="1" x14ac:dyDescent="0.15">
      <c r="B47" s="711"/>
      <c r="C47" s="87"/>
      <c r="D47" s="87"/>
      <c r="E47" s="98"/>
      <c r="F47" s="87"/>
      <c r="G47" s="197">
        <f t="shared" si="2"/>
        <v>0</v>
      </c>
      <c r="H47" s="209"/>
      <c r="I47" s="829" t="s">
        <v>246</v>
      </c>
      <c r="J47" s="297" t="s">
        <v>268</v>
      </c>
      <c r="K47" s="852">
        <v>11500</v>
      </c>
      <c r="L47" s="852"/>
      <c r="M47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22">
        <f>K47/M47</f>
        <v>383.33333333333331</v>
      </c>
      <c r="O47" s="218"/>
      <c r="P47" s="867"/>
      <c r="Q47" s="872"/>
      <c r="R47" s="329"/>
      <c r="S47" s="299"/>
      <c r="T47" s="299"/>
      <c r="U47" s="206"/>
      <c r="V47" s="330"/>
    </row>
    <row r="48" spans="2:22" ht="15" customHeight="1" x14ac:dyDescent="0.15">
      <c r="B48" s="711"/>
      <c r="C48" s="87"/>
      <c r="D48" s="87"/>
      <c r="E48" s="98"/>
      <c r="F48" s="87"/>
      <c r="G48" s="197">
        <f t="shared" si="2"/>
        <v>0</v>
      </c>
      <c r="H48" s="209"/>
      <c r="I48" s="830"/>
      <c r="J48" s="299"/>
      <c r="K48" s="822"/>
      <c r="L48" s="822"/>
      <c r="M48" s="292"/>
      <c r="N48" s="306"/>
      <c r="O48" s="218"/>
      <c r="P48" s="867"/>
      <c r="Q48" s="872"/>
      <c r="R48" s="329"/>
      <c r="S48" s="299"/>
      <c r="T48" s="326"/>
      <c r="U48" s="299"/>
      <c r="V48" s="306"/>
    </row>
    <row r="49" spans="2:22" ht="15" customHeight="1" thickBot="1" x14ac:dyDescent="0.2">
      <c r="B49" s="824"/>
      <c r="C49" s="200" t="s">
        <v>163</v>
      </c>
      <c r="D49" s="201"/>
      <c r="E49" s="201"/>
      <c r="F49" s="201"/>
      <c r="G49" s="202">
        <f>SUM(G39:G48)</f>
        <v>4090.8629999999998</v>
      </c>
      <c r="H49" s="209"/>
      <c r="I49" s="830"/>
      <c r="J49" s="206"/>
      <c r="K49" s="822"/>
      <c r="L49" s="822"/>
      <c r="M49" s="292"/>
      <c r="N49" s="306"/>
      <c r="O49" s="218"/>
      <c r="P49" s="867"/>
      <c r="Q49" s="873"/>
      <c r="R49" s="329"/>
      <c r="S49" s="299"/>
      <c r="T49" s="299"/>
      <c r="U49" s="206"/>
      <c r="V49" s="330"/>
    </row>
    <row r="50" spans="2:22" ht="15" customHeight="1" thickTop="1" thickBot="1" x14ac:dyDescent="0.2">
      <c r="B50" s="823" t="s">
        <v>32</v>
      </c>
      <c r="C50" s="87" t="s">
        <v>533</v>
      </c>
      <c r="D50" s="87">
        <v>10</v>
      </c>
      <c r="E50" s="98" t="s">
        <v>302</v>
      </c>
      <c r="F50" s="87">
        <f>24330/10</f>
        <v>2433</v>
      </c>
      <c r="G50" s="197">
        <f t="shared" si="2"/>
        <v>24330</v>
      </c>
      <c r="H50" s="209"/>
      <c r="I50" s="831"/>
      <c r="J50" s="295" t="s">
        <v>163</v>
      </c>
      <c r="K50" s="864"/>
      <c r="L50" s="865"/>
      <c r="M50" s="296"/>
      <c r="N50" s="303">
        <f>SUM(N47:N49)</f>
        <v>383.33333333333331</v>
      </c>
      <c r="O50" s="218"/>
      <c r="P50" s="867"/>
      <c r="Q50" s="307" t="s">
        <v>254</v>
      </c>
      <c r="R50" s="308"/>
      <c r="S50" s="308"/>
      <c r="T50" s="308"/>
      <c r="U50" s="308"/>
      <c r="V50" s="309">
        <f>SUM(V45:V49)</f>
        <v>1711.6666666666667</v>
      </c>
    </row>
    <row r="51" spans="2:22" ht="15" customHeight="1" thickTop="1" x14ac:dyDescent="0.15">
      <c r="B51" s="711"/>
      <c r="C51" s="87"/>
      <c r="D51" s="87"/>
      <c r="E51" s="87"/>
      <c r="F51" s="87"/>
      <c r="G51" s="197">
        <f t="shared" si="2"/>
        <v>0</v>
      </c>
      <c r="H51" s="209"/>
      <c r="I51" s="829" t="s">
        <v>247</v>
      </c>
      <c r="J51" s="297" t="s">
        <v>54</v>
      </c>
      <c r="K51" s="840">
        <v>2400</v>
      </c>
      <c r="L51" s="841"/>
      <c r="M51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23">
        <f>+K51/M51</f>
        <v>80</v>
      </c>
      <c r="O51" s="218"/>
      <c r="P51" s="867"/>
      <c r="Q51" s="871" t="s">
        <v>272</v>
      </c>
      <c r="R51" s="327" t="s">
        <v>271</v>
      </c>
      <c r="S51" s="297">
        <v>60000</v>
      </c>
      <c r="T51" s="328">
        <v>1</v>
      </c>
      <c r="U51" s="297">
        <v>30</v>
      </c>
      <c r="V51" s="322">
        <f>+S51*T51/U51</f>
        <v>2000</v>
      </c>
    </row>
    <row r="52" spans="2:22" ht="15" customHeight="1" x14ac:dyDescent="0.15">
      <c r="B52" s="711"/>
      <c r="C52" s="87"/>
      <c r="D52" s="87"/>
      <c r="E52" s="87"/>
      <c r="F52" s="87"/>
      <c r="G52" s="197">
        <f t="shared" si="2"/>
        <v>0</v>
      </c>
      <c r="H52" s="209"/>
      <c r="I52" s="830"/>
      <c r="J52" s="299" t="s">
        <v>54</v>
      </c>
      <c r="K52" s="842">
        <v>2400</v>
      </c>
      <c r="L52" s="843"/>
      <c r="M52" s="40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6">
        <f>+K52/M52</f>
        <v>80</v>
      </c>
      <c r="O52" s="218"/>
      <c r="P52" s="867"/>
      <c r="Q52" s="872"/>
      <c r="R52" s="329" t="s">
        <v>258</v>
      </c>
      <c r="S52" s="299">
        <v>25000</v>
      </c>
      <c r="T52" s="326">
        <v>1</v>
      </c>
      <c r="U52" s="299">
        <v>30</v>
      </c>
      <c r="V52" s="306">
        <f>+S52*T52/U52</f>
        <v>833.33333333333337</v>
      </c>
    </row>
    <row r="53" spans="2:22" ht="15" customHeight="1" thickBot="1" x14ac:dyDescent="0.2">
      <c r="B53" s="824"/>
      <c r="C53" s="200" t="s">
        <v>163</v>
      </c>
      <c r="D53" s="201"/>
      <c r="E53" s="201"/>
      <c r="F53" s="201"/>
      <c r="G53" s="202">
        <f>SUM(G50:G52)</f>
        <v>24330</v>
      </c>
      <c r="H53" s="209"/>
      <c r="I53" s="830"/>
      <c r="J53" s="299" t="s">
        <v>56</v>
      </c>
      <c r="K53" s="844">
        <v>2400</v>
      </c>
      <c r="L53" s="845"/>
      <c r="M53" s="310">
        <f>'１　対象経営の概要，２　前提条件'!N7</f>
        <v>30</v>
      </c>
      <c r="N53" s="306">
        <f>+K53/M53</f>
        <v>80</v>
      </c>
      <c r="O53" s="218"/>
      <c r="P53" s="867"/>
      <c r="Q53" s="872"/>
      <c r="R53" s="329"/>
      <c r="S53" s="299"/>
      <c r="T53" s="299"/>
      <c r="U53" s="206"/>
      <c r="V53" s="330"/>
    </row>
    <row r="54" spans="2:22" ht="13.9" customHeight="1" thickTop="1" x14ac:dyDescent="0.15">
      <c r="B54" s="823" t="s">
        <v>342</v>
      </c>
      <c r="C54" s="87" t="s">
        <v>534</v>
      </c>
      <c r="D54" s="385">
        <f>131*50/1000</f>
        <v>6.55</v>
      </c>
      <c r="E54" s="98" t="s">
        <v>302</v>
      </c>
      <c r="F54" s="87">
        <f>9650/3</f>
        <v>3216.6666666666665</v>
      </c>
      <c r="G54" s="196">
        <f>D54*F54</f>
        <v>21069.166666666664</v>
      </c>
      <c r="I54" s="830"/>
      <c r="J54" s="292" t="s">
        <v>258</v>
      </c>
      <c r="K54" s="846">
        <v>5000</v>
      </c>
      <c r="L54" s="847"/>
      <c r="M54" s="40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6">
        <f>+K54/M54</f>
        <v>166.66666666666666</v>
      </c>
      <c r="O54" s="218"/>
      <c r="P54" s="867"/>
      <c r="Q54" s="872"/>
      <c r="R54" s="329"/>
      <c r="S54" s="299"/>
      <c r="T54" s="326"/>
      <c r="U54" s="299"/>
      <c r="V54" s="306"/>
    </row>
    <row r="55" spans="2:22" x14ac:dyDescent="0.15">
      <c r="B55" s="711"/>
      <c r="C55" s="105" t="s">
        <v>535</v>
      </c>
      <c r="D55" s="105">
        <v>1667</v>
      </c>
      <c r="E55" s="415" t="s">
        <v>309</v>
      </c>
      <c r="F55" s="105">
        <f>90790/20000</f>
        <v>4.5395000000000003</v>
      </c>
      <c r="G55" s="197">
        <f>D55*F55</f>
        <v>7567.3465000000006</v>
      </c>
      <c r="I55" s="830"/>
      <c r="J55" s="299"/>
      <c r="K55" s="848"/>
      <c r="L55" s="849"/>
      <c r="M55" s="310"/>
      <c r="N55" s="324"/>
      <c r="O55" s="218"/>
      <c r="P55" s="867"/>
      <c r="Q55" s="873"/>
      <c r="R55" s="329"/>
      <c r="S55" s="299"/>
      <c r="T55" s="299"/>
      <c r="U55" s="206"/>
      <c r="V55" s="330"/>
    </row>
    <row r="56" spans="2:22" x14ac:dyDescent="0.15">
      <c r="B56" s="711"/>
      <c r="C56" s="87"/>
      <c r="D56" s="87"/>
      <c r="E56" s="98"/>
      <c r="F56" s="87"/>
      <c r="G56" s="197">
        <f>D56*F56</f>
        <v>0</v>
      </c>
      <c r="I56" s="832"/>
      <c r="J56" s="301" t="s">
        <v>163</v>
      </c>
      <c r="K56" s="850"/>
      <c r="L56" s="851"/>
      <c r="M56" s="302"/>
      <c r="N56" s="304">
        <f>SUM(N51:N55)</f>
        <v>406.66666666666663</v>
      </c>
      <c r="O56" s="218"/>
      <c r="P56" s="875"/>
      <c r="Q56" s="331" t="s">
        <v>254</v>
      </c>
      <c r="R56" s="332"/>
      <c r="S56" s="332"/>
      <c r="T56" s="332"/>
      <c r="U56" s="332"/>
      <c r="V56" s="333">
        <f>SUM(V51:V55)</f>
        <v>2833.3333333333335</v>
      </c>
    </row>
    <row r="57" spans="2:22" ht="14.25" thickBot="1" x14ac:dyDescent="0.2">
      <c r="B57" s="857"/>
      <c r="C57" s="203" t="s">
        <v>165</v>
      </c>
      <c r="D57" s="204"/>
      <c r="E57" s="204"/>
      <c r="F57" s="204"/>
      <c r="G57" s="205">
        <f>SUM(G54:G56)</f>
        <v>28636.513166666664</v>
      </c>
      <c r="I57" s="879" t="s">
        <v>248</v>
      </c>
      <c r="J57" s="878"/>
      <c r="K57" s="880"/>
      <c r="L57" s="881"/>
      <c r="M57" s="223"/>
      <c r="N57" s="212">
        <f>SUM(N42,N46,N50,N56)</f>
        <v>3431.5033333333336</v>
      </c>
      <c r="O57" s="218"/>
      <c r="P57" s="869" t="s">
        <v>248</v>
      </c>
      <c r="Q57" s="870"/>
      <c r="R57" s="221"/>
      <c r="S57" s="221"/>
      <c r="T57" s="221"/>
      <c r="U57" s="221"/>
      <c r="V57" s="212">
        <f>SUM(V44,V50,V56)</f>
        <v>8425</v>
      </c>
    </row>
    <row r="58" spans="2:22" x14ac:dyDescent="0.15">
      <c r="O58" s="218"/>
      <c r="V58" s="88"/>
    </row>
    <row r="59" spans="2:22" x14ac:dyDescent="0.15">
      <c r="I59" s="218"/>
      <c r="J59" s="218"/>
      <c r="K59" s="218"/>
      <c r="L59" s="218"/>
      <c r="M59" s="218"/>
      <c r="N59" s="218"/>
      <c r="O59" s="218"/>
    </row>
    <row r="60" spans="2:22" x14ac:dyDescent="0.15">
      <c r="I60" s="218"/>
      <c r="J60" s="218"/>
      <c r="K60" s="218"/>
      <c r="L60" s="218"/>
      <c r="M60" s="218"/>
      <c r="N60" s="218"/>
      <c r="O60" s="218"/>
    </row>
    <row r="61" spans="2:22" x14ac:dyDescent="0.15">
      <c r="I61" s="218"/>
      <c r="J61" s="218"/>
      <c r="K61" s="218"/>
      <c r="L61" s="218"/>
      <c r="M61" s="218"/>
      <c r="N61" s="218"/>
      <c r="O61" s="218"/>
    </row>
    <row r="62" spans="2:22" x14ac:dyDescent="0.15">
      <c r="I62" s="218"/>
      <c r="J62" s="218"/>
      <c r="K62" s="218"/>
      <c r="L62" s="218"/>
      <c r="M62" s="218"/>
      <c r="N62" s="218"/>
      <c r="O62" s="218"/>
    </row>
    <row r="63" spans="2:22" x14ac:dyDescent="0.15">
      <c r="I63" s="218"/>
      <c r="J63" s="218"/>
      <c r="K63" s="218"/>
      <c r="L63" s="218"/>
      <c r="M63" s="218"/>
      <c r="N63" s="218"/>
      <c r="O63" s="218"/>
    </row>
    <row r="64" spans="2:22" x14ac:dyDescent="0.15">
      <c r="I64" s="218"/>
      <c r="J64" s="218"/>
      <c r="K64" s="218"/>
      <c r="L64" s="218"/>
      <c r="M64" s="218"/>
      <c r="N64" s="218"/>
      <c r="O64" s="218"/>
    </row>
    <row r="65" spans="9:15" x14ac:dyDescent="0.15">
      <c r="I65" s="218"/>
      <c r="J65" s="218"/>
      <c r="K65" s="218"/>
      <c r="L65" s="218"/>
      <c r="M65" s="218"/>
      <c r="N65" s="218"/>
      <c r="O65" s="218"/>
    </row>
    <row r="66" spans="9:15" x14ac:dyDescent="0.15">
      <c r="I66" s="218"/>
      <c r="J66" s="218"/>
      <c r="K66" s="218"/>
      <c r="L66" s="218"/>
      <c r="M66" s="218"/>
      <c r="N66" s="218"/>
      <c r="O66" s="218"/>
    </row>
    <row r="67" spans="9:15" x14ac:dyDescent="0.15">
      <c r="I67" s="218"/>
      <c r="J67" s="218"/>
      <c r="K67" s="218"/>
      <c r="L67" s="218"/>
      <c r="M67" s="218"/>
      <c r="N67" s="218"/>
      <c r="O67" s="218"/>
    </row>
    <row r="68" spans="9:15" x14ac:dyDescent="0.15">
      <c r="I68" s="218"/>
      <c r="J68" s="218"/>
      <c r="K68" s="218"/>
      <c r="L68" s="218"/>
      <c r="M68" s="218"/>
      <c r="N68" s="218"/>
      <c r="O68" s="218"/>
    </row>
    <row r="69" spans="9:15" x14ac:dyDescent="0.15">
      <c r="I69" s="218"/>
      <c r="J69" s="218"/>
      <c r="K69" s="218"/>
      <c r="L69" s="218"/>
      <c r="M69" s="218"/>
      <c r="N69" s="218"/>
      <c r="O69" s="218"/>
    </row>
    <row r="70" spans="9:15" x14ac:dyDescent="0.15">
      <c r="I70" s="218"/>
      <c r="J70" s="218"/>
      <c r="K70" s="218"/>
      <c r="L70" s="218"/>
      <c r="M70" s="218"/>
      <c r="N70" s="218"/>
      <c r="O70" s="218"/>
    </row>
    <row r="71" spans="9:15" x14ac:dyDescent="0.15">
      <c r="I71" s="218"/>
      <c r="J71" s="218"/>
      <c r="K71" s="218"/>
      <c r="L71" s="218"/>
      <c r="M71" s="218"/>
      <c r="N71" s="218"/>
      <c r="O71" s="218"/>
    </row>
    <row r="72" spans="9:15" x14ac:dyDescent="0.15">
      <c r="I72" s="218"/>
      <c r="J72" s="218"/>
      <c r="K72" s="218"/>
      <c r="L72" s="218"/>
      <c r="M72" s="218"/>
      <c r="N72" s="218"/>
      <c r="O72" s="218"/>
    </row>
    <row r="73" spans="9:15" x14ac:dyDescent="0.15">
      <c r="I73" s="218"/>
      <c r="J73" s="218"/>
      <c r="K73" s="218"/>
      <c r="L73" s="218"/>
      <c r="M73" s="218"/>
      <c r="N73" s="218"/>
      <c r="O73" s="218"/>
    </row>
    <row r="74" spans="9:15" x14ac:dyDescent="0.15">
      <c r="I74" s="218"/>
      <c r="J74" s="218"/>
      <c r="K74" s="218"/>
      <c r="L74" s="218"/>
      <c r="M74" s="218"/>
      <c r="N74" s="218"/>
      <c r="O74" s="218"/>
    </row>
    <row r="75" spans="9:15" x14ac:dyDescent="0.15">
      <c r="I75" s="218"/>
      <c r="J75" s="218"/>
      <c r="K75" s="218"/>
      <c r="L75" s="218"/>
      <c r="M75" s="218"/>
      <c r="N75" s="218"/>
      <c r="O75" s="218"/>
    </row>
    <row r="76" spans="9:15" x14ac:dyDescent="0.15">
      <c r="I76" s="218"/>
      <c r="J76" s="218"/>
      <c r="K76" s="218"/>
      <c r="L76" s="218"/>
      <c r="M76" s="218"/>
      <c r="N76" s="218"/>
      <c r="O76" s="218"/>
    </row>
    <row r="77" spans="9:15" x14ac:dyDescent="0.15">
      <c r="I77" s="218"/>
      <c r="J77" s="218"/>
      <c r="K77" s="218"/>
      <c r="L77" s="218"/>
      <c r="M77" s="218"/>
      <c r="N77" s="218"/>
      <c r="O77" s="218"/>
    </row>
    <row r="78" spans="9:15" x14ac:dyDescent="0.15">
      <c r="I78" s="218"/>
      <c r="J78" s="218"/>
      <c r="K78" s="218"/>
      <c r="L78" s="218"/>
      <c r="M78" s="218"/>
      <c r="N78" s="218"/>
      <c r="O78" s="218"/>
    </row>
    <row r="79" spans="9:15" x14ac:dyDescent="0.15">
      <c r="I79" s="218"/>
      <c r="J79" s="218"/>
      <c r="K79" s="218"/>
      <c r="L79" s="218"/>
      <c r="M79" s="218"/>
      <c r="N79" s="218"/>
      <c r="O79" s="218"/>
    </row>
    <row r="80" spans="9:15" x14ac:dyDescent="0.15">
      <c r="I80" s="218"/>
      <c r="J80" s="218"/>
      <c r="K80" s="218"/>
      <c r="L80" s="218"/>
      <c r="M80" s="218"/>
      <c r="N80" s="218"/>
      <c r="O80" s="218"/>
    </row>
    <row r="81" spans="2:15" x14ac:dyDescent="0.15">
      <c r="I81" s="218"/>
      <c r="J81" s="218"/>
      <c r="K81" s="218"/>
      <c r="L81" s="218"/>
      <c r="M81" s="218"/>
      <c r="N81" s="218"/>
      <c r="O81" s="218"/>
    </row>
    <row r="82" spans="2:15" x14ac:dyDescent="0.15">
      <c r="I82" s="218"/>
      <c r="J82" s="218"/>
      <c r="K82" s="218"/>
      <c r="L82" s="218"/>
      <c r="M82" s="218"/>
      <c r="N82" s="218"/>
      <c r="O82" s="218"/>
    </row>
    <row r="83" spans="2:15" x14ac:dyDescent="0.15">
      <c r="B83" s="208"/>
      <c r="C83" s="209"/>
      <c r="D83" s="209"/>
      <c r="E83" s="209"/>
      <c r="F83" s="209"/>
      <c r="I83" s="218"/>
      <c r="J83" s="218"/>
      <c r="K83" s="218"/>
      <c r="L83" s="218"/>
      <c r="M83" s="218"/>
      <c r="N83" s="218"/>
      <c r="O83" s="218"/>
    </row>
    <row r="84" spans="2:15" x14ac:dyDescent="0.15">
      <c r="B84" s="208"/>
      <c r="C84" s="209"/>
      <c r="D84" s="209"/>
      <c r="E84" s="209"/>
      <c r="F84" s="209"/>
      <c r="I84" s="218"/>
      <c r="J84" s="218"/>
      <c r="K84" s="218"/>
      <c r="L84" s="218"/>
      <c r="M84" s="218"/>
      <c r="N84" s="218"/>
      <c r="O84" s="218"/>
    </row>
    <row r="85" spans="2:15" x14ac:dyDescent="0.15">
      <c r="I85" s="218"/>
      <c r="J85" s="218"/>
      <c r="K85" s="218"/>
      <c r="L85" s="218"/>
      <c r="M85" s="218"/>
      <c r="N85" s="218"/>
      <c r="O85" s="218"/>
    </row>
    <row r="86" spans="2:15" x14ac:dyDescent="0.15">
      <c r="I86" s="218"/>
      <c r="J86" s="218"/>
      <c r="K86" s="218"/>
      <c r="L86" s="218"/>
      <c r="M86" s="218"/>
      <c r="N86" s="218"/>
      <c r="O86" s="218"/>
    </row>
    <row r="87" spans="2:15" x14ac:dyDescent="0.15">
      <c r="I87" s="218"/>
      <c r="J87" s="218"/>
      <c r="K87" s="218"/>
      <c r="L87" s="218"/>
      <c r="M87" s="218"/>
      <c r="N87" s="218"/>
      <c r="O87" s="218"/>
    </row>
    <row r="88" spans="2:15" x14ac:dyDescent="0.15">
      <c r="I88" s="218"/>
      <c r="J88" s="218"/>
      <c r="K88" s="218"/>
      <c r="L88" s="218"/>
      <c r="M88" s="218"/>
      <c r="N88" s="218"/>
      <c r="O88" s="218"/>
    </row>
    <row r="89" spans="2:15" x14ac:dyDescent="0.15">
      <c r="I89" s="218"/>
      <c r="J89" s="218"/>
      <c r="K89" s="218"/>
      <c r="L89" s="218"/>
      <c r="M89" s="218"/>
      <c r="N89" s="218"/>
      <c r="O89" s="218"/>
    </row>
    <row r="90" spans="2:15" x14ac:dyDescent="0.15">
      <c r="I90" s="218"/>
      <c r="J90" s="218"/>
      <c r="K90" s="218"/>
      <c r="L90" s="218"/>
      <c r="M90" s="218"/>
      <c r="N90" s="218"/>
      <c r="O90" s="218"/>
    </row>
    <row r="91" spans="2:15" x14ac:dyDescent="0.15">
      <c r="I91" s="218"/>
      <c r="J91" s="218"/>
      <c r="K91" s="218"/>
      <c r="L91" s="218"/>
      <c r="M91" s="218"/>
      <c r="N91" s="218"/>
      <c r="O91" s="218"/>
    </row>
    <row r="92" spans="2:15" x14ac:dyDescent="0.15">
      <c r="I92" s="218"/>
      <c r="J92" s="218"/>
      <c r="K92" s="218"/>
      <c r="L92" s="218"/>
      <c r="M92" s="218"/>
      <c r="N92" s="218"/>
      <c r="O92" s="218"/>
    </row>
    <row r="93" spans="2:15" x14ac:dyDescent="0.15">
      <c r="I93" s="218"/>
      <c r="J93" s="218"/>
      <c r="K93" s="218"/>
      <c r="L93" s="218"/>
      <c r="M93" s="218"/>
      <c r="N93" s="218"/>
      <c r="O93" s="218"/>
    </row>
    <row r="94" spans="2:15" x14ac:dyDescent="0.15">
      <c r="I94" s="218"/>
      <c r="J94" s="218"/>
      <c r="K94" s="218"/>
      <c r="L94" s="218"/>
      <c r="M94" s="218"/>
      <c r="N94" s="218"/>
      <c r="O94" s="218"/>
    </row>
    <row r="95" spans="2:15" x14ac:dyDescent="0.15">
      <c r="I95" s="218"/>
      <c r="J95" s="218"/>
      <c r="K95" s="218"/>
      <c r="L95" s="218"/>
      <c r="M95" s="218"/>
      <c r="N95" s="218"/>
      <c r="O95" s="218"/>
    </row>
    <row r="96" spans="2:15" x14ac:dyDescent="0.15">
      <c r="I96" s="218"/>
      <c r="J96" s="218"/>
      <c r="K96" s="218"/>
      <c r="L96" s="218"/>
      <c r="M96" s="218"/>
      <c r="N96" s="218"/>
      <c r="O96" s="218"/>
    </row>
    <row r="97" spans="9:15" x14ac:dyDescent="0.15">
      <c r="I97" s="218"/>
      <c r="J97" s="218"/>
      <c r="K97" s="218"/>
      <c r="L97" s="218"/>
      <c r="M97" s="218"/>
      <c r="N97" s="218"/>
      <c r="O97" s="218"/>
    </row>
    <row r="98" spans="9:15" x14ac:dyDescent="0.15">
      <c r="I98" s="218"/>
      <c r="J98" s="218"/>
      <c r="K98" s="218"/>
      <c r="L98" s="218"/>
      <c r="M98" s="218"/>
      <c r="N98" s="218"/>
      <c r="O98" s="218"/>
    </row>
    <row r="99" spans="9:15" x14ac:dyDescent="0.15">
      <c r="I99" s="218"/>
      <c r="J99" s="218"/>
      <c r="K99" s="218"/>
      <c r="L99" s="218"/>
      <c r="M99" s="218"/>
      <c r="N99" s="218"/>
      <c r="O99" s="218"/>
    </row>
    <row r="100" spans="9:15" x14ac:dyDescent="0.15">
      <c r="I100" s="218"/>
      <c r="J100" s="218"/>
      <c r="K100" s="218"/>
      <c r="L100" s="218"/>
      <c r="M100" s="218"/>
      <c r="N100" s="218"/>
      <c r="O100" s="218"/>
    </row>
    <row r="101" spans="9:15" x14ac:dyDescent="0.15">
      <c r="I101" s="218"/>
      <c r="J101" s="218"/>
      <c r="K101" s="218"/>
      <c r="L101" s="218"/>
      <c r="M101" s="218"/>
      <c r="N101" s="218"/>
      <c r="O101" s="218"/>
    </row>
    <row r="102" spans="9:15" x14ac:dyDescent="0.15">
      <c r="I102" s="218"/>
      <c r="J102" s="218"/>
      <c r="K102" s="218"/>
      <c r="L102" s="218"/>
      <c r="M102" s="218"/>
      <c r="N102" s="218"/>
      <c r="O102" s="218"/>
    </row>
    <row r="103" spans="9:15" x14ac:dyDescent="0.15">
      <c r="I103" s="218"/>
      <c r="J103" s="218"/>
      <c r="K103" s="218"/>
      <c r="L103" s="218"/>
      <c r="M103" s="218"/>
      <c r="N103" s="218"/>
      <c r="O103" s="218"/>
    </row>
    <row r="104" spans="9:15" x14ac:dyDescent="0.15">
      <c r="I104" s="218"/>
      <c r="J104" s="218"/>
      <c r="K104" s="218"/>
      <c r="L104" s="218"/>
      <c r="M104" s="218"/>
      <c r="N104" s="218"/>
      <c r="O104" s="218"/>
    </row>
    <row r="105" spans="9:15" x14ac:dyDescent="0.15">
      <c r="I105" s="218"/>
      <c r="J105" s="218"/>
      <c r="K105" s="218"/>
      <c r="L105" s="218"/>
      <c r="M105" s="218"/>
      <c r="N105" s="218"/>
      <c r="O105" s="218"/>
    </row>
    <row r="106" spans="9:15" x14ac:dyDescent="0.15">
      <c r="I106" s="218"/>
      <c r="J106" s="218"/>
      <c r="K106" s="218"/>
      <c r="L106" s="218"/>
      <c r="M106" s="218"/>
      <c r="N106" s="218"/>
      <c r="O106" s="218"/>
    </row>
    <row r="107" spans="9:15" x14ac:dyDescent="0.15">
      <c r="I107" s="218"/>
      <c r="J107" s="218"/>
      <c r="K107" s="218"/>
      <c r="L107" s="218"/>
      <c r="M107" s="218"/>
      <c r="N107" s="218"/>
      <c r="O107" s="218"/>
    </row>
    <row r="108" spans="9:15" x14ac:dyDescent="0.15">
      <c r="I108" s="218"/>
      <c r="J108" s="218"/>
      <c r="K108" s="218"/>
      <c r="L108" s="218"/>
      <c r="M108" s="218"/>
      <c r="N108" s="218"/>
      <c r="O108" s="218"/>
    </row>
    <row r="109" spans="9:15" x14ac:dyDescent="0.15">
      <c r="I109" s="218"/>
      <c r="J109" s="218"/>
      <c r="K109" s="218"/>
      <c r="L109" s="218"/>
      <c r="M109" s="218"/>
      <c r="N109" s="218"/>
      <c r="O109" s="218"/>
    </row>
    <row r="110" spans="9:15" x14ac:dyDescent="0.15">
      <c r="I110" s="218"/>
      <c r="J110" s="218"/>
      <c r="K110" s="218"/>
      <c r="L110" s="218"/>
      <c r="M110" s="218"/>
      <c r="N110" s="218"/>
      <c r="O110" s="218"/>
    </row>
    <row r="111" spans="9:15" x14ac:dyDescent="0.15">
      <c r="I111" s="218"/>
      <c r="J111" s="218"/>
      <c r="K111" s="218"/>
      <c r="L111" s="218"/>
      <c r="M111" s="218"/>
      <c r="N111" s="218"/>
      <c r="O111" s="218"/>
    </row>
    <row r="112" spans="9:15" x14ac:dyDescent="0.15">
      <c r="I112" s="218"/>
      <c r="J112" s="218"/>
      <c r="K112" s="218"/>
      <c r="L112" s="218"/>
      <c r="M112" s="218"/>
      <c r="N112" s="218"/>
      <c r="O112" s="218"/>
    </row>
    <row r="113" spans="9:15" x14ac:dyDescent="0.15">
      <c r="I113" s="218"/>
      <c r="J113" s="218"/>
      <c r="K113" s="218"/>
      <c r="L113" s="218"/>
      <c r="M113" s="218"/>
      <c r="N113" s="218"/>
      <c r="O113" s="218"/>
    </row>
    <row r="114" spans="9:15" x14ac:dyDescent="0.15">
      <c r="I114" s="218"/>
      <c r="J114" s="218"/>
      <c r="K114" s="218"/>
      <c r="L114" s="218"/>
      <c r="M114" s="218"/>
      <c r="N114" s="218"/>
      <c r="O114" s="218"/>
    </row>
    <row r="115" spans="9:15" x14ac:dyDescent="0.15">
      <c r="I115" s="218"/>
      <c r="J115" s="218"/>
      <c r="K115" s="218"/>
      <c r="L115" s="218"/>
      <c r="M115" s="218"/>
      <c r="N115" s="218"/>
      <c r="O115" s="218"/>
    </row>
    <row r="116" spans="9:15" x14ac:dyDescent="0.15">
      <c r="I116" s="218"/>
      <c r="J116" s="218"/>
      <c r="K116" s="218"/>
      <c r="L116" s="218"/>
      <c r="M116" s="218"/>
      <c r="N116" s="218"/>
      <c r="O116" s="218"/>
    </row>
    <row r="117" spans="9:15" x14ac:dyDescent="0.15">
      <c r="I117" s="218"/>
      <c r="J117" s="218"/>
      <c r="K117" s="218"/>
      <c r="L117" s="218"/>
      <c r="M117" s="218"/>
      <c r="N117" s="218"/>
      <c r="O117" s="218"/>
    </row>
    <row r="118" spans="9:15" x14ac:dyDescent="0.15">
      <c r="I118" s="218"/>
      <c r="J118" s="218"/>
      <c r="K118" s="218"/>
      <c r="L118" s="218"/>
      <c r="M118" s="218"/>
      <c r="N118" s="218"/>
      <c r="O118" s="218"/>
    </row>
    <row r="119" spans="9:15" x14ac:dyDescent="0.15">
      <c r="I119" s="218"/>
      <c r="J119" s="218"/>
      <c r="K119" s="218"/>
      <c r="L119" s="218"/>
      <c r="M119" s="218"/>
      <c r="N119" s="218"/>
      <c r="O119" s="218"/>
    </row>
    <row r="120" spans="9:15" x14ac:dyDescent="0.15">
      <c r="I120" s="218"/>
      <c r="J120" s="218"/>
      <c r="K120" s="218"/>
      <c r="L120" s="218"/>
      <c r="M120" s="218"/>
      <c r="N120" s="218"/>
      <c r="O120" s="218"/>
    </row>
    <row r="121" spans="9:15" x14ac:dyDescent="0.15">
      <c r="I121" s="218"/>
      <c r="J121" s="218"/>
      <c r="K121" s="218"/>
      <c r="L121" s="218"/>
      <c r="M121" s="218"/>
      <c r="N121" s="218"/>
      <c r="O121" s="218"/>
    </row>
    <row r="122" spans="9:15" x14ac:dyDescent="0.15">
      <c r="I122" s="218"/>
      <c r="J122" s="218"/>
      <c r="K122" s="218"/>
      <c r="L122" s="218"/>
      <c r="M122" s="218"/>
      <c r="N122" s="218"/>
      <c r="O122" s="218"/>
    </row>
    <row r="123" spans="9:15" x14ac:dyDescent="0.15">
      <c r="I123" s="218"/>
      <c r="J123" s="218"/>
      <c r="K123" s="218"/>
      <c r="L123" s="218"/>
      <c r="M123" s="218"/>
      <c r="N123" s="218"/>
      <c r="O123" s="218"/>
    </row>
    <row r="124" spans="9:15" x14ac:dyDescent="0.15">
      <c r="I124" s="218"/>
      <c r="J124" s="218"/>
      <c r="K124" s="218"/>
      <c r="L124" s="218"/>
      <c r="M124" s="218"/>
      <c r="N124" s="218"/>
      <c r="O124" s="218"/>
    </row>
    <row r="125" spans="9:15" x14ac:dyDescent="0.15">
      <c r="I125" s="218"/>
      <c r="J125" s="218"/>
      <c r="K125" s="218"/>
      <c r="L125" s="218"/>
      <c r="M125" s="218"/>
      <c r="N125" s="218"/>
      <c r="O125" s="218"/>
    </row>
    <row r="126" spans="9:15" x14ac:dyDescent="0.15">
      <c r="I126" s="218"/>
      <c r="J126" s="218"/>
      <c r="K126" s="218"/>
      <c r="L126" s="218"/>
      <c r="M126" s="218"/>
      <c r="N126" s="218"/>
      <c r="O126" s="218"/>
    </row>
    <row r="127" spans="9:15" x14ac:dyDescent="0.15">
      <c r="I127" s="218"/>
      <c r="J127" s="218"/>
      <c r="K127" s="218"/>
      <c r="L127" s="218"/>
      <c r="M127" s="218"/>
      <c r="N127" s="218"/>
      <c r="O127" s="218"/>
    </row>
    <row r="128" spans="9:15" x14ac:dyDescent="0.15">
      <c r="I128" s="218"/>
      <c r="J128" s="218"/>
      <c r="K128" s="218"/>
      <c r="L128" s="218"/>
      <c r="M128" s="218"/>
      <c r="N128" s="218"/>
      <c r="O128" s="218"/>
    </row>
    <row r="129" spans="9:15" x14ac:dyDescent="0.15">
      <c r="I129" s="218"/>
      <c r="J129" s="218"/>
      <c r="K129" s="218"/>
      <c r="L129" s="218"/>
      <c r="M129" s="218"/>
      <c r="N129" s="218"/>
      <c r="O129" s="218"/>
    </row>
    <row r="130" spans="9:15" x14ac:dyDescent="0.15">
      <c r="I130" s="218"/>
      <c r="J130" s="218"/>
      <c r="K130" s="218"/>
      <c r="L130" s="218"/>
      <c r="M130" s="218"/>
      <c r="N130" s="218"/>
      <c r="O130" s="218"/>
    </row>
    <row r="131" spans="9:15" x14ac:dyDescent="0.15">
      <c r="I131" s="218"/>
      <c r="J131" s="218"/>
      <c r="K131" s="218"/>
      <c r="L131" s="218"/>
      <c r="M131" s="218"/>
      <c r="N131" s="218"/>
      <c r="O131" s="218"/>
    </row>
    <row r="132" spans="9:15" x14ac:dyDescent="0.15">
      <c r="I132" s="218"/>
      <c r="J132" s="218"/>
      <c r="K132" s="218"/>
      <c r="L132" s="218"/>
      <c r="M132" s="218"/>
      <c r="N132" s="218"/>
      <c r="O132" s="218"/>
    </row>
    <row r="133" spans="9:15" x14ac:dyDescent="0.15">
      <c r="I133" s="218"/>
      <c r="J133" s="218"/>
      <c r="K133" s="218"/>
      <c r="L133" s="218"/>
      <c r="M133" s="218"/>
      <c r="N133" s="218"/>
      <c r="O133" s="218"/>
    </row>
    <row r="134" spans="9:15" x14ac:dyDescent="0.15">
      <c r="I134" s="218"/>
      <c r="J134" s="218"/>
      <c r="K134" s="218"/>
      <c r="L134" s="218"/>
      <c r="M134" s="218"/>
      <c r="N134" s="218"/>
      <c r="O134" s="218"/>
    </row>
    <row r="135" spans="9:15" x14ac:dyDescent="0.15">
      <c r="I135" s="218"/>
      <c r="J135" s="218"/>
      <c r="K135" s="218"/>
      <c r="L135" s="218"/>
      <c r="M135" s="218"/>
      <c r="N135" s="218"/>
      <c r="O135" s="218"/>
    </row>
    <row r="136" spans="9:15" x14ac:dyDescent="0.15">
      <c r="I136" s="218"/>
      <c r="J136" s="218"/>
      <c r="K136" s="218"/>
      <c r="L136" s="218"/>
      <c r="M136" s="218"/>
      <c r="N136" s="218"/>
      <c r="O136" s="218"/>
    </row>
    <row r="137" spans="9:15" x14ac:dyDescent="0.15">
      <c r="I137" s="218"/>
      <c r="J137" s="218"/>
      <c r="K137" s="218"/>
      <c r="L137" s="218"/>
      <c r="M137" s="218"/>
      <c r="N137" s="218"/>
      <c r="O137" s="218"/>
    </row>
    <row r="138" spans="9:15" x14ac:dyDescent="0.15">
      <c r="I138" s="218"/>
      <c r="J138" s="218"/>
      <c r="K138" s="218"/>
      <c r="L138" s="218"/>
      <c r="M138" s="218"/>
      <c r="N138" s="218"/>
      <c r="O138" s="218"/>
    </row>
    <row r="139" spans="9:15" x14ac:dyDescent="0.15">
      <c r="I139" s="218"/>
      <c r="J139" s="218"/>
      <c r="K139" s="218"/>
      <c r="L139" s="218"/>
      <c r="M139" s="218"/>
      <c r="N139" s="218"/>
      <c r="O139" s="218"/>
    </row>
    <row r="140" spans="9:15" x14ac:dyDescent="0.15">
      <c r="I140" s="218"/>
      <c r="J140" s="218"/>
      <c r="K140" s="218"/>
      <c r="L140" s="218"/>
      <c r="M140" s="218"/>
      <c r="N140" s="218"/>
    </row>
    <row r="141" spans="9:15" x14ac:dyDescent="0.15">
      <c r="I141" s="218"/>
      <c r="J141" s="218"/>
      <c r="K141" s="218"/>
      <c r="L141" s="218"/>
      <c r="M141" s="218"/>
      <c r="N141" s="218"/>
    </row>
    <row r="142" spans="9:15" x14ac:dyDescent="0.15">
      <c r="I142" s="218"/>
      <c r="J142" s="218"/>
      <c r="K142" s="218"/>
      <c r="L142" s="218"/>
      <c r="M142" s="218"/>
      <c r="N142" s="218"/>
    </row>
    <row r="143" spans="9:15" x14ac:dyDescent="0.15">
      <c r="I143" s="218"/>
      <c r="J143" s="218"/>
      <c r="K143" s="218"/>
      <c r="L143" s="218"/>
      <c r="M143" s="218"/>
      <c r="N143" s="218"/>
    </row>
    <row r="144" spans="9:15" x14ac:dyDescent="0.15">
      <c r="I144" s="218"/>
      <c r="J144" s="218"/>
      <c r="K144" s="218"/>
      <c r="L144" s="218"/>
      <c r="M144" s="218"/>
      <c r="N144" s="218"/>
    </row>
    <row r="145" spans="9:14" x14ac:dyDescent="0.15">
      <c r="I145" s="218"/>
      <c r="J145" s="218"/>
      <c r="K145" s="218"/>
      <c r="L145" s="218"/>
      <c r="M145" s="218"/>
      <c r="N145" s="218"/>
    </row>
    <row r="146" spans="9:14" x14ac:dyDescent="0.15">
      <c r="I146" s="218"/>
      <c r="J146" s="218"/>
      <c r="K146" s="218"/>
      <c r="L146" s="218"/>
      <c r="M146" s="218"/>
      <c r="N146" s="218"/>
    </row>
    <row r="147" spans="9:14" x14ac:dyDescent="0.15">
      <c r="I147" s="218"/>
      <c r="J147" s="218"/>
      <c r="K147" s="218"/>
      <c r="L147" s="218"/>
      <c r="M147" s="218"/>
      <c r="N147" s="218"/>
    </row>
    <row r="148" spans="9:14" x14ac:dyDescent="0.15">
      <c r="I148" s="218"/>
      <c r="J148" s="218"/>
      <c r="K148" s="218"/>
      <c r="L148" s="218"/>
      <c r="M148" s="218"/>
      <c r="N148" s="218"/>
    </row>
    <row r="149" spans="9:14" x14ac:dyDescent="0.15">
      <c r="I149" s="218"/>
      <c r="J149" s="218"/>
      <c r="K149" s="218"/>
      <c r="L149" s="218"/>
      <c r="M149" s="218"/>
      <c r="N149" s="218"/>
    </row>
    <row r="150" spans="9:14" x14ac:dyDescent="0.15">
      <c r="I150" s="218"/>
      <c r="J150" s="218"/>
      <c r="K150" s="218"/>
      <c r="L150" s="218"/>
      <c r="M150" s="218"/>
      <c r="N150" s="218"/>
    </row>
    <row r="151" spans="9:14" x14ac:dyDescent="0.15">
      <c r="I151" s="218"/>
      <c r="J151" s="218"/>
      <c r="K151" s="218"/>
      <c r="L151" s="218"/>
      <c r="M151" s="218"/>
      <c r="N151" s="218"/>
    </row>
    <row r="152" spans="9:14" x14ac:dyDescent="0.15">
      <c r="I152" s="218"/>
      <c r="J152" s="218"/>
      <c r="K152" s="218"/>
      <c r="L152" s="218"/>
      <c r="M152" s="218"/>
      <c r="N152" s="218"/>
    </row>
    <row r="153" spans="9:14" x14ac:dyDescent="0.15">
      <c r="I153" s="218"/>
      <c r="J153" s="218"/>
      <c r="K153" s="218"/>
      <c r="L153" s="218"/>
      <c r="M153" s="218"/>
      <c r="N153" s="218"/>
    </row>
    <row r="154" spans="9:14" x14ac:dyDescent="0.15">
      <c r="I154" s="218"/>
      <c r="J154" s="218"/>
      <c r="K154" s="218"/>
      <c r="L154" s="218"/>
      <c r="M154" s="218"/>
      <c r="N154" s="218"/>
    </row>
    <row r="155" spans="9:14" x14ac:dyDescent="0.15">
      <c r="J155" s="218"/>
      <c r="K155" s="218"/>
      <c r="L155" s="218"/>
      <c r="M155" s="218"/>
      <c r="N155" s="218"/>
    </row>
    <row r="156" spans="9:14" x14ac:dyDescent="0.15">
      <c r="J156" s="218"/>
      <c r="K156" s="218"/>
      <c r="L156" s="218"/>
      <c r="M156" s="218"/>
      <c r="N156" s="218"/>
    </row>
    <row r="173" spans="15:15" x14ac:dyDescent="0.15">
      <c r="O173" s="218"/>
    </row>
    <row r="174" spans="15:15" x14ac:dyDescent="0.15">
      <c r="O174" s="218"/>
    </row>
    <row r="175" spans="15:15" x14ac:dyDescent="0.15">
      <c r="O175" s="218"/>
    </row>
    <row r="176" spans="15:15" x14ac:dyDescent="0.15">
      <c r="O176" s="218"/>
    </row>
    <row r="177" spans="15:15" x14ac:dyDescent="0.15">
      <c r="O177" s="218"/>
    </row>
    <row r="178" spans="15:15" x14ac:dyDescent="0.15">
      <c r="O178" s="218"/>
    </row>
    <row r="179" spans="15:15" x14ac:dyDescent="0.15">
      <c r="O179" s="218"/>
    </row>
    <row r="180" spans="15:15" x14ac:dyDescent="0.15">
      <c r="O180" s="218"/>
    </row>
    <row r="181" spans="15:15" x14ac:dyDescent="0.15">
      <c r="O181" s="218"/>
    </row>
    <row r="182" spans="15:15" x14ac:dyDescent="0.15">
      <c r="O182" s="218"/>
    </row>
    <row r="183" spans="15:15" x14ac:dyDescent="0.15">
      <c r="O183" s="218"/>
    </row>
    <row r="184" spans="15:15" x14ac:dyDescent="0.15">
      <c r="O184" s="218"/>
    </row>
    <row r="185" spans="15:15" x14ac:dyDescent="0.15">
      <c r="O185" s="218"/>
    </row>
    <row r="186" spans="15:15" x14ac:dyDescent="0.15">
      <c r="O186" s="218"/>
    </row>
    <row r="187" spans="15:15" x14ac:dyDescent="0.15">
      <c r="O187" s="218"/>
    </row>
    <row r="188" spans="15:15" x14ac:dyDescent="0.15">
      <c r="O188" s="218"/>
    </row>
    <row r="189" spans="15:15" x14ac:dyDescent="0.15">
      <c r="O189" s="218"/>
    </row>
    <row r="190" spans="15:15" x14ac:dyDescent="0.15">
      <c r="O190" s="218"/>
    </row>
    <row r="191" spans="15:15" x14ac:dyDescent="0.15">
      <c r="O191" s="218"/>
    </row>
    <row r="192" spans="15:15" x14ac:dyDescent="0.15">
      <c r="O192" s="218"/>
    </row>
  </sheetData>
  <mergeCells count="70">
    <mergeCell ref="B12:B16"/>
    <mergeCell ref="T20:U20"/>
    <mergeCell ref="B8:B11"/>
    <mergeCell ref="B5:B7"/>
    <mergeCell ref="T5:U5"/>
    <mergeCell ref="I6:I12"/>
    <mergeCell ref="T6:U6"/>
    <mergeCell ref="T7:U7"/>
    <mergeCell ref="I4:I5"/>
    <mergeCell ref="J4:J5"/>
    <mergeCell ref="M4:M5"/>
    <mergeCell ref="T4:U4"/>
    <mergeCell ref="N4:N5"/>
    <mergeCell ref="T12:U12"/>
    <mergeCell ref="T8:U8"/>
    <mergeCell ref="T9:U9"/>
    <mergeCell ref="T11:U11"/>
    <mergeCell ref="T13:U13"/>
    <mergeCell ref="T14:U14"/>
    <mergeCell ref="T15:U15"/>
    <mergeCell ref="T16:U16"/>
    <mergeCell ref="I13:I16"/>
    <mergeCell ref="P38:P44"/>
    <mergeCell ref="I21:I24"/>
    <mergeCell ref="T21:U21"/>
    <mergeCell ref="T18:U18"/>
    <mergeCell ref="T19:U19"/>
    <mergeCell ref="I43:I46"/>
    <mergeCell ref="I25:I28"/>
    <mergeCell ref="K35:L35"/>
    <mergeCell ref="T17:U17"/>
    <mergeCell ref="Q37:R37"/>
    <mergeCell ref="I36:I42"/>
    <mergeCell ref="B17:B20"/>
    <mergeCell ref="I17:I20"/>
    <mergeCell ref="K38:L38"/>
    <mergeCell ref="I29:I32"/>
    <mergeCell ref="B21:B24"/>
    <mergeCell ref="B28:B38"/>
    <mergeCell ref="K36:L36"/>
    <mergeCell ref="K37:L37"/>
    <mergeCell ref="B54:B57"/>
    <mergeCell ref="K54:L54"/>
    <mergeCell ref="K55:L55"/>
    <mergeCell ref="I47:I50"/>
    <mergeCell ref="K47:L47"/>
    <mergeCell ref="K49:L49"/>
    <mergeCell ref="I57:J57"/>
    <mergeCell ref="K57:L57"/>
    <mergeCell ref="B50:B53"/>
    <mergeCell ref="B39:B49"/>
    <mergeCell ref="K41:L41"/>
    <mergeCell ref="K40:L40"/>
    <mergeCell ref="K39:L39"/>
    <mergeCell ref="K42:L42"/>
    <mergeCell ref="K43:L43"/>
    <mergeCell ref="K44:L44"/>
    <mergeCell ref="P57:Q57"/>
    <mergeCell ref="K50:L50"/>
    <mergeCell ref="I51:I56"/>
    <mergeCell ref="K53:L53"/>
    <mergeCell ref="K51:L51"/>
    <mergeCell ref="Q51:Q55"/>
    <mergeCell ref="K52:L52"/>
    <mergeCell ref="P45:P56"/>
    <mergeCell ref="Q45:Q49"/>
    <mergeCell ref="K56:L56"/>
    <mergeCell ref="K48:L48"/>
    <mergeCell ref="K45:L45"/>
    <mergeCell ref="K46:L46"/>
  </mergeCells>
  <phoneticPr fontId="5"/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AM192"/>
  <sheetViews>
    <sheetView zoomScale="75" zoomScaleNormal="75" workbookViewId="0"/>
  </sheetViews>
  <sheetFormatPr defaultColWidth="8.875" defaultRowHeight="13.5" x14ac:dyDescent="0.15"/>
  <cols>
    <col min="1" max="1" width="1.625" style="88" customWidth="1"/>
    <col min="2" max="2" width="3.625" style="88" customWidth="1"/>
    <col min="3" max="3" width="19.5" style="88" customWidth="1"/>
    <col min="4" max="7" width="8.625" style="88" customWidth="1"/>
    <col min="8" max="8" width="2.375" style="218" customWidth="1"/>
    <col min="9" max="9" width="3.625" style="88" customWidth="1"/>
    <col min="10" max="10" width="15.625" style="88" customWidth="1"/>
    <col min="11" max="14" width="8.625" style="88" customWidth="1"/>
    <col min="15" max="15" width="3.5" style="88" customWidth="1"/>
    <col min="16" max="16" width="15.625" style="187" customWidth="1"/>
    <col min="17" max="17" width="8.625" style="88" customWidth="1"/>
    <col min="18" max="18" width="8.625" style="89" customWidth="1"/>
    <col min="19" max="21" width="8.625" style="88" customWidth="1"/>
    <col min="22" max="22" width="10.625" style="89" customWidth="1"/>
    <col min="23" max="16384" width="8.875" style="88"/>
  </cols>
  <sheetData>
    <row r="1" spans="2:22" ht="20.25" customHeight="1" x14ac:dyDescent="0.15"/>
    <row r="2" spans="2:22" ht="20.25" customHeight="1" x14ac:dyDescent="0.15">
      <c r="B2" s="1" t="s">
        <v>468</v>
      </c>
      <c r="C2" s="90"/>
      <c r="D2" s="13"/>
      <c r="E2" s="13"/>
      <c r="F2" s="90"/>
      <c r="G2" s="161"/>
      <c r="H2" s="170"/>
      <c r="I2" s="161"/>
      <c r="J2" s="161"/>
      <c r="K2" s="161"/>
      <c r="L2" s="161"/>
      <c r="M2" s="161"/>
      <c r="N2" s="161"/>
      <c r="O2" s="13"/>
    </row>
    <row r="3" spans="2:22" ht="20.25" customHeight="1" thickBot="1" x14ac:dyDescent="0.2">
      <c r="B3" s="88" t="s">
        <v>235</v>
      </c>
      <c r="I3" s="13" t="s">
        <v>236</v>
      </c>
      <c r="P3" s="88" t="s">
        <v>256</v>
      </c>
    </row>
    <row r="4" spans="2:22" ht="20.25" customHeight="1" x14ac:dyDescent="0.15">
      <c r="B4" s="311" t="s">
        <v>89</v>
      </c>
      <c r="C4" s="207" t="s">
        <v>196</v>
      </c>
      <c r="D4" s="207" t="s">
        <v>156</v>
      </c>
      <c r="E4" s="207" t="s">
        <v>157</v>
      </c>
      <c r="F4" s="382" t="s">
        <v>24</v>
      </c>
      <c r="G4" s="195" t="s">
        <v>158</v>
      </c>
      <c r="H4" s="208"/>
      <c r="I4" s="827" t="s">
        <v>89</v>
      </c>
      <c r="J4" s="825" t="s">
        <v>200</v>
      </c>
      <c r="K4" s="211" t="s">
        <v>197</v>
      </c>
      <c r="L4" s="211" t="s">
        <v>159</v>
      </c>
      <c r="M4" s="858" t="s">
        <v>24</v>
      </c>
      <c r="N4" s="860" t="s">
        <v>158</v>
      </c>
      <c r="O4" s="230"/>
      <c r="P4" s="312" t="s">
        <v>203</v>
      </c>
      <c r="Q4" s="313" t="s">
        <v>204</v>
      </c>
      <c r="R4" s="313" t="s">
        <v>205</v>
      </c>
      <c r="S4" s="313" t="s">
        <v>206</v>
      </c>
      <c r="T4" s="838" t="s">
        <v>207</v>
      </c>
      <c r="U4" s="748"/>
      <c r="V4" s="314" t="s">
        <v>208</v>
      </c>
    </row>
    <row r="5" spans="2:22" ht="20.25" customHeight="1" x14ac:dyDescent="0.15">
      <c r="B5" s="710" t="s">
        <v>191</v>
      </c>
      <c r="C5" s="105" t="s">
        <v>391</v>
      </c>
      <c r="D5" s="105">
        <v>20</v>
      </c>
      <c r="E5" s="415" t="s">
        <v>195</v>
      </c>
      <c r="F5" s="105">
        <v>3500</v>
      </c>
      <c r="G5" s="196">
        <f>D5*F5</f>
        <v>70000</v>
      </c>
      <c r="H5" s="209"/>
      <c r="I5" s="828"/>
      <c r="J5" s="826"/>
      <c r="K5" s="213" t="s">
        <v>161</v>
      </c>
      <c r="L5" s="213" t="s">
        <v>316</v>
      </c>
      <c r="M5" s="859"/>
      <c r="N5" s="861"/>
      <c r="O5" s="230"/>
      <c r="P5" s="413" t="s">
        <v>484</v>
      </c>
      <c r="Q5" s="471"/>
      <c r="R5" s="414" t="s">
        <v>485</v>
      </c>
      <c r="S5" s="471"/>
      <c r="T5" s="816" t="s">
        <v>486</v>
      </c>
      <c r="U5" s="839"/>
      <c r="V5" s="416">
        <v>5806.666666666667</v>
      </c>
    </row>
    <row r="6" spans="2:22" ht="20.25" customHeight="1" x14ac:dyDescent="0.15">
      <c r="B6" s="711"/>
      <c r="C6" s="87"/>
      <c r="D6" s="87"/>
      <c r="E6" s="98" t="s">
        <v>160</v>
      </c>
      <c r="F6" s="87"/>
      <c r="G6" s="197">
        <f>D6*F6</f>
        <v>0</v>
      </c>
      <c r="H6" s="209"/>
      <c r="I6" s="854" t="s">
        <v>199</v>
      </c>
      <c r="J6" s="105" t="s">
        <v>313</v>
      </c>
      <c r="K6" s="388">
        <v>8.4</v>
      </c>
      <c r="L6" s="388">
        <v>13</v>
      </c>
      <c r="M6" s="388">
        <v>84.7</v>
      </c>
      <c r="N6" s="492">
        <f t="shared" ref="N6:N11" si="0">K6*L6*M6</f>
        <v>9249.24</v>
      </c>
      <c r="O6" s="230"/>
      <c r="P6" s="315"/>
      <c r="Q6" s="193"/>
      <c r="R6" s="224"/>
      <c r="S6" s="193"/>
      <c r="T6" s="862"/>
      <c r="U6" s="863"/>
      <c r="V6" s="219"/>
    </row>
    <row r="7" spans="2:22" ht="20.25" customHeight="1" thickBot="1" x14ac:dyDescent="0.2">
      <c r="B7" s="824"/>
      <c r="C7" s="198" t="s">
        <v>162</v>
      </c>
      <c r="D7" s="198"/>
      <c r="E7" s="198"/>
      <c r="F7" s="198"/>
      <c r="G7" s="199">
        <f>SUM(G5:G6)</f>
        <v>70000</v>
      </c>
      <c r="H7" s="209"/>
      <c r="I7" s="855"/>
      <c r="J7" s="105" t="s">
        <v>314</v>
      </c>
      <c r="K7" s="388">
        <v>2.6</v>
      </c>
      <c r="L7" s="388">
        <f>5+6.5</f>
        <v>11.5</v>
      </c>
      <c r="M7" s="388">
        <v>84.7</v>
      </c>
      <c r="N7" s="492">
        <f t="shared" si="0"/>
        <v>2532.5300000000002</v>
      </c>
      <c r="O7" s="230"/>
      <c r="P7" s="315"/>
      <c r="Q7" s="193"/>
      <c r="R7" s="224"/>
      <c r="S7" s="193"/>
      <c r="T7" s="862"/>
      <c r="U7" s="863"/>
      <c r="V7" s="219"/>
    </row>
    <row r="8" spans="2:22" ht="20.25" customHeight="1" thickTop="1" x14ac:dyDescent="0.15">
      <c r="B8" s="823" t="s">
        <v>189</v>
      </c>
      <c r="C8" s="87"/>
      <c r="D8" s="87"/>
      <c r="E8" s="98"/>
      <c r="F8" s="87"/>
      <c r="G8" s="197">
        <f>D8*F8</f>
        <v>0</v>
      </c>
      <c r="H8" s="209"/>
      <c r="I8" s="855"/>
      <c r="J8" s="105" t="s">
        <v>322</v>
      </c>
      <c r="K8" s="388">
        <v>1.2</v>
      </c>
      <c r="L8" s="388">
        <v>3</v>
      </c>
      <c r="M8" s="388">
        <v>84.7</v>
      </c>
      <c r="N8" s="492">
        <f t="shared" si="0"/>
        <v>304.91999999999996</v>
      </c>
      <c r="O8" s="230"/>
      <c r="P8" s="315"/>
      <c r="Q8" s="193"/>
      <c r="R8" s="224"/>
      <c r="S8" s="193"/>
      <c r="T8" s="862"/>
      <c r="U8" s="863"/>
      <c r="V8" s="219"/>
    </row>
    <row r="9" spans="2:22" ht="20.25" customHeight="1" x14ac:dyDescent="0.15">
      <c r="B9" s="711"/>
      <c r="C9" s="87"/>
      <c r="D9" s="87"/>
      <c r="E9" s="98"/>
      <c r="F9" s="87"/>
      <c r="G9" s="197">
        <f>D9*F9</f>
        <v>0</v>
      </c>
      <c r="H9" s="209"/>
      <c r="I9" s="855"/>
      <c r="J9" s="495"/>
      <c r="K9" s="460"/>
      <c r="L9" s="460"/>
      <c r="M9" s="388"/>
      <c r="N9" s="496">
        <f t="shared" si="0"/>
        <v>0</v>
      </c>
      <c r="O9" s="230"/>
      <c r="P9" s="315"/>
      <c r="Q9" s="193"/>
      <c r="R9" s="224"/>
      <c r="S9" s="193"/>
      <c r="T9" s="862"/>
      <c r="U9" s="863"/>
      <c r="V9" s="219"/>
    </row>
    <row r="10" spans="2:22" ht="20.25" customHeight="1" x14ac:dyDescent="0.15">
      <c r="B10" s="711"/>
      <c r="C10" s="87"/>
      <c r="D10" s="87"/>
      <c r="E10" s="98"/>
      <c r="F10" s="87"/>
      <c r="G10" s="197">
        <f>D10*F10</f>
        <v>0</v>
      </c>
      <c r="H10" s="209"/>
      <c r="I10" s="855"/>
      <c r="J10" s="497" t="s">
        <v>323</v>
      </c>
      <c r="K10" s="461">
        <v>1.4</v>
      </c>
      <c r="L10" s="461">
        <v>3.5</v>
      </c>
      <c r="M10" s="388">
        <v>84.7</v>
      </c>
      <c r="N10" s="498">
        <f t="shared" si="0"/>
        <v>415.03</v>
      </c>
      <c r="O10" s="230"/>
      <c r="P10" s="315"/>
      <c r="Q10" s="193"/>
      <c r="R10" s="224"/>
      <c r="S10" s="193"/>
      <c r="T10" s="377"/>
      <c r="U10" s="365"/>
      <c r="V10" s="219"/>
    </row>
    <row r="11" spans="2:22" ht="20.25" customHeight="1" thickBot="1" x14ac:dyDescent="0.2">
      <c r="B11" s="824"/>
      <c r="C11" s="200" t="s">
        <v>163</v>
      </c>
      <c r="D11" s="201"/>
      <c r="E11" s="201"/>
      <c r="F11" s="201"/>
      <c r="G11" s="202">
        <f>SUM(G8:G10)</f>
        <v>0</v>
      </c>
      <c r="H11" s="209"/>
      <c r="I11" s="855"/>
      <c r="J11" s="380"/>
      <c r="K11" s="462"/>
      <c r="L11" s="462"/>
      <c r="M11" s="388"/>
      <c r="N11" s="381">
        <f t="shared" si="0"/>
        <v>0</v>
      </c>
      <c r="O11" s="230"/>
      <c r="P11" s="315"/>
      <c r="Q11" s="193"/>
      <c r="R11" s="224"/>
      <c r="S11" s="193"/>
      <c r="T11" s="862"/>
      <c r="U11" s="863"/>
      <c r="V11" s="219"/>
    </row>
    <row r="12" spans="2:22" ht="20.25" customHeight="1" thickTop="1" thickBot="1" x14ac:dyDescent="0.2">
      <c r="B12" s="823" t="s">
        <v>190</v>
      </c>
      <c r="C12" s="87" t="s">
        <v>526</v>
      </c>
      <c r="D12" s="105">
        <v>270</v>
      </c>
      <c r="E12" s="98" t="s">
        <v>302</v>
      </c>
      <c r="F12" s="105">
        <f>5240/20</f>
        <v>262</v>
      </c>
      <c r="G12" s="197">
        <f>D12*F12</f>
        <v>70740</v>
      </c>
      <c r="H12" s="209"/>
      <c r="I12" s="856"/>
      <c r="J12" s="200" t="s">
        <v>261</v>
      </c>
      <c r="K12" s="366">
        <f>SUM(K6:K10)</f>
        <v>13.6</v>
      </c>
      <c r="L12" s="366">
        <f>SUM(L6:L11)</f>
        <v>31</v>
      </c>
      <c r="M12" s="366"/>
      <c r="N12" s="368">
        <f>SUM(N6:N11)</f>
        <v>12501.720000000001</v>
      </c>
      <c r="O12" s="230"/>
      <c r="P12" s="315"/>
      <c r="Q12" s="193"/>
      <c r="R12" s="224"/>
      <c r="S12" s="193"/>
      <c r="T12" s="862"/>
      <c r="U12" s="863"/>
      <c r="V12" s="219"/>
    </row>
    <row r="13" spans="2:22" ht="20.25" customHeight="1" thickTop="1" x14ac:dyDescent="0.15">
      <c r="B13" s="711"/>
      <c r="C13" s="87"/>
      <c r="D13" s="87"/>
      <c r="E13" s="98"/>
      <c r="F13" s="87"/>
      <c r="G13" s="197">
        <f>D13*F13</f>
        <v>0</v>
      </c>
      <c r="H13" s="209"/>
      <c r="I13" s="835" t="s">
        <v>48</v>
      </c>
      <c r="J13" s="87" t="s">
        <v>315</v>
      </c>
      <c r="K13" s="388">
        <v>3.7</v>
      </c>
      <c r="L13" s="388">
        <v>3.1</v>
      </c>
      <c r="M13" s="388">
        <v>158.4</v>
      </c>
      <c r="N13" s="492">
        <f>K13*L13*M13</f>
        <v>1816.8480000000002</v>
      </c>
      <c r="O13" s="230"/>
      <c r="P13" s="315"/>
      <c r="Q13" s="193"/>
      <c r="R13" s="224"/>
      <c r="S13" s="193"/>
      <c r="T13" s="862"/>
      <c r="U13" s="863"/>
      <c r="V13" s="219"/>
    </row>
    <row r="14" spans="2:22" ht="20.25" customHeight="1" x14ac:dyDescent="0.15">
      <c r="B14" s="711"/>
      <c r="C14" s="87"/>
      <c r="D14" s="87"/>
      <c r="E14" s="98"/>
      <c r="F14" s="87"/>
      <c r="G14" s="197">
        <f>D14*F14</f>
        <v>0</v>
      </c>
      <c r="H14" s="209"/>
      <c r="I14" s="836"/>
      <c r="J14" s="87"/>
      <c r="K14" s="388"/>
      <c r="L14" s="388"/>
      <c r="M14" s="388"/>
      <c r="N14" s="492">
        <f>K14*L14*M14</f>
        <v>0</v>
      </c>
      <c r="O14" s="230"/>
      <c r="P14" s="315"/>
      <c r="Q14" s="193"/>
      <c r="R14" s="224"/>
      <c r="S14" s="193"/>
      <c r="T14" s="862"/>
      <c r="U14" s="863"/>
      <c r="V14" s="219"/>
    </row>
    <row r="15" spans="2:22" ht="20.25" customHeight="1" x14ac:dyDescent="0.15">
      <c r="B15" s="711"/>
      <c r="C15" s="87"/>
      <c r="D15" s="87"/>
      <c r="E15" s="87"/>
      <c r="F15" s="87"/>
      <c r="G15" s="197">
        <f>D15*F15</f>
        <v>0</v>
      </c>
      <c r="H15" s="209"/>
      <c r="I15" s="836"/>
      <c r="J15" s="87"/>
      <c r="K15" s="214"/>
      <c r="L15" s="214"/>
      <c r="M15" s="214"/>
      <c r="N15" s="367">
        <f>K15*L15*M15</f>
        <v>0</v>
      </c>
      <c r="O15" s="230"/>
      <c r="P15" s="315"/>
      <c r="Q15" s="193"/>
      <c r="R15" s="224"/>
      <c r="S15" s="193"/>
      <c r="T15" s="862"/>
      <c r="U15" s="863"/>
      <c r="V15" s="219"/>
    </row>
    <row r="16" spans="2:22" ht="20.25" customHeight="1" thickBot="1" x14ac:dyDescent="0.2">
      <c r="B16" s="824"/>
      <c r="C16" s="200" t="s">
        <v>163</v>
      </c>
      <c r="D16" s="201"/>
      <c r="E16" s="201"/>
      <c r="F16" s="201"/>
      <c r="G16" s="202">
        <f>SUM(G12:G15)</f>
        <v>70740</v>
      </c>
      <c r="H16" s="209"/>
      <c r="I16" s="837"/>
      <c r="J16" s="316" t="s">
        <v>261</v>
      </c>
      <c r="K16" s="215">
        <f>SUM(K13:K15)</f>
        <v>3.7</v>
      </c>
      <c r="L16" s="215">
        <f>SUM(L13:L15)</f>
        <v>3.1</v>
      </c>
      <c r="M16" s="215"/>
      <c r="N16" s="369">
        <f>SUM(N13:N15)</f>
        <v>1816.8480000000002</v>
      </c>
      <c r="O16" s="230"/>
      <c r="P16" s="315"/>
      <c r="Q16" s="193"/>
      <c r="R16" s="224"/>
      <c r="S16" s="193"/>
      <c r="T16" s="862"/>
      <c r="U16" s="863"/>
      <c r="V16" s="219"/>
    </row>
    <row r="17" spans="2:39" ht="20.25" customHeight="1" thickTop="1" x14ac:dyDescent="0.15">
      <c r="B17" s="823" t="s">
        <v>192</v>
      </c>
      <c r="C17" s="87"/>
      <c r="D17" s="87"/>
      <c r="E17" s="98"/>
      <c r="F17" s="87"/>
      <c r="G17" s="197">
        <f>D17*F17</f>
        <v>0</v>
      </c>
      <c r="H17" s="209"/>
      <c r="I17" s="835" t="s">
        <v>201</v>
      </c>
      <c r="J17" s="87"/>
      <c r="K17" s="214">
        <v>0</v>
      </c>
      <c r="L17" s="214"/>
      <c r="M17" s="214"/>
      <c r="N17" s="367">
        <f>K17*L17*M17</f>
        <v>0</v>
      </c>
      <c r="O17" s="230"/>
      <c r="P17" s="315"/>
      <c r="Q17" s="193"/>
      <c r="R17" s="224"/>
      <c r="S17" s="193"/>
      <c r="T17" s="862"/>
      <c r="U17" s="863"/>
      <c r="V17" s="219"/>
    </row>
    <row r="18" spans="2:39" ht="20.25" customHeight="1" x14ac:dyDescent="0.15">
      <c r="B18" s="711"/>
      <c r="C18" s="87"/>
      <c r="D18" s="87"/>
      <c r="E18" s="98"/>
      <c r="F18" s="87"/>
      <c r="G18" s="197">
        <f>D18*F18</f>
        <v>0</v>
      </c>
      <c r="H18" s="209"/>
      <c r="I18" s="836"/>
      <c r="J18" s="87"/>
      <c r="K18" s="214"/>
      <c r="L18" s="214"/>
      <c r="M18" s="214"/>
      <c r="N18" s="367">
        <f>K18*L18*M18</f>
        <v>0</v>
      </c>
      <c r="O18" s="230"/>
      <c r="P18" s="315"/>
      <c r="Q18" s="193"/>
      <c r="R18" s="224"/>
      <c r="S18" s="193"/>
      <c r="T18" s="862"/>
      <c r="U18" s="863"/>
      <c r="V18" s="219"/>
    </row>
    <row r="19" spans="2:39" ht="20.25" customHeight="1" x14ac:dyDescent="0.15">
      <c r="B19" s="711"/>
      <c r="C19" s="87"/>
      <c r="D19" s="87"/>
      <c r="E19" s="87"/>
      <c r="F19" s="87"/>
      <c r="G19" s="197">
        <f>D19*F19</f>
        <v>0</v>
      </c>
      <c r="H19" s="209"/>
      <c r="I19" s="836"/>
      <c r="J19" s="87"/>
      <c r="K19" s="214"/>
      <c r="L19" s="214"/>
      <c r="M19" s="214"/>
      <c r="N19" s="367">
        <f>K19*L19*M19</f>
        <v>0</v>
      </c>
      <c r="O19" s="230"/>
      <c r="P19" s="315"/>
      <c r="Q19" s="193"/>
      <c r="R19" s="224"/>
      <c r="S19" s="193"/>
      <c r="T19" s="862"/>
      <c r="U19" s="863"/>
      <c r="V19" s="219"/>
    </row>
    <row r="20" spans="2:39" ht="20.25" customHeight="1" thickBot="1" x14ac:dyDescent="0.2">
      <c r="B20" s="824"/>
      <c r="C20" s="200" t="s">
        <v>163</v>
      </c>
      <c r="D20" s="201"/>
      <c r="E20" s="201"/>
      <c r="F20" s="201"/>
      <c r="G20" s="202">
        <f>SUM(G17:G19)</f>
        <v>0</v>
      </c>
      <c r="H20" s="209"/>
      <c r="I20" s="837"/>
      <c r="J20" s="316" t="s">
        <v>261</v>
      </c>
      <c r="K20" s="215">
        <f>SUM(K17:K19)</f>
        <v>0</v>
      </c>
      <c r="L20" s="216">
        <f>SUM(L17:L19)</f>
        <v>0</v>
      </c>
      <c r="M20" s="217"/>
      <c r="N20" s="369">
        <f>SUM(N17:N19)</f>
        <v>0</v>
      </c>
      <c r="O20" s="230"/>
      <c r="P20" s="315"/>
      <c r="Q20" s="193"/>
      <c r="R20" s="224"/>
      <c r="S20" s="193"/>
      <c r="T20" s="862"/>
      <c r="U20" s="863"/>
      <c r="V20" s="219"/>
    </row>
    <row r="21" spans="2:39" ht="20.25" customHeight="1" thickTop="1" thickBot="1" x14ac:dyDescent="0.2">
      <c r="B21" s="823" t="s">
        <v>193</v>
      </c>
      <c r="C21" s="87" t="s">
        <v>527</v>
      </c>
      <c r="D21" s="87">
        <f>131*4.3</f>
        <v>563.29999999999995</v>
      </c>
      <c r="E21" s="98" t="s">
        <v>302</v>
      </c>
      <c r="F21" s="87">
        <f>510/20</f>
        <v>25.5</v>
      </c>
      <c r="G21" s="197">
        <f>D21*F21</f>
        <v>14364.15</v>
      </c>
      <c r="H21" s="209"/>
      <c r="I21" s="835" t="s">
        <v>202</v>
      </c>
      <c r="J21" s="87"/>
      <c r="K21" s="214"/>
      <c r="L21" s="214"/>
      <c r="M21" s="214"/>
      <c r="N21" s="367">
        <f>K21*L21*M21</f>
        <v>0</v>
      </c>
      <c r="O21" s="230"/>
      <c r="P21" s="220" t="s">
        <v>29</v>
      </c>
      <c r="Q21" s="221"/>
      <c r="R21" s="221"/>
      <c r="S21" s="221"/>
      <c r="T21" s="877"/>
      <c r="U21" s="878"/>
      <c r="V21" s="222">
        <f>SUM(V5:V20)</f>
        <v>5806.666666666667</v>
      </c>
    </row>
    <row r="22" spans="2:39" ht="20.25" customHeight="1" x14ac:dyDescent="0.15">
      <c r="B22" s="711"/>
      <c r="C22" s="87"/>
      <c r="D22" s="87"/>
      <c r="E22" s="98"/>
      <c r="F22" s="87"/>
      <c r="G22" s="197">
        <f>D22*F22</f>
        <v>0</v>
      </c>
      <c r="H22" s="209"/>
      <c r="I22" s="836"/>
      <c r="J22" s="87"/>
      <c r="K22" s="214"/>
      <c r="L22" s="214"/>
      <c r="M22" s="214"/>
      <c r="N22" s="367">
        <f>K22*L22*M22</f>
        <v>0</v>
      </c>
      <c r="O22" s="230"/>
    </row>
    <row r="23" spans="2:39" ht="20.25" customHeight="1" thickBot="1" x14ac:dyDescent="0.2">
      <c r="B23" s="711"/>
      <c r="C23" s="87"/>
      <c r="D23" s="87"/>
      <c r="E23" s="98"/>
      <c r="F23" s="87"/>
      <c r="G23" s="197">
        <f>D23*F23</f>
        <v>0</v>
      </c>
      <c r="H23" s="209"/>
      <c r="I23" s="836"/>
      <c r="J23" s="87"/>
      <c r="K23" s="214"/>
      <c r="L23" s="214"/>
      <c r="M23" s="214"/>
      <c r="N23" s="367">
        <f>K23*L23*M23</f>
        <v>0</v>
      </c>
      <c r="O23" s="230"/>
      <c r="P23" s="88" t="s">
        <v>257</v>
      </c>
    </row>
    <row r="24" spans="2:39" ht="15" customHeight="1" thickBot="1" x14ac:dyDescent="0.2">
      <c r="B24" s="857"/>
      <c r="C24" s="203" t="s">
        <v>165</v>
      </c>
      <c r="D24" s="204"/>
      <c r="E24" s="204"/>
      <c r="F24" s="204"/>
      <c r="G24" s="205">
        <f>SUM(G21:G23)</f>
        <v>14364.15</v>
      </c>
      <c r="H24" s="209"/>
      <c r="I24" s="837"/>
      <c r="J24" s="316" t="s">
        <v>261</v>
      </c>
      <c r="K24" s="215">
        <f>SUM(K21:K23)</f>
        <v>0</v>
      </c>
      <c r="L24" s="216">
        <f>SUM(L21:L23)</f>
        <v>0</v>
      </c>
      <c r="M24" s="217"/>
      <c r="N24" s="369">
        <f>SUM(N21:N23)</f>
        <v>0</v>
      </c>
      <c r="O24" s="230"/>
      <c r="P24" s="312" t="s">
        <v>209</v>
      </c>
      <c r="Q24" s="313" t="s">
        <v>204</v>
      </c>
      <c r="R24" s="313" t="s">
        <v>205</v>
      </c>
      <c r="S24" s="313" t="s">
        <v>206</v>
      </c>
      <c r="T24" s="313" t="s">
        <v>207</v>
      </c>
      <c r="U24" s="189" t="s">
        <v>210</v>
      </c>
      <c r="V24" s="314" t="s">
        <v>208</v>
      </c>
    </row>
    <row r="25" spans="2:39" ht="15" customHeight="1" thickTop="1" x14ac:dyDescent="0.15">
      <c r="I25" s="835" t="s">
        <v>282</v>
      </c>
      <c r="J25" s="87"/>
      <c r="K25" s="214"/>
      <c r="L25" s="214"/>
      <c r="M25" s="214"/>
      <c r="N25" s="367">
        <f>K25*L25*M25</f>
        <v>0</v>
      </c>
      <c r="O25" s="230"/>
      <c r="P25" s="315" t="s">
        <v>328</v>
      </c>
      <c r="Q25" s="193">
        <v>10</v>
      </c>
      <c r="R25" s="224" t="s">
        <v>260</v>
      </c>
      <c r="S25" s="270">
        <v>500</v>
      </c>
      <c r="T25" s="193">
        <v>2</v>
      </c>
      <c r="U25" s="194">
        <v>30</v>
      </c>
      <c r="V25" s="219">
        <f>Q25*S25/T25/U25</f>
        <v>83.333333333333329</v>
      </c>
    </row>
    <row r="26" spans="2:39" ht="15" customHeight="1" thickBot="1" x14ac:dyDescent="0.2">
      <c r="B26" s="13" t="s">
        <v>265</v>
      </c>
      <c r="C26" s="13"/>
      <c r="D26" s="90"/>
      <c r="E26" s="13"/>
      <c r="F26" s="90"/>
      <c r="G26" s="94"/>
      <c r="H26" s="210"/>
      <c r="I26" s="836"/>
      <c r="J26" s="87"/>
      <c r="K26" s="214"/>
      <c r="L26" s="214"/>
      <c r="M26" s="214"/>
      <c r="N26" s="367">
        <f>K26*L26*M26</f>
        <v>0</v>
      </c>
      <c r="O26" s="230"/>
      <c r="P26" s="413"/>
      <c r="Q26" s="270"/>
      <c r="R26" s="414"/>
      <c r="S26" s="270"/>
      <c r="T26" s="270"/>
      <c r="U26" s="262">
        <v>30</v>
      </c>
      <c r="V26" s="416"/>
      <c r="AM26" s="88" t="s">
        <v>487</v>
      </c>
    </row>
    <row r="27" spans="2:39" ht="15" customHeight="1" x14ac:dyDescent="0.15">
      <c r="B27" s="311" t="s">
        <v>89</v>
      </c>
      <c r="C27" s="207" t="s">
        <v>155</v>
      </c>
      <c r="D27" s="207" t="s">
        <v>156</v>
      </c>
      <c r="E27" s="207" t="s">
        <v>157</v>
      </c>
      <c r="F27" s="382" t="s">
        <v>24</v>
      </c>
      <c r="G27" s="195" t="s">
        <v>158</v>
      </c>
      <c r="H27" s="208"/>
      <c r="I27" s="836"/>
      <c r="J27" s="87"/>
      <c r="K27" s="214"/>
      <c r="L27" s="214"/>
      <c r="M27" s="214"/>
      <c r="N27" s="367">
        <f>K27*L27*M27</f>
        <v>0</v>
      </c>
      <c r="O27" s="230"/>
      <c r="P27" s="413"/>
      <c r="Q27" s="270"/>
      <c r="R27" s="414"/>
      <c r="S27" s="270"/>
      <c r="T27" s="270"/>
      <c r="U27" s="262">
        <v>24</v>
      </c>
      <c r="V27" s="416"/>
    </row>
    <row r="28" spans="2:39" ht="15" customHeight="1" thickBot="1" x14ac:dyDescent="0.2">
      <c r="B28" s="710" t="s">
        <v>30</v>
      </c>
      <c r="C28" s="105" t="s">
        <v>528</v>
      </c>
      <c r="D28" s="105">
        <v>200</v>
      </c>
      <c r="E28" s="98" t="s">
        <v>309</v>
      </c>
      <c r="F28" s="87">
        <f>62610/10000</f>
        <v>6.2610000000000001</v>
      </c>
      <c r="G28" s="196">
        <f>D28*F28</f>
        <v>1252.2</v>
      </c>
      <c r="H28" s="209"/>
      <c r="I28" s="837"/>
      <c r="J28" s="316" t="s">
        <v>261</v>
      </c>
      <c r="K28" s="215">
        <f>SUM(K25:K27)</f>
        <v>0</v>
      </c>
      <c r="L28" s="216">
        <f>SUM(L25:L27)</f>
        <v>0</v>
      </c>
      <c r="M28" s="217"/>
      <c r="N28" s="369">
        <f>SUM(N25:N27)</f>
        <v>0</v>
      </c>
      <c r="O28" s="230"/>
      <c r="P28" s="413"/>
      <c r="Q28" s="270"/>
      <c r="R28" s="414"/>
      <c r="S28" s="270"/>
      <c r="T28" s="193"/>
      <c r="U28" s="194">
        <v>36</v>
      </c>
      <c r="V28" s="219"/>
    </row>
    <row r="29" spans="2:39" ht="15" customHeight="1" thickTop="1" x14ac:dyDescent="0.15">
      <c r="B29" s="711"/>
      <c r="C29" s="364" t="s">
        <v>529</v>
      </c>
      <c r="D29" s="105">
        <f>1*131</f>
        <v>131</v>
      </c>
      <c r="E29" s="98" t="s">
        <v>309</v>
      </c>
      <c r="F29" s="87">
        <f>3520/500</f>
        <v>7.04</v>
      </c>
      <c r="G29" s="196">
        <f>D29*F29</f>
        <v>922.24</v>
      </c>
      <c r="H29" s="209"/>
      <c r="I29" s="835" t="s">
        <v>198</v>
      </c>
      <c r="J29" s="87"/>
      <c r="K29" s="214"/>
      <c r="L29" s="214"/>
      <c r="M29" s="214"/>
      <c r="N29" s="367">
        <f>K29*L29*M29</f>
        <v>0</v>
      </c>
      <c r="O29" s="230"/>
      <c r="P29" s="315"/>
      <c r="Q29" s="193"/>
      <c r="R29" s="224"/>
      <c r="S29" s="193"/>
      <c r="T29" s="193"/>
      <c r="U29" s="194"/>
      <c r="V29" s="219"/>
    </row>
    <row r="30" spans="2:39" ht="15" customHeight="1" x14ac:dyDescent="0.15">
      <c r="B30" s="711"/>
      <c r="C30" s="105"/>
      <c r="D30" s="105"/>
      <c r="E30" s="98"/>
      <c r="F30" s="87"/>
      <c r="G30" s="196"/>
      <c r="H30" s="209"/>
      <c r="I30" s="836"/>
      <c r="J30" s="87"/>
      <c r="K30" s="214"/>
      <c r="L30" s="214"/>
      <c r="M30" s="214"/>
      <c r="N30" s="367">
        <f>K30*L30*M30</f>
        <v>0</v>
      </c>
      <c r="O30" s="89"/>
      <c r="P30" s="315"/>
      <c r="Q30" s="193"/>
      <c r="R30" s="224"/>
      <c r="S30" s="193"/>
      <c r="T30" s="193"/>
      <c r="U30" s="194"/>
      <c r="V30" s="219"/>
    </row>
    <row r="31" spans="2:39" ht="15" customHeight="1" x14ac:dyDescent="0.15">
      <c r="B31" s="711"/>
      <c r="C31" s="364"/>
      <c r="D31" s="87"/>
      <c r="E31" s="98"/>
      <c r="F31" s="87"/>
      <c r="G31" s="197"/>
      <c r="H31" s="209"/>
      <c r="I31" s="836"/>
      <c r="J31" s="87" t="s">
        <v>321</v>
      </c>
      <c r="K31" s="214">
        <v>24.5</v>
      </c>
      <c r="L31" s="214">
        <v>6.7</v>
      </c>
      <c r="M31" s="214">
        <v>14</v>
      </c>
      <c r="N31" s="367">
        <f>K31*L31*M31</f>
        <v>2298.1</v>
      </c>
      <c r="P31" s="315"/>
      <c r="Q31" s="193"/>
      <c r="R31" s="224"/>
      <c r="S31" s="193"/>
      <c r="T31" s="193"/>
      <c r="U31" s="194"/>
      <c r="V31" s="219"/>
    </row>
    <row r="32" spans="2:39" ht="15" customHeight="1" thickBot="1" x14ac:dyDescent="0.2">
      <c r="B32" s="711"/>
      <c r="C32" s="87"/>
      <c r="D32" s="87"/>
      <c r="E32" s="98"/>
      <c r="F32" s="87"/>
      <c r="G32" s="197">
        <f t="shared" ref="G32:G37" si="1">D32*F32</f>
        <v>0</v>
      </c>
      <c r="H32" s="209"/>
      <c r="I32" s="853"/>
      <c r="J32" s="370" t="s">
        <v>261</v>
      </c>
      <c r="K32" s="371">
        <f>SUM(K29:K31)</f>
        <v>24.5</v>
      </c>
      <c r="L32" s="372">
        <f>SUM(L29:L31)</f>
        <v>6.7</v>
      </c>
      <c r="M32" s="373"/>
      <c r="N32" s="374">
        <f>SUM(N29:N31)</f>
        <v>2298.1</v>
      </c>
      <c r="P32" s="315"/>
      <c r="Q32" s="193"/>
      <c r="R32" s="224"/>
      <c r="S32" s="193"/>
      <c r="T32" s="193"/>
      <c r="U32" s="194"/>
      <c r="V32" s="219"/>
    </row>
    <row r="33" spans="2:22" ht="15" customHeight="1" x14ac:dyDescent="0.15">
      <c r="B33" s="711"/>
      <c r="C33" s="87"/>
      <c r="D33" s="87"/>
      <c r="E33" s="98"/>
      <c r="F33" s="87"/>
      <c r="G33" s="197">
        <f t="shared" si="1"/>
        <v>0</v>
      </c>
      <c r="H33" s="209"/>
      <c r="I33" s="188"/>
      <c r="J33" s="188"/>
      <c r="K33" s="188"/>
      <c r="L33" s="188"/>
      <c r="M33" s="188"/>
      <c r="N33" s="188"/>
      <c r="P33" s="315"/>
      <c r="Q33" s="193"/>
      <c r="R33" s="224"/>
      <c r="S33" s="193"/>
      <c r="T33" s="193"/>
      <c r="U33" s="194"/>
      <c r="V33" s="219"/>
    </row>
    <row r="34" spans="2:22" ht="15" customHeight="1" thickBot="1" x14ac:dyDescent="0.2">
      <c r="B34" s="711"/>
      <c r="C34" s="87"/>
      <c r="D34" s="87"/>
      <c r="E34" s="98"/>
      <c r="F34" s="87"/>
      <c r="G34" s="197">
        <f t="shared" si="1"/>
        <v>0</v>
      </c>
      <c r="H34" s="209"/>
      <c r="I34" s="178" t="s">
        <v>255</v>
      </c>
      <c r="J34" s="178"/>
      <c r="K34" s="178"/>
      <c r="L34" s="178"/>
      <c r="M34" s="178"/>
      <c r="P34" s="319" t="s">
        <v>248</v>
      </c>
      <c r="Q34" s="221"/>
      <c r="R34" s="221"/>
      <c r="S34" s="221"/>
      <c r="T34" s="221"/>
      <c r="U34" s="223"/>
      <c r="V34" s="222">
        <f>SUM(V25:V33)</f>
        <v>83.333333333333329</v>
      </c>
    </row>
    <row r="35" spans="2:22" ht="15" customHeight="1" x14ac:dyDescent="0.15">
      <c r="B35" s="711"/>
      <c r="C35" s="87"/>
      <c r="D35" s="87"/>
      <c r="E35" s="98"/>
      <c r="F35" s="87"/>
      <c r="G35" s="197">
        <f t="shared" si="1"/>
        <v>0</v>
      </c>
      <c r="H35" s="209"/>
      <c r="I35" s="293" t="s">
        <v>243</v>
      </c>
      <c r="J35" s="294" t="s">
        <v>5</v>
      </c>
      <c r="K35" s="820" t="s">
        <v>244</v>
      </c>
      <c r="L35" s="821"/>
      <c r="M35" s="317" t="s">
        <v>210</v>
      </c>
      <c r="N35" s="318" t="s">
        <v>267</v>
      </c>
    </row>
    <row r="36" spans="2:22" ht="15" customHeight="1" thickBot="1" x14ac:dyDescent="0.2">
      <c r="B36" s="711"/>
      <c r="C36" s="87"/>
      <c r="D36" s="87"/>
      <c r="E36" s="98"/>
      <c r="F36" s="87"/>
      <c r="G36" s="197">
        <f t="shared" si="1"/>
        <v>0</v>
      </c>
      <c r="H36" s="209"/>
      <c r="I36" s="832" t="s">
        <v>2</v>
      </c>
      <c r="J36" s="206" t="str">
        <f>'６（参考）水稲資本装備'!C5</f>
        <v>農機具庫</v>
      </c>
      <c r="K36" s="822">
        <f>'６（参考）水稲資本装備'!I5</f>
        <v>5940000</v>
      </c>
      <c r="L36" s="822"/>
      <c r="M36" s="472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6">
        <f>+K36/M36*0.014*0.3</f>
        <v>831.6</v>
      </c>
      <c r="P36" s="178" t="s">
        <v>249</v>
      </c>
      <c r="Q36" s="178"/>
      <c r="R36" s="178"/>
      <c r="S36" s="178"/>
      <c r="T36" s="178"/>
    </row>
    <row r="37" spans="2:22" ht="15" customHeight="1" x14ac:dyDescent="0.15">
      <c r="B37" s="711"/>
      <c r="C37" s="87"/>
      <c r="D37" s="87"/>
      <c r="E37" s="98"/>
      <c r="F37" s="87"/>
      <c r="G37" s="197">
        <f t="shared" si="1"/>
        <v>0</v>
      </c>
      <c r="H37" s="209"/>
      <c r="I37" s="833"/>
      <c r="J37" s="206"/>
      <c r="K37" s="822"/>
      <c r="L37" s="822"/>
      <c r="M37" s="472"/>
      <c r="N37" s="306"/>
      <c r="P37" s="293" t="s">
        <v>242</v>
      </c>
      <c r="Q37" s="876" t="s">
        <v>250</v>
      </c>
      <c r="R37" s="876"/>
      <c r="S37" s="305" t="s">
        <v>253</v>
      </c>
      <c r="T37" s="305" t="s">
        <v>252</v>
      </c>
      <c r="U37" s="320" t="s">
        <v>210</v>
      </c>
      <c r="V37" s="321" t="s">
        <v>267</v>
      </c>
    </row>
    <row r="38" spans="2:22" ht="15" customHeight="1" thickBot="1" x14ac:dyDescent="0.2">
      <c r="B38" s="824"/>
      <c r="C38" s="198" t="s">
        <v>162</v>
      </c>
      <c r="D38" s="198"/>
      <c r="E38" s="198"/>
      <c r="F38" s="198"/>
      <c r="G38" s="199">
        <f>SUM(G28:G37)</f>
        <v>2174.44</v>
      </c>
      <c r="H38" s="209"/>
      <c r="I38" s="833"/>
      <c r="J38" s="206" t="str">
        <f>'６（参考）水稲資本装備'!C7</f>
        <v>育苗ハウス</v>
      </c>
      <c r="K38" s="822">
        <f>'６（参考）水稲資本装備'!I7</f>
        <v>2065500</v>
      </c>
      <c r="L38" s="822"/>
      <c r="M38" s="472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306">
        <f>+K38/M38*0.014*0.3</f>
        <v>289.16999999999996</v>
      </c>
      <c r="O38" s="218"/>
      <c r="P38" s="866" t="s">
        <v>251</v>
      </c>
      <c r="Q38" s="299"/>
      <c r="R38" s="325"/>
      <c r="S38" s="300"/>
      <c r="T38" s="326"/>
      <c r="U38" s="300"/>
      <c r="V38" s="306"/>
    </row>
    <row r="39" spans="2:22" ht="15" customHeight="1" thickTop="1" x14ac:dyDescent="0.15">
      <c r="B39" s="823" t="s">
        <v>194</v>
      </c>
      <c r="C39" s="494" t="s">
        <v>531</v>
      </c>
      <c r="D39" s="105">
        <f>20*2</f>
        <v>40</v>
      </c>
      <c r="E39" s="98" t="s">
        <v>324</v>
      </c>
      <c r="F39" s="87">
        <f>1450/500</f>
        <v>2.9</v>
      </c>
      <c r="G39" s="197">
        <f>D39*F39</f>
        <v>116</v>
      </c>
      <c r="H39" s="209"/>
      <c r="I39" s="833"/>
      <c r="J39" s="206"/>
      <c r="K39" s="822"/>
      <c r="L39" s="822"/>
      <c r="M39" s="292"/>
      <c r="N39" s="306"/>
      <c r="O39" s="218"/>
      <c r="P39" s="867"/>
      <c r="Q39" s="299"/>
      <c r="R39" s="325"/>
      <c r="S39" s="493"/>
      <c r="T39" s="326"/>
      <c r="U39" s="300"/>
      <c r="V39" s="306"/>
    </row>
    <row r="40" spans="2:22" ht="15" customHeight="1" x14ac:dyDescent="0.15">
      <c r="B40" s="711"/>
      <c r="C40" s="105" t="s">
        <v>532</v>
      </c>
      <c r="D40" s="385">
        <f>131*50/1000</f>
        <v>6.55</v>
      </c>
      <c r="E40" s="98" t="s">
        <v>302</v>
      </c>
      <c r="F40" s="87">
        <f>6860/3</f>
        <v>2286.6666666666665</v>
      </c>
      <c r="G40" s="197">
        <f>D40*F40</f>
        <v>14977.666666666666</v>
      </c>
      <c r="H40" s="209"/>
      <c r="I40" s="833"/>
      <c r="J40" s="206"/>
      <c r="K40" s="822"/>
      <c r="L40" s="822"/>
      <c r="M40" s="292"/>
      <c r="N40" s="306"/>
      <c r="O40" s="218"/>
      <c r="P40" s="867"/>
      <c r="Q40" s="299"/>
      <c r="R40" s="325"/>
      <c r="S40" s="300"/>
      <c r="T40" s="326"/>
      <c r="U40" s="300"/>
      <c r="V40" s="306"/>
    </row>
    <row r="41" spans="2:22" ht="15" customHeight="1" x14ac:dyDescent="0.15">
      <c r="B41" s="711"/>
      <c r="C41" s="87"/>
      <c r="D41" s="87"/>
      <c r="E41" s="98"/>
      <c r="F41" s="87"/>
      <c r="G41" s="197">
        <f>D41*F41</f>
        <v>0</v>
      </c>
      <c r="H41" s="209"/>
      <c r="I41" s="833"/>
      <c r="J41" s="206"/>
      <c r="K41" s="822"/>
      <c r="L41" s="822"/>
      <c r="M41" s="292"/>
      <c r="N41" s="306"/>
      <c r="O41" s="218"/>
      <c r="P41" s="867"/>
      <c r="Q41" s="299"/>
      <c r="R41" s="325"/>
      <c r="S41" s="300"/>
      <c r="T41" s="326"/>
      <c r="U41" s="300"/>
      <c r="V41" s="306"/>
    </row>
    <row r="42" spans="2:22" ht="15" customHeight="1" thickBot="1" x14ac:dyDescent="0.2">
      <c r="B42" s="711"/>
      <c r="C42" s="87"/>
      <c r="D42" s="87"/>
      <c r="E42" s="98"/>
      <c r="F42" s="87"/>
      <c r="G42" s="197">
        <f t="shared" ref="G42:G52" si="2">D42*F42</f>
        <v>0</v>
      </c>
      <c r="H42" s="209"/>
      <c r="I42" s="834"/>
      <c r="J42" s="295" t="s">
        <v>163</v>
      </c>
      <c r="K42" s="864"/>
      <c r="L42" s="865"/>
      <c r="M42" s="296"/>
      <c r="N42" s="303">
        <f>SUM(N36:N41)</f>
        <v>1120.77</v>
      </c>
      <c r="O42" s="218"/>
      <c r="P42" s="867"/>
      <c r="Q42" s="299"/>
      <c r="R42" s="325"/>
      <c r="S42" s="300"/>
      <c r="T42" s="326"/>
      <c r="U42" s="300"/>
      <c r="V42" s="306"/>
    </row>
    <row r="43" spans="2:22" ht="15" customHeight="1" thickTop="1" x14ac:dyDescent="0.15">
      <c r="B43" s="711"/>
      <c r="C43" s="87"/>
      <c r="D43" s="87"/>
      <c r="E43" s="98"/>
      <c r="F43" s="87"/>
      <c r="G43" s="197"/>
      <c r="H43" s="209"/>
      <c r="I43" s="829" t="s">
        <v>245</v>
      </c>
      <c r="J43" s="297" t="s">
        <v>268</v>
      </c>
      <c r="K43" s="852">
        <v>8200</v>
      </c>
      <c r="L43" s="852"/>
      <c r="M43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23">
        <f>+K43/M43</f>
        <v>273.33333333333331</v>
      </c>
      <c r="O43" s="218"/>
      <c r="P43" s="867"/>
      <c r="Q43" s="299"/>
      <c r="R43" s="325"/>
      <c r="S43" s="300"/>
      <c r="T43" s="326"/>
      <c r="U43" s="300"/>
      <c r="V43" s="306"/>
    </row>
    <row r="44" spans="2:22" ht="15" customHeight="1" thickBot="1" x14ac:dyDescent="0.2">
      <c r="B44" s="711"/>
      <c r="C44" s="87"/>
      <c r="D44" s="87"/>
      <c r="E44" s="98"/>
      <c r="F44" s="87"/>
      <c r="G44" s="197"/>
      <c r="H44" s="209"/>
      <c r="I44" s="830"/>
      <c r="J44" s="299"/>
      <c r="K44" s="822"/>
      <c r="L44" s="822"/>
      <c r="M44" s="292"/>
      <c r="N44" s="306"/>
      <c r="O44" s="218"/>
      <c r="P44" s="868"/>
      <c r="Q44" s="307" t="s">
        <v>254</v>
      </c>
      <c r="R44" s="308"/>
      <c r="S44" s="308"/>
      <c r="T44" s="308"/>
      <c r="U44" s="308"/>
      <c r="V44" s="309">
        <f>SUM(V38:V43)</f>
        <v>0</v>
      </c>
    </row>
    <row r="45" spans="2:22" ht="15" customHeight="1" thickTop="1" x14ac:dyDescent="0.15">
      <c r="B45" s="711"/>
      <c r="C45" s="87"/>
      <c r="D45" s="87"/>
      <c r="E45" s="98"/>
      <c r="F45" s="87"/>
      <c r="G45" s="197"/>
      <c r="H45" s="209"/>
      <c r="I45" s="830"/>
      <c r="J45" s="206"/>
      <c r="K45" s="822"/>
      <c r="L45" s="822"/>
      <c r="M45" s="292"/>
      <c r="N45" s="306"/>
      <c r="O45" s="218"/>
      <c r="P45" s="874" t="s">
        <v>259</v>
      </c>
      <c r="Q45" s="871" t="s">
        <v>270</v>
      </c>
      <c r="R45" s="327" t="s">
        <v>271</v>
      </c>
      <c r="S45" s="297">
        <v>35750</v>
      </c>
      <c r="T45" s="328">
        <v>1</v>
      </c>
      <c r="U45" s="297">
        <v>30</v>
      </c>
      <c r="V45" s="322">
        <f>+S45*T45/U45</f>
        <v>1191.6666666666667</v>
      </c>
    </row>
    <row r="46" spans="2:22" ht="15" customHeight="1" thickBot="1" x14ac:dyDescent="0.2">
      <c r="B46" s="711"/>
      <c r="C46" s="87"/>
      <c r="D46" s="87"/>
      <c r="E46" s="98"/>
      <c r="F46" s="87"/>
      <c r="G46" s="197">
        <f t="shared" si="2"/>
        <v>0</v>
      </c>
      <c r="H46" s="209"/>
      <c r="I46" s="831"/>
      <c r="J46" s="295" t="s">
        <v>163</v>
      </c>
      <c r="K46" s="864"/>
      <c r="L46" s="865"/>
      <c r="M46" s="296"/>
      <c r="N46" s="303">
        <f>SUM(N43:N45)</f>
        <v>273.33333333333331</v>
      </c>
      <c r="O46" s="218"/>
      <c r="P46" s="867"/>
      <c r="Q46" s="872"/>
      <c r="R46" s="329" t="s">
        <v>258</v>
      </c>
      <c r="S46" s="299">
        <v>15600</v>
      </c>
      <c r="T46" s="326">
        <v>1</v>
      </c>
      <c r="U46" s="299">
        <v>30</v>
      </c>
      <c r="V46" s="306">
        <f>+S46*T46/U46</f>
        <v>520</v>
      </c>
    </row>
    <row r="47" spans="2:22" ht="15" customHeight="1" thickTop="1" x14ac:dyDescent="0.15">
      <c r="B47" s="711"/>
      <c r="C47" s="87"/>
      <c r="D47" s="87"/>
      <c r="E47" s="98"/>
      <c r="F47" s="87"/>
      <c r="G47" s="197">
        <f t="shared" si="2"/>
        <v>0</v>
      </c>
      <c r="H47" s="209"/>
      <c r="I47" s="829" t="s">
        <v>246</v>
      </c>
      <c r="J47" s="297" t="s">
        <v>268</v>
      </c>
      <c r="K47" s="852">
        <v>11500</v>
      </c>
      <c r="L47" s="852"/>
      <c r="M47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22">
        <f>K47/M47</f>
        <v>383.33333333333331</v>
      </c>
      <c r="O47" s="218"/>
      <c r="P47" s="867"/>
      <c r="Q47" s="872"/>
      <c r="R47" s="329"/>
      <c r="S47" s="299"/>
      <c r="T47" s="299"/>
      <c r="U47" s="206"/>
      <c r="V47" s="330"/>
    </row>
    <row r="48" spans="2:22" ht="15" customHeight="1" x14ac:dyDescent="0.15">
      <c r="B48" s="711"/>
      <c r="C48" s="87"/>
      <c r="D48" s="87"/>
      <c r="E48" s="98"/>
      <c r="F48" s="87"/>
      <c r="G48" s="197">
        <f t="shared" si="2"/>
        <v>0</v>
      </c>
      <c r="H48" s="209"/>
      <c r="I48" s="830"/>
      <c r="J48" s="299"/>
      <c r="K48" s="822"/>
      <c r="L48" s="822"/>
      <c r="M48" s="292"/>
      <c r="N48" s="306"/>
      <c r="O48" s="218"/>
      <c r="P48" s="867"/>
      <c r="Q48" s="872"/>
      <c r="R48" s="329"/>
      <c r="S48" s="299"/>
      <c r="T48" s="326"/>
      <c r="U48" s="299"/>
      <c r="V48" s="306"/>
    </row>
    <row r="49" spans="2:22" ht="15" customHeight="1" thickBot="1" x14ac:dyDescent="0.2">
      <c r="B49" s="824"/>
      <c r="C49" s="200" t="s">
        <v>163</v>
      </c>
      <c r="D49" s="201"/>
      <c r="E49" s="201"/>
      <c r="F49" s="201"/>
      <c r="G49" s="202">
        <f>SUM(G39:G48)</f>
        <v>15093.666666666666</v>
      </c>
      <c r="H49" s="209"/>
      <c r="I49" s="830"/>
      <c r="J49" s="206"/>
      <c r="K49" s="822"/>
      <c r="L49" s="822"/>
      <c r="M49" s="292"/>
      <c r="N49" s="306"/>
      <c r="O49" s="218"/>
      <c r="P49" s="867"/>
      <c r="Q49" s="873"/>
      <c r="R49" s="329"/>
      <c r="S49" s="299"/>
      <c r="T49" s="299"/>
      <c r="U49" s="206"/>
      <c r="V49" s="330"/>
    </row>
    <row r="50" spans="2:22" ht="15" customHeight="1" thickTop="1" thickBot="1" x14ac:dyDescent="0.2">
      <c r="B50" s="823" t="s">
        <v>32</v>
      </c>
      <c r="C50" s="87" t="s">
        <v>533</v>
      </c>
      <c r="D50" s="87">
        <v>10</v>
      </c>
      <c r="E50" s="98" t="s">
        <v>302</v>
      </c>
      <c r="F50" s="87">
        <f>24330/10</f>
        <v>2433</v>
      </c>
      <c r="G50" s="197">
        <f t="shared" si="2"/>
        <v>24330</v>
      </c>
      <c r="H50" s="209"/>
      <c r="I50" s="831"/>
      <c r="J50" s="295" t="s">
        <v>163</v>
      </c>
      <c r="K50" s="864"/>
      <c r="L50" s="865"/>
      <c r="M50" s="296"/>
      <c r="N50" s="303">
        <f>SUM(N47:N49)</f>
        <v>383.33333333333331</v>
      </c>
      <c r="O50" s="218"/>
      <c r="P50" s="867"/>
      <c r="Q50" s="307" t="s">
        <v>254</v>
      </c>
      <c r="R50" s="308"/>
      <c r="S50" s="308"/>
      <c r="T50" s="308"/>
      <c r="U50" s="308"/>
      <c r="V50" s="309">
        <f>SUM(V45:V49)</f>
        <v>1711.6666666666667</v>
      </c>
    </row>
    <row r="51" spans="2:22" ht="15" customHeight="1" thickTop="1" x14ac:dyDescent="0.15">
      <c r="B51" s="711"/>
      <c r="C51" s="87"/>
      <c r="D51" s="87"/>
      <c r="E51" s="87"/>
      <c r="F51" s="87"/>
      <c r="G51" s="197">
        <f t="shared" si="2"/>
        <v>0</v>
      </c>
      <c r="H51" s="209"/>
      <c r="I51" s="829" t="s">
        <v>247</v>
      </c>
      <c r="J51" s="297" t="s">
        <v>54</v>
      </c>
      <c r="K51" s="840">
        <v>2400</v>
      </c>
      <c r="L51" s="841"/>
      <c r="M51" s="29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23">
        <f>+K51/M51</f>
        <v>80</v>
      </c>
      <c r="O51" s="218"/>
      <c r="P51" s="867"/>
      <c r="Q51" s="871" t="s">
        <v>272</v>
      </c>
      <c r="R51" s="327" t="s">
        <v>271</v>
      </c>
      <c r="S51" s="297">
        <v>60000</v>
      </c>
      <c r="T51" s="328">
        <v>1</v>
      </c>
      <c r="U51" s="297">
        <v>30</v>
      </c>
      <c r="V51" s="322">
        <f>+S51*T51/U51</f>
        <v>2000</v>
      </c>
    </row>
    <row r="52" spans="2:22" ht="15" customHeight="1" x14ac:dyDescent="0.15">
      <c r="B52" s="711"/>
      <c r="C52" s="87"/>
      <c r="D52" s="87"/>
      <c r="E52" s="87"/>
      <c r="F52" s="87"/>
      <c r="G52" s="197">
        <f t="shared" si="2"/>
        <v>0</v>
      </c>
      <c r="H52" s="209"/>
      <c r="I52" s="830"/>
      <c r="J52" s="299"/>
      <c r="K52" s="842"/>
      <c r="L52" s="843"/>
      <c r="M52" s="403"/>
      <c r="N52" s="306"/>
      <c r="O52" s="218"/>
      <c r="P52" s="867"/>
      <c r="Q52" s="872"/>
      <c r="R52" s="329" t="s">
        <v>258</v>
      </c>
      <c r="S52" s="299">
        <v>25000</v>
      </c>
      <c r="T52" s="326">
        <v>1</v>
      </c>
      <c r="U52" s="299">
        <v>30</v>
      </c>
      <c r="V52" s="306">
        <f>+S52*T52/U52</f>
        <v>833.33333333333337</v>
      </c>
    </row>
    <row r="53" spans="2:22" ht="15" customHeight="1" thickBot="1" x14ac:dyDescent="0.2">
      <c r="B53" s="824"/>
      <c r="C53" s="200" t="s">
        <v>163</v>
      </c>
      <c r="D53" s="201"/>
      <c r="E53" s="201"/>
      <c r="F53" s="201"/>
      <c r="G53" s="202">
        <f>SUM(G50:G52)</f>
        <v>24330</v>
      </c>
      <c r="H53" s="209"/>
      <c r="I53" s="830"/>
      <c r="J53" s="299"/>
      <c r="K53" s="848"/>
      <c r="L53" s="849"/>
      <c r="M53" s="310"/>
      <c r="N53" s="306"/>
      <c r="O53" s="218"/>
      <c r="P53" s="867"/>
      <c r="Q53" s="872"/>
      <c r="R53" s="329"/>
      <c r="S53" s="299"/>
      <c r="T53" s="299"/>
      <c r="U53" s="206"/>
      <c r="V53" s="330"/>
    </row>
    <row r="54" spans="2:22" ht="13.9" customHeight="1" thickTop="1" x14ac:dyDescent="0.15">
      <c r="B54" s="823" t="s">
        <v>342</v>
      </c>
      <c r="C54" s="105"/>
      <c r="D54" s="412"/>
      <c r="E54" s="98"/>
      <c r="F54" s="87"/>
      <c r="G54" s="196">
        <f>D54*F54</f>
        <v>0</v>
      </c>
      <c r="I54" s="830"/>
      <c r="J54" s="292" t="s">
        <v>258</v>
      </c>
      <c r="K54" s="846">
        <v>5000</v>
      </c>
      <c r="L54" s="847"/>
      <c r="M54" s="40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6">
        <f>+K54/M54</f>
        <v>166.66666666666666</v>
      </c>
      <c r="O54" s="218"/>
      <c r="P54" s="867"/>
      <c r="Q54" s="872"/>
      <c r="R54" s="329"/>
      <c r="S54" s="299"/>
      <c r="T54" s="326"/>
      <c r="U54" s="299"/>
      <c r="V54" s="306"/>
    </row>
    <row r="55" spans="2:22" x14ac:dyDescent="0.15">
      <c r="B55" s="711"/>
      <c r="C55" s="87"/>
      <c r="D55" s="87"/>
      <c r="E55" s="98"/>
      <c r="F55" s="87"/>
      <c r="G55" s="197">
        <v>0</v>
      </c>
      <c r="I55" s="830"/>
      <c r="J55" s="299"/>
      <c r="K55" s="848"/>
      <c r="L55" s="849"/>
      <c r="M55" s="310"/>
      <c r="N55" s="324"/>
      <c r="O55" s="218"/>
      <c r="P55" s="867"/>
      <c r="Q55" s="873"/>
      <c r="R55" s="329"/>
      <c r="S55" s="299"/>
      <c r="T55" s="299"/>
      <c r="U55" s="206"/>
      <c r="V55" s="330"/>
    </row>
    <row r="56" spans="2:22" x14ac:dyDescent="0.15">
      <c r="B56" s="711"/>
      <c r="C56" s="87"/>
      <c r="D56" s="87"/>
      <c r="E56" s="98"/>
      <c r="F56" s="87"/>
      <c r="G56" s="197">
        <f>D56*F56</f>
        <v>0</v>
      </c>
      <c r="I56" s="832"/>
      <c r="J56" s="301" t="s">
        <v>163</v>
      </c>
      <c r="K56" s="850"/>
      <c r="L56" s="851"/>
      <c r="M56" s="302"/>
      <c r="N56" s="304">
        <f>SUM(N51:N55)</f>
        <v>246.66666666666666</v>
      </c>
      <c r="O56" s="218"/>
      <c r="P56" s="875"/>
      <c r="Q56" s="331" t="s">
        <v>254</v>
      </c>
      <c r="R56" s="332"/>
      <c r="S56" s="332"/>
      <c r="T56" s="332"/>
      <c r="U56" s="332"/>
      <c r="V56" s="333">
        <f>SUM(V51:V55)</f>
        <v>2833.3333333333335</v>
      </c>
    </row>
    <row r="57" spans="2:22" ht="14.25" thickBot="1" x14ac:dyDescent="0.2">
      <c r="B57" s="857"/>
      <c r="C57" s="203" t="s">
        <v>165</v>
      </c>
      <c r="D57" s="204"/>
      <c r="E57" s="204"/>
      <c r="F57" s="204"/>
      <c r="G57" s="205">
        <f>SUM(G54:G56)</f>
        <v>0</v>
      </c>
      <c r="I57" s="879" t="s">
        <v>248</v>
      </c>
      <c r="J57" s="878"/>
      <c r="K57" s="880"/>
      <c r="L57" s="881"/>
      <c r="M57" s="223"/>
      <c r="N57" s="212">
        <f>SUM(N42,N46,N50,N56)</f>
        <v>2024.1033333333332</v>
      </c>
      <c r="O57" s="218"/>
      <c r="P57" s="869" t="s">
        <v>248</v>
      </c>
      <c r="Q57" s="870"/>
      <c r="R57" s="221"/>
      <c r="S57" s="221"/>
      <c r="T57" s="221"/>
      <c r="U57" s="221"/>
      <c r="V57" s="212">
        <f>SUM(V44,V50,V56)</f>
        <v>4545</v>
      </c>
    </row>
    <row r="58" spans="2:22" x14ac:dyDescent="0.15">
      <c r="O58" s="218"/>
      <c r="V58" s="88"/>
    </row>
    <row r="59" spans="2:22" x14ac:dyDescent="0.15">
      <c r="I59" s="218"/>
      <c r="J59" s="218"/>
      <c r="K59" s="218"/>
      <c r="L59" s="218"/>
      <c r="M59" s="218"/>
      <c r="N59" s="218"/>
      <c r="O59" s="218"/>
    </row>
    <row r="60" spans="2:22" x14ac:dyDescent="0.15">
      <c r="I60" s="218"/>
      <c r="J60" s="218"/>
      <c r="K60" s="218"/>
      <c r="L60" s="218"/>
      <c r="M60" s="218"/>
      <c r="N60" s="218"/>
      <c r="O60" s="218"/>
    </row>
    <row r="61" spans="2:22" x14ac:dyDescent="0.15">
      <c r="I61" s="218"/>
      <c r="J61" s="218"/>
      <c r="K61" s="218"/>
      <c r="L61" s="218"/>
      <c r="M61" s="218"/>
      <c r="N61" s="218"/>
      <c r="O61" s="218"/>
    </row>
    <row r="62" spans="2:22" x14ac:dyDescent="0.15">
      <c r="I62" s="218"/>
      <c r="J62" s="218"/>
      <c r="K62" s="218"/>
      <c r="L62" s="218"/>
      <c r="M62" s="218"/>
      <c r="N62" s="218"/>
      <c r="O62" s="218"/>
    </row>
    <row r="63" spans="2:22" x14ac:dyDescent="0.15">
      <c r="I63" s="218"/>
      <c r="J63" s="218"/>
      <c r="K63" s="218"/>
      <c r="L63" s="218"/>
      <c r="M63" s="218"/>
      <c r="N63" s="218"/>
      <c r="O63" s="218"/>
    </row>
    <row r="64" spans="2:22" x14ac:dyDescent="0.15">
      <c r="I64" s="218"/>
      <c r="J64" s="218"/>
      <c r="K64" s="218"/>
      <c r="L64" s="218"/>
      <c r="M64" s="218"/>
      <c r="N64" s="218"/>
      <c r="O64" s="218"/>
    </row>
    <row r="65" spans="9:15" x14ac:dyDescent="0.15">
      <c r="I65" s="218"/>
      <c r="J65" s="218"/>
      <c r="K65" s="218"/>
      <c r="L65" s="218"/>
      <c r="M65" s="218"/>
      <c r="N65" s="218"/>
      <c r="O65" s="218"/>
    </row>
    <row r="66" spans="9:15" x14ac:dyDescent="0.15">
      <c r="I66" s="218"/>
      <c r="J66" s="218"/>
      <c r="K66" s="218"/>
      <c r="L66" s="218"/>
      <c r="M66" s="218"/>
      <c r="N66" s="218"/>
      <c r="O66" s="218"/>
    </row>
    <row r="67" spans="9:15" x14ac:dyDescent="0.15">
      <c r="I67" s="218"/>
      <c r="J67" s="218"/>
      <c r="K67" s="218"/>
      <c r="L67" s="218"/>
      <c r="M67" s="218"/>
      <c r="N67" s="218"/>
      <c r="O67" s="218"/>
    </row>
    <row r="68" spans="9:15" x14ac:dyDescent="0.15">
      <c r="I68" s="218"/>
      <c r="J68" s="218"/>
      <c r="K68" s="218"/>
      <c r="L68" s="218"/>
      <c r="M68" s="218"/>
      <c r="N68" s="218"/>
      <c r="O68" s="218"/>
    </row>
    <row r="69" spans="9:15" x14ac:dyDescent="0.15">
      <c r="I69" s="218"/>
      <c r="J69" s="218"/>
      <c r="K69" s="218"/>
      <c r="L69" s="218"/>
      <c r="M69" s="218"/>
      <c r="N69" s="218"/>
      <c r="O69" s="218"/>
    </row>
    <row r="70" spans="9:15" x14ac:dyDescent="0.15">
      <c r="I70" s="218"/>
      <c r="J70" s="218"/>
      <c r="K70" s="218"/>
      <c r="L70" s="218"/>
      <c r="M70" s="218"/>
      <c r="N70" s="218"/>
      <c r="O70" s="218"/>
    </row>
    <row r="71" spans="9:15" x14ac:dyDescent="0.15">
      <c r="I71" s="218"/>
      <c r="J71" s="218"/>
      <c r="K71" s="218"/>
      <c r="L71" s="218"/>
      <c r="M71" s="218"/>
      <c r="N71" s="218"/>
      <c r="O71" s="218"/>
    </row>
    <row r="72" spans="9:15" x14ac:dyDescent="0.15">
      <c r="I72" s="218"/>
      <c r="J72" s="218"/>
      <c r="K72" s="218"/>
      <c r="L72" s="218"/>
      <c r="M72" s="218"/>
      <c r="N72" s="218"/>
      <c r="O72" s="218"/>
    </row>
    <row r="73" spans="9:15" x14ac:dyDescent="0.15">
      <c r="I73" s="218"/>
      <c r="J73" s="218"/>
      <c r="K73" s="218"/>
      <c r="L73" s="218"/>
      <c r="M73" s="218"/>
      <c r="N73" s="218"/>
      <c r="O73" s="218"/>
    </row>
    <row r="74" spans="9:15" x14ac:dyDescent="0.15">
      <c r="I74" s="218"/>
      <c r="J74" s="218"/>
      <c r="K74" s="218"/>
      <c r="L74" s="218"/>
      <c r="M74" s="218"/>
      <c r="N74" s="218"/>
      <c r="O74" s="218"/>
    </row>
    <row r="75" spans="9:15" x14ac:dyDescent="0.15">
      <c r="I75" s="218"/>
      <c r="J75" s="218"/>
      <c r="K75" s="218"/>
      <c r="L75" s="218"/>
      <c r="M75" s="218"/>
      <c r="N75" s="218"/>
      <c r="O75" s="218"/>
    </row>
    <row r="76" spans="9:15" x14ac:dyDescent="0.15">
      <c r="I76" s="218"/>
      <c r="J76" s="218"/>
      <c r="K76" s="218"/>
      <c r="L76" s="218"/>
      <c r="M76" s="218"/>
      <c r="N76" s="218"/>
      <c r="O76" s="218"/>
    </row>
    <row r="77" spans="9:15" x14ac:dyDescent="0.15">
      <c r="I77" s="218"/>
      <c r="J77" s="218"/>
      <c r="K77" s="218"/>
      <c r="L77" s="218"/>
      <c r="M77" s="218"/>
      <c r="N77" s="218"/>
      <c r="O77" s="218"/>
    </row>
    <row r="78" spans="9:15" x14ac:dyDescent="0.15">
      <c r="I78" s="218"/>
      <c r="J78" s="218"/>
      <c r="K78" s="218"/>
      <c r="L78" s="218"/>
      <c r="M78" s="218"/>
      <c r="N78" s="218"/>
      <c r="O78" s="218"/>
    </row>
    <row r="79" spans="9:15" x14ac:dyDescent="0.15">
      <c r="I79" s="218"/>
      <c r="J79" s="218"/>
      <c r="K79" s="218"/>
      <c r="L79" s="218"/>
      <c r="M79" s="218"/>
      <c r="N79" s="218"/>
      <c r="O79" s="218"/>
    </row>
    <row r="80" spans="9:15" x14ac:dyDescent="0.15">
      <c r="I80" s="218"/>
      <c r="J80" s="218"/>
      <c r="K80" s="218"/>
      <c r="L80" s="218"/>
      <c r="M80" s="218"/>
      <c r="N80" s="218"/>
      <c r="O80" s="218"/>
    </row>
    <row r="81" spans="2:15" x14ac:dyDescent="0.15">
      <c r="I81" s="218"/>
      <c r="J81" s="218"/>
      <c r="K81" s="218"/>
      <c r="L81" s="218"/>
      <c r="M81" s="218"/>
      <c r="N81" s="218"/>
      <c r="O81" s="218"/>
    </row>
    <row r="82" spans="2:15" x14ac:dyDescent="0.15">
      <c r="I82" s="218"/>
      <c r="J82" s="218"/>
      <c r="K82" s="218"/>
      <c r="L82" s="218"/>
      <c r="M82" s="218"/>
      <c r="N82" s="218"/>
      <c r="O82" s="218"/>
    </row>
    <row r="83" spans="2:15" x14ac:dyDescent="0.15">
      <c r="B83" s="208"/>
      <c r="C83" s="209"/>
      <c r="D83" s="209"/>
      <c r="E83" s="209"/>
      <c r="F83" s="209"/>
      <c r="I83" s="218"/>
      <c r="J83" s="218"/>
      <c r="K83" s="218"/>
      <c r="L83" s="218"/>
      <c r="M83" s="218"/>
      <c r="N83" s="218"/>
      <c r="O83" s="218"/>
    </row>
    <row r="84" spans="2:15" x14ac:dyDescent="0.15">
      <c r="B84" s="208"/>
      <c r="C84" s="209"/>
      <c r="D84" s="209"/>
      <c r="E84" s="209"/>
      <c r="F84" s="209"/>
      <c r="I84" s="218"/>
      <c r="J84" s="218"/>
      <c r="K84" s="218"/>
      <c r="L84" s="218"/>
      <c r="M84" s="218"/>
      <c r="N84" s="218"/>
      <c r="O84" s="218"/>
    </row>
    <row r="85" spans="2:15" x14ac:dyDescent="0.15">
      <c r="I85" s="218"/>
      <c r="J85" s="218"/>
      <c r="K85" s="218"/>
      <c r="L85" s="218"/>
      <c r="M85" s="218"/>
      <c r="N85" s="218"/>
      <c r="O85" s="218"/>
    </row>
    <row r="86" spans="2:15" x14ac:dyDescent="0.15">
      <c r="I86" s="218"/>
      <c r="J86" s="218"/>
      <c r="K86" s="218"/>
      <c r="L86" s="218"/>
      <c r="M86" s="218"/>
      <c r="N86" s="218"/>
      <c r="O86" s="218"/>
    </row>
    <row r="87" spans="2:15" x14ac:dyDescent="0.15">
      <c r="I87" s="218"/>
      <c r="J87" s="218"/>
      <c r="K87" s="218"/>
      <c r="L87" s="218"/>
      <c r="M87" s="218"/>
      <c r="N87" s="218"/>
      <c r="O87" s="218"/>
    </row>
    <row r="88" spans="2:15" x14ac:dyDescent="0.15">
      <c r="I88" s="218"/>
      <c r="J88" s="218"/>
      <c r="K88" s="218"/>
      <c r="L88" s="218"/>
      <c r="M88" s="218"/>
      <c r="N88" s="218"/>
      <c r="O88" s="218"/>
    </row>
    <row r="89" spans="2:15" x14ac:dyDescent="0.15">
      <c r="I89" s="218"/>
      <c r="J89" s="218"/>
      <c r="K89" s="218"/>
      <c r="L89" s="218"/>
      <c r="M89" s="218"/>
      <c r="N89" s="218"/>
      <c r="O89" s="218"/>
    </row>
    <row r="90" spans="2:15" x14ac:dyDescent="0.15">
      <c r="I90" s="218"/>
      <c r="J90" s="218"/>
      <c r="K90" s="218"/>
      <c r="L90" s="218"/>
      <c r="M90" s="218"/>
      <c r="N90" s="218"/>
      <c r="O90" s="218"/>
    </row>
    <row r="91" spans="2:15" x14ac:dyDescent="0.15">
      <c r="I91" s="218"/>
      <c r="J91" s="218"/>
      <c r="K91" s="218"/>
      <c r="L91" s="218"/>
      <c r="M91" s="218"/>
      <c r="N91" s="218"/>
      <c r="O91" s="218"/>
    </row>
    <row r="92" spans="2:15" x14ac:dyDescent="0.15">
      <c r="I92" s="218"/>
      <c r="J92" s="218"/>
      <c r="K92" s="218"/>
      <c r="L92" s="218"/>
      <c r="M92" s="218"/>
      <c r="N92" s="218"/>
      <c r="O92" s="218"/>
    </row>
    <row r="93" spans="2:15" x14ac:dyDescent="0.15">
      <c r="I93" s="218"/>
      <c r="J93" s="218"/>
      <c r="K93" s="218"/>
      <c r="L93" s="218"/>
      <c r="M93" s="218"/>
      <c r="N93" s="218"/>
      <c r="O93" s="218"/>
    </row>
    <row r="94" spans="2:15" x14ac:dyDescent="0.15">
      <c r="I94" s="218"/>
      <c r="J94" s="218"/>
      <c r="K94" s="218"/>
      <c r="L94" s="218"/>
      <c r="M94" s="218"/>
      <c r="N94" s="218"/>
      <c r="O94" s="218"/>
    </row>
    <row r="95" spans="2:15" x14ac:dyDescent="0.15">
      <c r="I95" s="218"/>
      <c r="J95" s="218"/>
      <c r="K95" s="218"/>
      <c r="L95" s="218"/>
      <c r="M95" s="218"/>
      <c r="N95" s="218"/>
      <c r="O95" s="218"/>
    </row>
    <row r="96" spans="2:15" x14ac:dyDescent="0.15">
      <c r="I96" s="218"/>
      <c r="J96" s="218"/>
      <c r="K96" s="218"/>
      <c r="L96" s="218"/>
      <c r="M96" s="218"/>
      <c r="N96" s="218"/>
      <c r="O96" s="218"/>
    </row>
    <row r="97" spans="9:15" x14ac:dyDescent="0.15">
      <c r="I97" s="218"/>
      <c r="J97" s="218"/>
      <c r="K97" s="218"/>
      <c r="L97" s="218"/>
      <c r="M97" s="218"/>
      <c r="N97" s="218"/>
      <c r="O97" s="218"/>
    </row>
    <row r="98" spans="9:15" x14ac:dyDescent="0.15">
      <c r="I98" s="218"/>
      <c r="J98" s="218"/>
      <c r="K98" s="218"/>
      <c r="L98" s="218"/>
      <c r="M98" s="218"/>
      <c r="N98" s="218"/>
      <c r="O98" s="218"/>
    </row>
    <row r="99" spans="9:15" x14ac:dyDescent="0.15">
      <c r="I99" s="218"/>
      <c r="J99" s="218"/>
      <c r="K99" s="218"/>
      <c r="L99" s="218"/>
      <c r="M99" s="218"/>
      <c r="N99" s="218"/>
      <c r="O99" s="218"/>
    </row>
    <row r="100" spans="9:15" x14ac:dyDescent="0.15">
      <c r="I100" s="218"/>
      <c r="J100" s="218"/>
      <c r="K100" s="218"/>
      <c r="L100" s="218"/>
      <c r="M100" s="218"/>
      <c r="N100" s="218"/>
      <c r="O100" s="218"/>
    </row>
    <row r="101" spans="9:15" x14ac:dyDescent="0.15">
      <c r="I101" s="218"/>
      <c r="J101" s="218"/>
      <c r="K101" s="218"/>
      <c r="L101" s="218"/>
      <c r="M101" s="218"/>
      <c r="N101" s="218"/>
      <c r="O101" s="218"/>
    </row>
    <row r="102" spans="9:15" x14ac:dyDescent="0.15">
      <c r="I102" s="218"/>
      <c r="J102" s="218"/>
      <c r="K102" s="218"/>
      <c r="L102" s="218"/>
      <c r="M102" s="218"/>
      <c r="N102" s="218"/>
      <c r="O102" s="218"/>
    </row>
    <row r="103" spans="9:15" x14ac:dyDescent="0.15">
      <c r="I103" s="218"/>
      <c r="J103" s="218"/>
      <c r="K103" s="218"/>
      <c r="L103" s="218"/>
      <c r="M103" s="218"/>
      <c r="N103" s="218"/>
      <c r="O103" s="218"/>
    </row>
    <row r="104" spans="9:15" x14ac:dyDescent="0.15">
      <c r="I104" s="218"/>
      <c r="J104" s="218"/>
      <c r="K104" s="218"/>
      <c r="L104" s="218"/>
      <c r="M104" s="218"/>
      <c r="N104" s="218"/>
      <c r="O104" s="218"/>
    </row>
    <row r="105" spans="9:15" x14ac:dyDescent="0.15">
      <c r="I105" s="218"/>
      <c r="J105" s="218"/>
      <c r="K105" s="218"/>
      <c r="L105" s="218"/>
      <c r="M105" s="218"/>
      <c r="N105" s="218"/>
      <c r="O105" s="218"/>
    </row>
    <row r="106" spans="9:15" x14ac:dyDescent="0.15">
      <c r="I106" s="218"/>
      <c r="J106" s="218"/>
      <c r="K106" s="218"/>
      <c r="L106" s="218"/>
      <c r="M106" s="218"/>
      <c r="N106" s="218"/>
      <c r="O106" s="218"/>
    </row>
    <row r="107" spans="9:15" x14ac:dyDescent="0.15">
      <c r="I107" s="218"/>
      <c r="J107" s="218"/>
      <c r="K107" s="218"/>
      <c r="L107" s="218"/>
      <c r="M107" s="218"/>
      <c r="N107" s="218"/>
      <c r="O107" s="218"/>
    </row>
    <row r="108" spans="9:15" x14ac:dyDescent="0.15">
      <c r="I108" s="218"/>
      <c r="J108" s="218"/>
      <c r="K108" s="218"/>
      <c r="L108" s="218"/>
      <c r="M108" s="218"/>
      <c r="N108" s="218"/>
      <c r="O108" s="218"/>
    </row>
    <row r="109" spans="9:15" x14ac:dyDescent="0.15">
      <c r="I109" s="218"/>
      <c r="J109" s="218"/>
      <c r="K109" s="218"/>
      <c r="L109" s="218"/>
      <c r="M109" s="218"/>
      <c r="N109" s="218"/>
      <c r="O109" s="218"/>
    </row>
    <row r="110" spans="9:15" x14ac:dyDescent="0.15">
      <c r="I110" s="218"/>
      <c r="J110" s="218"/>
      <c r="K110" s="218"/>
      <c r="L110" s="218"/>
      <c r="M110" s="218"/>
      <c r="N110" s="218"/>
      <c r="O110" s="218"/>
    </row>
    <row r="111" spans="9:15" x14ac:dyDescent="0.15">
      <c r="I111" s="218"/>
      <c r="J111" s="218"/>
      <c r="K111" s="218"/>
      <c r="L111" s="218"/>
      <c r="M111" s="218"/>
      <c r="N111" s="218"/>
      <c r="O111" s="218"/>
    </row>
    <row r="112" spans="9:15" x14ac:dyDescent="0.15">
      <c r="I112" s="218"/>
      <c r="J112" s="218"/>
      <c r="K112" s="218"/>
      <c r="L112" s="218"/>
      <c r="M112" s="218"/>
      <c r="N112" s="218"/>
      <c r="O112" s="218"/>
    </row>
    <row r="113" spans="9:15" x14ac:dyDescent="0.15">
      <c r="I113" s="218"/>
      <c r="J113" s="218"/>
      <c r="K113" s="218"/>
      <c r="L113" s="218"/>
      <c r="M113" s="218"/>
      <c r="N113" s="218"/>
      <c r="O113" s="218"/>
    </row>
    <row r="114" spans="9:15" x14ac:dyDescent="0.15">
      <c r="I114" s="218"/>
      <c r="J114" s="218"/>
      <c r="K114" s="218"/>
      <c r="L114" s="218"/>
      <c r="M114" s="218"/>
      <c r="N114" s="218"/>
      <c r="O114" s="218"/>
    </row>
    <row r="115" spans="9:15" x14ac:dyDescent="0.15">
      <c r="I115" s="218"/>
      <c r="J115" s="218"/>
      <c r="K115" s="218"/>
      <c r="L115" s="218"/>
      <c r="M115" s="218"/>
      <c r="N115" s="218"/>
      <c r="O115" s="218"/>
    </row>
    <row r="116" spans="9:15" x14ac:dyDescent="0.15">
      <c r="I116" s="218"/>
      <c r="J116" s="218"/>
      <c r="K116" s="218"/>
      <c r="L116" s="218"/>
      <c r="M116" s="218"/>
      <c r="N116" s="218"/>
      <c r="O116" s="218"/>
    </row>
    <row r="117" spans="9:15" x14ac:dyDescent="0.15">
      <c r="I117" s="218"/>
      <c r="J117" s="218"/>
      <c r="K117" s="218"/>
      <c r="L117" s="218"/>
      <c r="M117" s="218"/>
      <c r="N117" s="218"/>
      <c r="O117" s="218"/>
    </row>
    <row r="118" spans="9:15" x14ac:dyDescent="0.15">
      <c r="I118" s="218"/>
      <c r="J118" s="218"/>
      <c r="K118" s="218"/>
      <c r="L118" s="218"/>
      <c r="M118" s="218"/>
      <c r="N118" s="218"/>
      <c r="O118" s="218"/>
    </row>
    <row r="119" spans="9:15" x14ac:dyDescent="0.15">
      <c r="I119" s="218"/>
      <c r="J119" s="218"/>
      <c r="K119" s="218"/>
      <c r="L119" s="218"/>
      <c r="M119" s="218"/>
      <c r="N119" s="218"/>
      <c r="O119" s="218"/>
    </row>
    <row r="120" spans="9:15" x14ac:dyDescent="0.15">
      <c r="I120" s="218"/>
      <c r="J120" s="218"/>
      <c r="K120" s="218"/>
      <c r="L120" s="218"/>
      <c r="M120" s="218"/>
      <c r="N120" s="218"/>
      <c r="O120" s="218"/>
    </row>
    <row r="121" spans="9:15" x14ac:dyDescent="0.15">
      <c r="I121" s="218"/>
      <c r="J121" s="218"/>
      <c r="K121" s="218"/>
      <c r="L121" s="218"/>
      <c r="M121" s="218"/>
      <c r="N121" s="218"/>
      <c r="O121" s="218"/>
    </row>
    <row r="122" spans="9:15" x14ac:dyDescent="0.15">
      <c r="I122" s="218"/>
      <c r="J122" s="218"/>
      <c r="K122" s="218"/>
      <c r="L122" s="218"/>
      <c r="M122" s="218"/>
      <c r="N122" s="218"/>
      <c r="O122" s="218"/>
    </row>
    <row r="123" spans="9:15" x14ac:dyDescent="0.15">
      <c r="I123" s="218"/>
      <c r="J123" s="218"/>
      <c r="K123" s="218"/>
      <c r="L123" s="218"/>
      <c r="M123" s="218"/>
      <c r="N123" s="218"/>
      <c r="O123" s="218"/>
    </row>
    <row r="124" spans="9:15" x14ac:dyDescent="0.15">
      <c r="I124" s="218"/>
      <c r="J124" s="218"/>
      <c r="K124" s="218"/>
      <c r="L124" s="218"/>
      <c r="M124" s="218"/>
      <c r="N124" s="218"/>
      <c r="O124" s="218"/>
    </row>
    <row r="125" spans="9:15" x14ac:dyDescent="0.15">
      <c r="I125" s="218"/>
      <c r="J125" s="218"/>
      <c r="K125" s="218"/>
      <c r="L125" s="218"/>
      <c r="M125" s="218"/>
      <c r="N125" s="218"/>
      <c r="O125" s="218"/>
    </row>
    <row r="126" spans="9:15" x14ac:dyDescent="0.15">
      <c r="I126" s="218"/>
      <c r="J126" s="218"/>
      <c r="K126" s="218"/>
      <c r="L126" s="218"/>
      <c r="M126" s="218"/>
      <c r="N126" s="218"/>
      <c r="O126" s="218"/>
    </row>
    <row r="127" spans="9:15" x14ac:dyDescent="0.15">
      <c r="I127" s="218"/>
      <c r="J127" s="218"/>
      <c r="K127" s="218"/>
      <c r="L127" s="218"/>
      <c r="M127" s="218"/>
      <c r="N127" s="218"/>
      <c r="O127" s="218"/>
    </row>
    <row r="128" spans="9:15" x14ac:dyDescent="0.15">
      <c r="I128" s="218"/>
      <c r="J128" s="218"/>
      <c r="K128" s="218"/>
      <c r="L128" s="218"/>
      <c r="M128" s="218"/>
      <c r="N128" s="218"/>
      <c r="O128" s="218"/>
    </row>
    <row r="129" spans="9:15" x14ac:dyDescent="0.15">
      <c r="I129" s="218"/>
      <c r="J129" s="218"/>
      <c r="K129" s="218"/>
      <c r="L129" s="218"/>
      <c r="M129" s="218"/>
      <c r="N129" s="218"/>
      <c r="O129" s="218"/>
    </row>
    <row r="130" spans="9:15" x14ac:dyDescent="0.15">
      <c r="I130" s="218"/>
      <c r="J130" s="218"/>
      <c r="K130" s="218"/>
      <c r="L130" s="218"/>
      <c r="M130" s="218"/>
      <c r="N130" s="218"/>
      <c r="O130" s="218"/>
    </row>
    <row r="131" spans="9:15" x14ac:dyDescent="0.15">
      <c r="I131" s="218"/>
      <c r="J131" s="218"/>
      <c r="K131" s="218"/>
      <c r="L131" s="218"/>
      <c r="M131" s="218"/>
      <c r="N131" s="218"/>
      <c r="O131" s="218"/>
    </row>
    <row r="132" spans="9:15" x14ac:dyDescent="0.15">
      <c r="I132" s="218"/>
      <c r="J132" s="218"/>
      <c r="K132" s="218"/>
      <c r="L132" s="218"/>
      <c r="M132" s="218"/>
      <c r="N132" s="218"/>
      <c r="O132" s="218"/>
    </row>
    <row r="133" spans="9:15" x14ac:dyDescent="0.15">
      <c r="I133" s="218"/>
      <c r="J133" s="218"/>
      <c r="K133" s="218"/>
      <c r="L133" s="218"/>
      <c r="M133" s="218"/>
      <c r="N133" s="218"/>
      <c r="O133" s="218"/>
    </row>
    <row r="134" spans="9:15" x14ac:dyDescent="0.15">
      <c r="I134" s="218"/>
      <c r="J134" s="218"/>
      <c r="K134" s="218"/>
      <c r="L134" s="218"/>
      <c r="M134" s="218"/>
      <c r="N134" s="218"/>
      <c r="O134" s="218"/>
    </row>
    <row r="135" spans="9:15" x14ac:dyDescent="0.15">
      <c r="I135" s="218"/>
      <c r="J135" s="218"/>
      <c r="K135" s="218"/>
      <c r="L135" s="218"/>
      <c r="M135" s="218"/>
      <c r="N135" s="218"/>
      <c r="O135" s="218"/>
    </row>
    <row r="136" spans="9:15" x14ac:dyDescent="0.15">
      <c r="I136" s="218"/>
      <c r="J136" s="218"/>
      <c r="K136" s="218"/>
      <c r="L136" s="218"/>
      <c r="M136" s="218"/>
      <c r="N136" s="218"/>
      <c r="O136" s="218"/>
    </row>
    <row r="137" spans="9:15" x14ac:dyDescent="0.15">
      <c r="I137" s="218"/>
      <c r="J137" s="218"/>
      <c r="K137" s="218"/>
      <c r="L137" s="218"/>
      <c r="M137" s="218"/>
      <c r="N137" s="218"/>
      <c r="O137" s="218"/>
    </row>
    <row r="138" spans="9:15" x14ac:dyDescent="0.15">
      <c r="I138" s="218"/>
      <c r="J138" s="218"/>
      <c r="K138" s="218"/>
      <c r="L138" s="218"/>
      <c r="M138" s="218"/>
      <c r="N138" s="218"/>
      <c r="O138" s="218"/>
    </row>
    <row r="139" spans="9:15" x14ac:dyDescent="0.15">
      <c r="I139" s="218"/>
      <c r="J139" s="218"/>
      <c r="K139" s="218"/>
      <c r="L139" s="218"/>
      <c r="M139" s="218"/>
      <c r="N139" s="218"/>
      <c r="O139" s="218"/>
    </row>
    <row r="140" spans="9:15" x14ac:dyDescent="0.15">
      <c r="I140" s="218"/>
      <c r="J140" s="218"/>
      <c r="K140" s="218"/>
      <c r="L140" s="218"/>
      <c r="M140" s="218"/>
      <c r="N140" s="218"/>
    </row>
    <row r="141" spans="9:15" x14ac:dyDescent="0.15">
      <c r="I141" s="218"/>
      <c r="J141" s="218"/>
      <c r="K141" s="218"/>
      <c r="L141" s="218"/>
      <c r="M141" s="218"/>
      <c r="N141" s="218"/>
    </row>
    <row r="142" spans="9:15" x14ac:dyDescent="0.15">
      <c r="I142" s="218"/>
      <c r="J142" s="218"/>
      <c r="K142" s="218"/>
      <c r="L142" s="218"/>
      <c r="M142" s="218"/>
      <c r="N142" s="218"/>
    </row>
    <row r="143" spans="9:15" x14ac:dyDescent="0.15">
      <c r="I143" s="218"/>
      <c r="J143" s="218"/>
      <c r="K143" s="218"/>
      <c r="L143" s="218"/>
      <c r="M143" s="218"/>
      <c r="N143" s="218"/>
    </row>
    <row r="144" spans="9:15" x14ac:dyDescent="0.15">
      <c r="I144" s="218"/>
      <c r="J144" s="218"/>
      <c r="K144" s="218"/>
      <c r="L144" s="218"/>
      <c r="M144" s="218"/>
      <c r="N144" s="218"/>
    </row>
    <row r="145" spans="9:14" x14ac:dyDescent="0.15">
      <c r="I145" s="218"/>
      <c r="J145" s="218"/>
      <c r="K145" s="218"/>
      <c r="L145" s="218"/>
      <c r="M145" s="218"/>
      <c r="N145" s="218"/>
    </row>
    <row r="146" spans="9:14" x14ac:dyDescent="0.15">
      <c r="I146" s="218"/>
      <c r="J146" s="218"/>
      <c r="K146" s="218"/>
      <c r="L146" s="218"/>
      <c r="M146" s="218"/>
      <c r="N146" s="218"/>
    </row>
    <row r="147" spans="9:14" x14ac:dyDescent="0.15">
      <c r="I147" s="218"/>
      <c r="J147" s="218"/>
      <c r="K147" s="218"/>
      <c r="L147" s="218"/>
      <c r="M147" s="218"/>
      <c r="N147" s="218"/>
    </row>
    <row r="148" spans="9:14" x14ac:dyDescent="0.15">
      <c r="I148" s="218"/>
      <c r="J148" s="218"/>
      <c r="K148" s="218"/>
      <c r="L148" s="218"/>
      <c r="M148" s="218"/>
      <c r="N148" s="218"/>
    </row>
    <row r="149" spans="9:14" x14ac:dyDescent="0.15">
      <c r="I149" s="218"/>
      <c r="J149" s="218"/>
      <c r="K149" s="218"/>
      <c r="L149" s="218"/>
      <c r="M149" s="218"/>
      <c r="N149" s="218"/>
    </row>
    <row r="150" spans="9:14" x14ac:dyDescent="0.15">
      <c r="I150" s="218"/>
      <c r="J150" s="218"/>
      <c r="K150" s="218"/>
      <c r="L150" s="218"/>
      <c r="M150" s="218"/>
      <c r="N150" s="218"/>
    </row>
    <row r="151" spans="9:14" x14ac:dyDescent="0.15">
      <c r="I151" s="218"/>
      <c r="J151" s="218"/>
      <c r="K151" s="218"/>
      <c r="L151" s="218"/>
      <c r="M151" s="218"/>
      <c r="N151" s="218"/>
    </row>
    <row r="152" spans="9:14" x14ac:dyDescent="0.15">
      <c r="I152" s="218"/>
      <c r="J152" s="218"/>
      <c r="K152" s="218"/>
      <c r="L152" s="218"/>
      <c r="M152" s="218"/>
      <c r="N152" s="218"/>
    </row>
    <row r="153" spans="9:14" x14ac:dyDescent="0.15">
      <c r="I153" s="218"/>
      <c r="J153" s="218"/>
      <c r="K153" s="218"/>
      <c r="L153" s="218"/>
      <c r="M153" s="218"/>
      <c r="N153" s="218"/>
    </row>
    <row r="154" spans="9:14" x14ac:dyDescent="0.15">
      <c r="I154" s="218"/>
      <c r="J154" s="218"/>
      <c r="K154" s="218"/>
      <c r="L154" s="218"/>
      <c r="M154" s="218"/>
      <c r="N154" s="218"/>
    </row>
    <row r="155" spans="9:14" x14ac:dyDescent="0.15">
      <c r="J155" s="218"/>
      <c r="K155" s="218"/>
      <c r="L155" s="218"/>
      <c r="M155" s="218"/>
      <c r="N155" s="218"/>
    </row>
    <row r="156" spans="9:14" x14ac:dyDescent="0.15">
      <c r="J156" s="218"/>
      <c r="K156" s="218"/>
      <c r="L156" s="218"/>
      <c r="M156" s="218"/>
      <c r="N156" s="218"/>
    </row>
    <row r="173" spans="15:15" x14ac:dyDescent="0.15">
      <c r="O173" s="218"/>
    </row>
    <row r="174" spans="15:15" x14ac:dyDescent="0.15">
      <c r="O174" s="218"/>
    </row>
    <row r="175" spans="15:15" x14ac:dyDescent="0.15">
      <c r="O175" s="218"/>
    </row>
    <row r="176" spans="15:15" x14ac:dyDescent="0.15">
      <c r="O176" s="218"/>
    </row>
    <row r="177" spans="15:15" x14ac:dyDescent="0.15">
      <c r="O177" s="218"/>
    </row>
    <row r="178" spans="15:15" x14ac:dyDescent="0.15">
      <c r="O178" s="218"/>
    </row>
    <row r="179" spans="15:15" x14ac:dyDescent="0.15">
      <c r="O179" s="218"/>
    </row>
    <row r="180" spans="15:15" x14ac:dyDescent="0.15">
      <c r="O180" s="218"/>
    </row>
    <row r="181" spans="15:15" x14ac:dyDescent="0.15">
      <c r="O181" s="218"/>
    </row>
    <row r="182" spans="15:15" x14ac:dyDescent="0.15">
      <c r="O182" s="218"/>
    </row>
    <row r="183" spans="15:15" x14ac:dyDescent="0.15">
      <c r="O183" s="218"/>
    </row>
    <row r="184" spans="15:15" x14ac:dyDescent="0.15">
      <c r="O184" s="218"/>
    </row>
    <row r="185" spans="15:15" x14ac:dyDescent="0.15">
      <c r="O185" s="218"/>
    </row>
    <row r="186" spans="15:15" x14ac:dyDescent="0.15">
      <c r="O186" s="218"/>
    </row>
    <row r="187" spans="15:15" x14ac:dyDescent="0.15">
      <c r="O187" s="218"/>
    </row>
    <row r="188" spans="15:15" x14ac:dyDescent="0.15">
      <c r="O188" s="218"/>
    </row>
    <row r="189" spans="15:15" x14ac:dyDescent="0.15">
      <c r="O189" s="218"/>
    </row>
    <row r="190" spans="15:15" x14ac:dyDescent="0.15">
      <c r="O190" s="218"/>
    </row>
    <row r="191" spans="15:15" x14ac:dyDescent="0.15">
      <c r="O191" s="218"/>
    </row>
    <row r="192" spans="15:15" x14ac:dyDescent="0.15">
      <c r="O192" s="218"/>
    </row>
  </sheetData>
  <mergeCells count="70">
    <mergeCell ref="T5:U5"/>
    <mergeCell ref="I6:I12"/>
    <mergeCell ref="T6:U6"/>
    <mergeCell ref="T7:U7"/>
    <mergeCell ref="T11:U11"/>
    <mergeCell ref="T12:U12"/>
    <mergeCell ref="J4:J5"/>
    <mergeCell ref="M4:M5"/>
    <mergeCell ref="N4:N5"/>
    <mergeCell ref="T4:U4"/>
    <mergeCell ref="T8:U8"/>
    <mergeCell ref="T9:U9"/>
    <mergeCell ref="I4:I5"/>
    <mergeCell ref="P38:P44"/>
    <mergeCell ref="T17:U17"/>
    <mergeCell ref="Q37:R37"/>
    <mergeCell ref="B8:B11"/>
    <mergeCell ref="I21:I24"/>
    <mergeCell ref="T21:U21"/>
    <mergeCell ref="T18:U18"/>
    <mergeCell ref="T13:U13"/>
    <mergeCell ref="T14:U14"/>
    <mergeCell ref="T15:U15"/>
    <mergeCell ref="T16:U16"/>
    <mergeCell ref="K37:L37"/>
    <mergeCell ref="T19:U19"/>
    <mergeCell ref="T20:U20"/>
    <mergeCell ref="I29:I32"/>
    <mergeCell ref="B21:B24"/>
    <mergeCell ref="B12:B16"/>
    <mergeCell ref="I13:I16"/>
    <mergeCell ref="B17:B20"/>
    <mergeCell ref="I17:I20"/>
    <mergeCell ref="B5:B7"/>
    <mergeCell ref="I43:I46"/>
    <mergeCell ref="K43:L43"/>
    <mergeCell ref="B28:B38"/>
    <mergeCell ref="K36:L36"/>
    <mergeCell ref="K41:L41"/>
    <mergeCell ref="I36:I42"/>
    <mergeCell ref="K38:L38"/>
    <mergeCell ref="K39:L39"/>
    <mergeCell ref="I25:I28"/>
    <mergeCell ref="K35:L35"/>
    <mergeCell ref="B39:B49"/>
    <mergeCell ref="K44:L44"/>
    <mergeCell ref="K42:L42"/>
    <mergeCell ref="K40:L40"/>
    <mergeCell ref="Q51:Q55"/>
    <mergeCell ref="K52:L52"/>
    <mergeCell ref="P57:Q57"/>
    <mergeCell ref="P45:P56"/>
    <mergeCell ref="K46:L46"/>
    <mergeCell ref="K51:L51"/>
    <mergeCell ref="K57:L57"/>
    <mergeCell ref="Q45:Q49"/>
    <mergeCell ref="K48:L48"/>
    <mergeCell ref="K47:L47"/>
    <mergeCell ref="K45:L45"/>
    <mergeCell ref="K49:L49"/>
    <mergeCell ref="K56:L56"/>
    <mergeCell ref="B54:B57"/>
    <mergeCell ref="K54:L54"/>
    <mergeCell ref="K55:L55"/>
    <mergeCell ref="B50:B53"/>
    <mergeCell ref="K53:L53"/>
    <mergeCell ref="K50:L50"/>
    <mergeCell ref="I51:I56"/>
    <mergeCell ref="I47:I50"/>
    <mergeCell ref="I57:J57"/>
  </mergeCells>
  <phoneticPr fontId="5"/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AM26"/>
  <sheetViews>
    <sheetView zoomScale="75" zoomScaleNormal="75" zoomScaleSheetLayoutView="76" workbookViewId="0"/>
  </sheetViews>
  <sheetFormatPr defaultRowHeight="13.5" x14ac:dyDescent="0.15"/>
  <cols>
    <col min="1" max="1" width="1.625" style="131" customWidth="1"/>
    <col min="2" max="2" width="7.625" style="131" customWidth="1"/>
    <col min="3" max="3" width="25.625" style="131" customWidth="1"/>
    <col min="4" max="13" width="15.625" style="131" customWidth="1"/>
    <col min="14" max="16384" width="9" style="131"/>
  </cols>
  <sheetData>
    <row r="1" spans="2:13" ht="20.25" customHeight="1" x14ac:dyDescent="0.15"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2:13" ht="20.25" customHeight="1" thickBot="1" x14ac:dyDescent="0.2">
      <c r="B2" s="131" t="s">
        <v>109</v>
      </c>
      <c r="F2" s="341" t="s">
        <v>274</v>
      </c>
      <c r="G2" s="340" t="s">
        <v>454</v>
      </c>
      <c r="I2" s="341" t="s">
        <v>275</v>
      </c>
      <c r="J2" s="340" t="s">
        <v>427</v>
      </c>
    </row>
    <row r="3" spans="2:13" ht="20.25" customHeight="1" x14ac:dyDescent="0.15">
      <c r="B3" s="636" t="s">
        <v>116</v>
      </c>
      <c r="C3" s="637"/>
      <c r="D3" s="427" t="s">
        <v>412</v>
      </c>
      <c r="E3" s="427" t="s">
        <v>413</v>
      </c>
      <c r="F3" s="427" t="s">
        <v>332</v>
      </c>
      <c r="G3" s="427" t="s">
        <v>429</v>
      </c>
      <c r="H3" s="427" t="s">
        <v>66</v>
      </c>
      <c r="I3" s="427" t="s">
        <v>335</v>
      </c>
      <c r="J3" s="427" t="s">
        <v>414</v>
      </c>
      <c r="K3" s="427" t="s">
        <v>430</v>
      </c>
      <c r="L3" s="427" t="s">
        <v>431</v>
      </c>
      <c r="M3" s="428"/>
    </row>
    <row r="4" spans="2:13" ht="182.25" customHeight="1" x14ac:dyDescent="0.15">
      <c r="B4" s="635" t="s">
        <v>110</v>
      </c>
      <c r="C4" s="479" t="s">
        <v>111</v>
      </c>
      <c r="D4" s="475" t="s">
        <v>415</v>
      </c>
      <c r="E4" s="475" t="s">
        <v>490</v>
      </c>
      <c r="F4" s="475" t="s">
        <v>491</v>
      </c>
      <c r="G4" s="475" t="s">
        <v>492</v>
      </c>
      <c r="H4" s="475" t="s">
        <v>416</v>
      </c>
      <c r="I4" s="475" t="s">
        <v>417</v>
      </c>
      <c r="J4" s="475" t="s">
        <v>418</v>
      </c>
      <c r="K4" s="475" t="s">
        <v>493</v>
      </c>
      <c r="L4" s="429"/>
      <c r="M4" s="430"/>
    </row>
    <row r="5" spans="2:13" ht="28.5" customHeight="1" x14ac:dyDescent="0.15">
      <c r="B5" s="635"/>
      <c r="C5" s="476" t="s">
        <v>112</v>
      </c>
      <c r="D5" s="500" t="s">
        <v>442</v>
      </c>
      <c r="E5" s="500" t="s">
        <v>419</v>
      </c>
      <c r="F5" s="500" t="s">
        <v>420</v>
      </c>
      <c r="G5" s="500" t="s">
        <v>421</v>
      </c>
      <c r="H5" s="500" t="s">
        <v>422</v>
      </c>
      <c r="I5" s="500" t="s">
        <v>443</v>
      </c>
      <c r="J5" s="500" t="s">
        <v>438</v>
      </c>
      <c r="K5" s="500" t="s">
        <v>444</v>
      </c>
      <c r="L5" s="437"/>
      <c r="M5" s="438"/>
    </row>
    <row r="6" spans="2:13" ht="86.25" customHeight="1" x14ac:dyDescent="0.15">
      <c r="B6" s="635"/>
      <c r="C6" s="479" t="s">
        <v>115</v>
      </c>
      <c r="D6" s="475" t="s">
        <v>305</v>
      </c>
      <c r="E6" s="475" t="s">
        <v>441</v>
      </c>
      <c r="F6" s="475" t="s">
        <v>432</v>
      </c>
      <c r="G6" s="475" t="s">
        <v>301</v>
      </c>
      <c r="H6" s="475"/>
      <c r="I6" s="475" t="s">
        <v>301</v>
      </c>
      <c r="J6" s="475" t="s">
        <v>424</v>
      </c>
      <c r="K6" s="475" t="s">
        <v>502</v>
      </c>
      <c r="L6" s="429"/>
      <c r="M6" s="430"/>
    </row>
    <row r="7" spans="2:13" ht="20.25" customHeight="1" x14ac:dyDescent="0.15">
      <c r="B7" s="635"/>
      <c r="C7" s="483" t="s">
        <v>504</v>
      </c>
      <c r="D7" s="476"/>
      <c r="E7" s="479">
        <v>19.7</v>
      </c>
      <c r="F7" s="476">
        <v>4.4000000000000004</v>
      </c>
      <c r="G7" s="480">
        <v>-1</v>
      </c>
      <c r="H7" s="476"/>
      <c r="I7" s="476">
        <v>2</v>
      </c>
      <c r="J7" s="476">
        <v>6.9</v>
      </c>
      <c r="K7" s="476">
        <v>1.2</v>
      </c>
      <c r="L7" s="437"/>
      <c r="M7" s="438"/>
    </row>
    <row r="8" spans="2:13" ht="20.25" customHeight="1" x14ac:dyDescent="0.15">
      <c r="B8" s="635"/>
      <c r="C8" s="476" t="s">
        <v>505</v>
      </c>
      <c r="D8" s="476">
        <v>17.2</v>
      </c>
      <c r="E8" s="479"/>
      <c r="F8" s="476">
        <v>13.2</v>
      </c>
      <c r="G8" s="480">
        <v>-1</v>
      </c>
      <c r="H8" s="476"/>
      <c r="I8" s="476">
        <v>5.0999999999999996</v>
      </c>
      <c r="J8" s="476">
        <v>23.3</v>
      </c>
      <c r="K8" s="476">
        <v>1.2</v>
      </c>
      <c r="L8" s="437">
        <v>2</v>
      </c>
      <c r="M8" s="438"/>
    </row>
    <row r="9" spans="2:13" ht="20.25" customHeight="1" x14ac:dyDescent="0.15">
      <c r="B9" s="635"/>
      <c r="C9" s="476" t="s">
        <v>114</v>
      </c>
      <c r="D9" s="476">
        <v>6</v>
      </c>
      <c r="E9" s="479">
        <v>2</v>
      </c>
      <c r="F9" s="476">
        <v>3</v>
      </c>
      <c r="G9" s="476"/>
      <c r="H9" s="476"/>
      <c r="I9" s="476">
        <v>3</v>
      </c>
      <c r="J9" s="476">
        <v>3</v>
      </c>
      <c r="K9" s="476">
        <v>2</v>
      </c>
      <c r="L9" s="437"/>
      <c r="M9" s="438"/>
    </row>
    <row r="10" spans="2:13" ht="122.25" customHeight="1" x14ac:dyDescent="0.15">
      <c r="B10" s="640" t="s">
        <v>506</v>
      </c>
      <c r="C10" s="641"/>
      <c r="D10" s="481" t="s">
        <v>513</v>
      </c>
      <c r="E10" s="481" t="s">
        <v>425</v>
      </c>
      <c r="F10" s="481" t="s">
        <v>514</v>
      </c>
      <c r="G10" s="481"/>
      <c r="H10" s="481"/>
      <c r="I10" s="481" t="s">
        <v>426</v>
      </c>
      <c r="J10" s="481" t="s">
        <v>364</v>
      </c>
      <c r="K10" s="477"/>
      <c r="L10" s="431"/>
      <c r="M10" s="432"/>
    </row>
    <row r="11" spans="2:13" ht="87.75" customHeight="1" thickBot="1" x14ac:dyDescent="0.2">
      <c r="B11" s="638" t="s">
        <v>113</v>
      </c>
      <c r="C11" s="639"/>
      <c r="D11" s="473" t="s">
        <v>494</v>
      </c>
      <c r="E11" s="473" t="s">
        <v>495</v>
      </c>
      <c r="F11" s="473" t="s">
        <v>496</v>
      </c>
      <c r="G11" s="474" t="s">
        <v>497</v>
      </c>
      <c r="H11" s="474" t="s">
        <v>498</v>
      </c>
      <c r="I11" s="474" t="s">
        <v>499</v>
      </c>
      <c r="J11" s="474" t="s">
        <v>500</v>
      </c>
      <c r="K11" s="478" t="s">
        <v>501</v>
      </c>
      <c r="L11" s="435"/>
      <c r="M11" s="436"/>
    </row>
    <row r="12" spans="2:13" ht="20.25" customHeight="1" x14ac:dyDescent="0.15">
      <c r="B12" s="133"/>
    </row>
    <row r="13" spans="2:13" ht="20.25" customHeight="1" x14ac:dyDescent="0.15"/>
    <row r="14" spans="2:13" ht="20.25" customHeight="1" x14ac:dyDescent="0.15"/>
    <row r="15" spans="2:13" ht="20.25" customHeight="1" x14ac:dyDescent="0.15"/>
    <row r="16" spans="2:13" ht="20.25" customHeight="1" x14ac:dyDescent="0.15"/>
    <row r="17" spans="39:39" ht="20.25" customHeight="1" x14ac:dyDescent="0.15"/>
    <row r="18" spans="39:39" ht="20.25" customHeight="1" x14ac:dyDescent="0.15"/>
    <row r="19" spans="39:39" ht="20.25" customHeight="1" x14ac:dyDescent="0.15"/>
    <row r="20" spans="39:39" ht="20.25" customHeight="1" x14ac:dyDescent="0.15"/>
    <row r="21" spans="39:39" ht="20.25" customHeight="1" x14ac:dyDescent="0.15"/>
    <row r="22" spans="39:39" ht="20.25" customHeight="1" x14ac:dyDescent="0.15"/>
    <row r="23" spans="39:39" ht="20.25" customHeight="1" x14ac:dyDescent="0.15"/>
    <row r="26" spans="39:39" x14ac:dyDescent="0.15">
      <c r="AM26" s="131" t="s">
        <v>487</v>
      </c>
    </row>
  </sheetData>
  <mergeCells count="4">
    <mergeCell ref="B4:B9"/>
    <mergeCell ref="B3:C3"/>
    <mergeCell ref="B11:C11"/>
    <mergeCell ref="B10:C10"/>
  </mergeCells>
  <phoneticPr fontId="5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AM26"/>
  <sheetViews>
    <sheetView zoomScale="75" zoomScaleNormal="75" zoomScaleSheetLayoutView="65" workbookViewId="0"/>
  </sheetViews>
  <sheetFormatPr defaultRowHeight="13.5" x14ac:dyDescent="0.15"/>
  <cols>
    <col min="1" max="1" width="1.625" style="131" customWidth="1"/>
    <col min="2" max="2" width="7.625" style="131" customWidth="1"/>
    <col min="3" max="3" width="25.625" style="131" customWidth="1"/>
    <col min="4" max="13" width="15.625" style="131" customWidth="1"/>
    <col min="14" max="16384" width="9" style="131"/>
  </cols>
  <sheetData>
    <row r="1" spans="2:13" ht="30.75" customHeight="1" x14ac:dyDescent="0.15">
      <c r="B1" s="504" t="s">
        <v>517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2:13" ht="30" customHeight="1" thickBot="1" x14ac:dyDescent="0.2">
      <c r="B2" s="131" t="s">
        <v>451</v>
      </c>
      <c r="F2" s="341" t="s">
        <v>274</v>
      </c>
      <c r="G2" s="340" t="s">
        <v>453</v>
      </c>
      <c r="I2" s="341" t="s">
        <v>275</v>
      </c>
      <c r="J2" s="340" t="s">
        <v>434</v>
      </c>
    </row>
    <row r="3" spans="2:13" ht="30" customHeight="1" x14ac:dyDescent="0.15">
      <c r="B3" s="642" t="s">
        <v>116</v>
      </c>
      <c r="C3" s="643"/>
      <c r="D3" s="499" t="s">
        <v>412</v>
      </c>
      <c r="E3" s="499" t="s">
        <v>428</v>
      </c>
      <c r="F3" s="499" t="s">
        <v>332</v>
      </c>
      <c r="G3" s="499" t="s">
        <v>333</v>
      </c>
      <c r="H3" s="499" t="s">
        <v>66</v>
      </c>
      <c r="I3" s="499" t="s">
        <v>335</v>
      </c>
      <c r="J3" s="499" t="s">
        <v>339</v>
      </c>
      <c r="K3" s="499" t="s">
        <v>430</v>
      </c>
      <c r="L3" s="499" t="s">
        <v>446</v>
      </c>
      <c r="M3" s="428"/>
    </row>
    <row r="4" spans="2:13" ht="165.75" customHeight="1" x14ac:dyDescent="0.15">
      <c r="B4" s="644" t="s">
        <v>110</v>
      </c>
      <c r="C4" s="479" t="s">
        <v>111</v>
      </c>
      <c r="D4" s="475" t="s">
        <v>415</v>
      </c>
      <c r="E4" s="429" t="s">
        <v>490</v>
      </c>
      <c r="F4" s="429" t="s">
        <v>491</v>
      </c>
      <c r="G4" s="429" t="s">
        <v>492</v>
      </c>
      <c r="H4" s="475" t="s">
        <v>435</v>
      </c>
      <c r="I4" s="475" t="s">
        <v>508</v>
      </c>
      <c r="J4" s="475" t="s">
        <v>509</v>
      </c>
      <c r="K4" s="475" t="s">
        <v>510</v>
      </c>
      <c r="L4" s="475"/>
      <c r="M4" s="430"/>
    </row>
    <row r="5" spans="2:13" ht="30" customHeight="1" x14ac:dyDescent="0.15">
      <c r="B5" s="645"/>
      <c r="C5" s="476" t="s">
        <v>112</v>
      </c>
      <c r="D5" s="500" t="s">
        <v>447</v>
      </c>
      <c r="E5" s="500" t="s">
        <v>448</v>
      </c>
      <c r="F5" s="500" t="s">
        <v>436</v>
      </c>
      <c r="G5" s="500" t="s">
        <v>437</v>
      </c>
      <c r="H5" s="500" t="s">
        <v>422</v>
      </c>
      <c r="I5" s="500" t="s">
        <v>423</v>
      </c>
      <c r="J5" s="500" t="s">
        <v>449</v>
      </c>
      <c r="K5" s="500" t="s">
        <v>450</v>
      </c>
      <c r="L5" s="500"/>
      <c r="M5" s="501"/>
    </row>
    <row r="6" spans="2:13" ht="80.25" customHeight="1" x14ac:dyDescent="0.15">
      <c r="B6" s="645"/>
      <c r="C6" s="476" t="s">
        <v>115</v>
      </c>
      <c r="D6" s="502" t="s">
        <v>305</v>
      </c>
      <c r="E6" s="502" t="s">
        <v>445</v>
      </c>
      <c r="F6" s="502" t="s">
        <v>439</v>
      </c>
      <c r="G6" s="502" t="s">
        <v>301</v>
      </c>
      <c r="H6" s="502"/>
      <c r="I6" s="502" t="s">
        <v>301</v>
      </c>
      <c r="J6" s="502" t="s">
        <v>440</v>
      </c>
      <c r="K6" s="502" t="s">
        <v>503</v>
      </c>
      <c r="L6" s="502"/>
      <c r="M6" s="503"/>
    </row>
    <row r="7" spans="2:13" ht="30" customHeight="1" x14ac:dyDescent="0.15">
      <c r="B7" s="645"/>
      <c r="C7" s="483" t="s">
        <v>504</v>
      </c>
      <c r="D7" s="476"/>
      <c r="E7" s="476">
        <v>19.7</v>
      </c>
      <c r="F7" s="476">
        <v>4.4000000000000004</v>
      </c>
      <c r="G7" s="480">
        <v>-1</v>
      </c>
      <c r="H7" s="476"/>
      <c r="I7" s="476">
        <v>2</v>
      </c>
      <c r="J7" s="476">
        <v>6.9</v>
      </c>
      <c r="K7" s="476">
        <v>1.2</v>
      </c>
      <c r="L7" s="476"/>
      <c r="M7" s="438"/>
    </row>
    <row r="8" spans="2:13" ht="30" customHeight="1" x14ac:dyDescent="0.15">
      <c r="B8" s="645"/>
      <c r="C8" s="476" t="s">
        <v>505</v>
      </c>
      <c r="D8" s="476">
        <v>17.2</v>
      </c>
      <c r="E8" s="476"/>
      <c r="F8" s="476">
        <v>13.2</v>
      </c>
      <c r="G8" s="480">
        <v>-1</v>
      </c>
      <c r="H8" s="476"/>
      <c r="I8" s="476">
        <v>5.0999999999999996</v>
      </c>
      <c r="J8" s="476">
        <v>23.3</v>
      </c>
      <c r="K8" s="476">
        <v>1.2</v>
      </c>
      <c r="L8" s="476">
        <v>2</v>
      </c>
      <c r="M8" s="438"/>
    </row>
    <row r="9" spans="2:13" ht="30" customHeight="1" x14ac:dyDescent="0.15">
      <c r="B9" s="646"/>
      <c r="C9" s="476" t="s">
        <v>114</v>
      </c>
      <c r="D9" s="476">
        <v>6</v>
      </c>
      <c r="E9" s="476">
        <v>2</v>
      </c>
      <c r="F9" s="476">
        <v>3</v>
      </c>
      <c r="G9" s="476"/>
      <c r="H9" s="476"/>
      <c r="I9" s="476">
        <v>3</v>
      </c>
      <c r="J9" s="476">
        <v>3</v>
      </c>
      <c r="K9" s="476">
        <v>2</v>
      </c>
      <c r="L9" s="476"/>
      <c r="M9" s="438"/>
    </row>
    <row r="10" spans="2:13" ht="98.25" customHeight="1" x14ac:dyDescent="0.15">
      <c r="B10" s="640" t="s">
        <v>506</v>
      </c>
      <c r="C10" s="647"/>
      <c r="D10" s="481" t="s">
        <v>433</v>
      </c>
      <c r="E10" s="481"/>
      <c r="F10" s="481" t="s">
        <v>511</v>
      </c>
      <c r="G10" s="481"/>
      <c r="H10" s="481"/>
      <c r="I10" s="481"/>
      <c r="J10" s="481" t="s">
        <v>512</v>
      </c>
      <c r="K10" s="481" t="s">
        <v>507</v>
      </c>
      <c r="L10" s="481"/>
      <c r="M10" s="432"/>
    </row>
    <row r="11" spans="2:13" ht="93.75" customHeight="1" thickBot="1" x14ac:dyDescent="0.2">
      <c r="B11" s="638" t="s">
        <v>113</v>
      </c>
      <c r="C11" s="639"/>
      <c r="D11" s="433" t="s">
        <v>494</v>
      </c>
      <c r="E11" s="482" t="s">
        <v>495</v>
      </c>
      <c r="F11" s="482" t="s">
        <v>496</v>
      </c>
      <c r="G11" s="482" t="s">
        <v>497</v>
      </c>
      <c r="H11" s="482" t="s">
        <v>498</v>
      </c>
      <c r="I11" s="482" t="s">
        <v>515</v>
      </c>
      <c r="J11" s="482" t="s">
        <v>516</v>
      </c>
      <c r="K11" s="434" t="s">
        <v>501</v>
      </c>
      <c r="L11" s="435"/>
      <c r="M11" s="436"/>
    </row>
    <row r="12" spans="2:13" ht="20.25" customHeight="1" x14ac:dyDescent="0.15">
      <c r="B12" s="133"/>
    </row>
    <row r="13" spans="2:13" ht="20.25" customHeight="1" x14ac:dyDescent="0.15"/>
    <row r="14" spans="2:13" ht="20.25" customHeight="1" x14ac:dyDescent="0.15"/>
    <row r="15" spans="2:13" ht="20.25" customHeight="1" x14ac:dyDescent="0.15"/>
    <row r="16" spans="2:13" ht="20.25" customHeight="1" x14ac:dyDescent="0.15"/>
    <row r="17" spans="39:39" ht="20.25" customHeight="1" x14ac:dyDescent="0.15"/>
    <row r="18" spans="39:39" ht="20.25" customHeight="1" x14ac:dyDescent="0.15"/>
    <row r="19" spans="39:39" ht="20.25" customHeight="1" x14ac:dyDescent="0.15"/>
    <row r="20" spans="39:39" ht="20.25" customHeight="1" x14ac:dyDescent="0.15"/>
    <row r="21" spans="39:39" ht="20.25" customHeight="1" x14ac:dyDescent="0.15"/>
    <row r="22" spans="39:39" ht="20.25" customHeight="1" x14ac:dyDescent="0.15"/>
    <row r="23" spans="39:39" ht="20.25" customHeight="1" x14ac:dyDescent="0.15"/>
    <row r="26" spans="39:39" x14ac:dyDescent="0.15">
      <c r="AM26" s="131" t="s">
        <v>487</v>
      </c>
    </row>
  </sheetData>
  <mergeCells count="4">
    <mergeCell ref="B3:C3"/>
    <mergeCell ref="B4:B9"/>
    <mergeCell ref="B10:C10"/>
    <mergeCell ref="B11:C11"/>
  </mergeCells>
  <phoneticPr fontId="5"/>
  <pageMargins left="1.1811023622047245" right="0.78740157480314965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AM50"/>
  <sheetViews>
    <sheetView zoomScale="75" zoomScaleNormal="75" zoomScaleSheetLayoutView="73" zoomScalePageLayoutView="71" workbookViewId="0"/>
  </sheetViews>
  <sheetFormatPr defaultRowHeight="13.5" x14ac:dyDescent="0.15"/>
  <cols>
    <col min="1" max="1" width="1.625" style="49" customWidth="1"/>
    <col min="2" max="2" width="7.625" style="49" customWidth="1"/>
    <col min="3" max="3" width="15.625" style="49" customWidth="1"/>
    <col min="4" max="8" width="20.625" style="49" customWidth="1"/>
    <col min="9" max="9" width="84.625" style="49" customWidth="1"/>
    <col min="10" max="10" width="9.25" style="49" bestFit="1" customWidth="1"/>
    <col min="11" max="16384" width="9" style="49"/>
  </cols>
  <sheetData>
    <row r="1" spans="2:9" ht="20.25" customHeight="1" x14ac:dyDescent="0.15"/>
    <row r="2" spans="2:9" ht="20.25" customHeight="1" thickBot="1" x14ac:dyDescent="0.2">
      <c r="B2" s="50" t="s">
        <v>107</v>
      </c>
      <c r="C2" s="51"/>
      <c r="D2" s="51"/>
      <c r="I2" s="52"/>
    </row>
    <row r="3" spans="2:9" ht="20.25" customHeight="1" x14ac:dyDescent="0.15">
      <c r="B3" s="662" t="s">
        <v>288</v>
      </c>
      <c r="C3" s="663"/>
      <c r="D3" s="663"/>
      <c r="E3" s="663"/>
      <c r="F3" s="53" t="s">
        <v>289</v>
      </c>
      <c r="G3" s="53" t="s">
        <v>355</v>
      </c>
      <c r="H3" s="53" t="str">
        <f>+'１　対象経営の概要，２　前提条件'!C14</f>
        <v>水稲（ＷＣＳ）</v>
      </c>
      <c r="I3" s="666" t="s">
        <v>287</v>
      </c>
    </row>
    <row r="4" spans="2:9" ht="20.25" customHeight="1" thickBot="1" x14ac:dyDescent="0.2">
      <c r="B4" s="664"/>
      <c r="C4" s="665"/>
      <c r="D4" s="665"/>
      <c r="E4" s="665"/>
      <c r="F4" s="390"/>
      <c r="G4" s="390">
        <f>'１　対象経営の概要，２　前提条件'!F13</f>
        <v>20</v>
      </c>
      <c r="H4" s="390">
        <f>+'１　対象経営の概要，２　前提条件'!F14</f>
        <v>10</v>
      </c>
      <c r="I4" s="667"/>
    </row>
    <row r="5" spans="2:9" ht="20.25" customHeight="1" x14ac:dyDescent="0.15">
      <c r="B5" s="652" t="s">
        <v>90</v>
      </c>
      <c r="C5" s="669" t="s">
        <v>58</v>
      </c>
      <c r="D5" s="54" t="s">
        <v>232</v>
      </c>
      <c r="E5" s="55"/>
      <c r="F5" s="56">
        <f>SUM(G5:H5)</f>
        <v>21360000</v>
      </c>
      <c r="G5" s="339">
        <f>'７－１　水稲部門（コシヒカリ）収支'!F4*('１　対象経営の概要，２　前提条件'!$AB$26+'１　対象経営の概要，２　前提条件'!$AM$26+'１　対象経営の概要，２　前提条件'!$AB$28)+'７－２　水稲部門（あきさかり）収支 '!F4*('１　対象経営の概要，２　前提条件'!$AB$27+'１　対象経営の概要，２　前提条件'!$AM$27)</f>
        <v>18060000</v>
      </c>
      <c r="H5" s="339">
        <f>'７－３　水稲部門（ＷＣＳ）収支 '!F4*'１　対象経営の概要，２　前提条件'!$AM$30</f>
        <v>3300000</v>
      </c>
      <c r="I5" s="57"/>
    </row>
    <row r="6" spans="2:9" ht="20.25" customHeight="1" x14ac:dyDescent="0.15">
      <c r="B6" s="653"/>
      <c r="C6" s="670"/>
      <c r="D6" s="58" t="s">
        <v>91</v>
      </c>
      <c r="E6" s="59"/>
      <c r="F6" s="60">
        <f>SUM(G6:H6)</f>
        <v>0</v>
      </c>
      <c r="G6" s="64">
        <f>'７－１　水稲部門（コシヒカリ）収支'!F5*('１　対象経営の概要，２　前提条件'!$AB$26+'１　対象経営の概要，２　前提条件'!$AM$26+'１　対象経営の概要，２　前提条件'!$AB$28)+'７－２　水稲部門（あきさかり）収支 '!F5*('１　対象経営の概要，２　前提条件'!$AB$27+'１　対象経営の概要，２　前提条件'!$AM$27)</f>
        <v>0</v>
      </c>
      <c r="H6" s="64">
        <f>'７－３　水稲部門（ＷＣＳ）収支 '!F5*'１　対象経営の概要，２　前提条件'!$AM$30</f>
        <v>0</v>
      </c>
      <c r="I6" s="61"/>
    </row>
    <row r="7" spans="2:9" ht="20.25" customHeight="1" x14ac:dyDescent="0.15">
      <c r="B7" s="653"/>
      <c r="C7" s="671"/>
      <c r="D7" s="672" t="s">
        <v>220</v>
      </c>
      <c r="E7" s="673"/>
      <c r="F7" s="62">
        <f>SUM(F5:F6)</f>
        <v>21360000</v>
      </c>
      <c r="G7" s="63">
        <f>G5+G6</f>
        <v>18060000</v>
      </c>
      <c r="H7" s="63">
        <f>SUM(H5:H6)</f>
        <v>3300000</v>
      </c>
      <c r="I7" s="61"/>
    </row>
    <row r="8" spans="2:9" ht="20.25" customHeight="1" x14ac:dyDescent="0.15">
      <c r="B8" s="653"/>
      <c r="C8" s="674" t="s">
        <v>223</v>
      </c>
      <c r="D8" s="58" t="s">
        <v>59</v>
      </c>
      <c r="E8" s="59"/>
      <c r="F8" s="60">
        <f t="shared" ref="F8:F27" si="0">SUM(G8:H8)</f>
        <v>1396500</v>
      </c>
      <c r="G8" s="64">
        <f>'７－１　水稲部門（コシヒカリ）収支'!F6*('１　対象経営の概要，２　前提条件'!$AB$26+'１　対象経営の概要，２　前提条件'!$AM$26+'１　対象経営の概要，２　前提条件'!$AB$28)+'７－２　水稲部門（あきさかり）収支 '!F6*('１　対象経営の概要，２　前提条件'!$AB$27+'１　対象経営の概要，２　前提条件'!$AM$27)</f>
        <v>406000</v>
      </c>
      <c r="H8" s="64">
        <f>'７－３　水稲部門（ＷＣＳ）収支 '!F6*'１　対象経営の概要，２　前提条件'!$AM$30</f>
        <v>990500</v>
      </c>
      <c r="I8" s="61"/>
    </row>
    <row r="9" spans="2:9" ht="20.25" customHeight="1" x14ac:dyDescent="0.15">
      <c r="B9" s="653"/>
      <c r="C9" s="675"/>
      <c r="D9" s="58" t="s">
        <v>60</v>
      </c>
      <c r="E9" s="59"/>
      <c r="F9" s="60">
        <f t="shared" si="0"/>
        <v>3652824.5</v>
      </c>
      <c r="G9" s="64">
        <f>'７－１　水稲部門（コシヒカリ）収支'!F7*('１　対象経営の概要，２　前提条件'!$AB$26+'１　対象経営の概要，２　前提条件'!$AM$26+'１　対象経営の概要，２　前提条件'!$AB$28)+'７－２　水稲部門（あきさかり）収支 '!F7*('１　対象経営の概要，２　前提条件'!$AB$27+'１　対象経営の概要，２　前提条件'!$AM$27)</f>
        <v>2101783</v>
      </c>
      <c r="H9" s="64">
        <f>'７－３　水稲部門（ＷＣＳ）収支 '!F7*'１　対象経営の概要，２　前提条件'!$AM$30</f>
        <v>1551041.5</v>
      </c>
      <c r="I9" s="61"/>
    </row>
    <row r="10" spans="2:9" ht="20.25" customHeight="1" x14ac:dyDescent="0.15">
      <c r="B10" s="653"/>
      <c r="C10" s="675"/>
      <c r="D10" s="58" t="s">
        <v>61</v>
      </c>
      <c r="E10" s="59"/>
      <c r="F10" s="60">
        <f t="shared" si="0"/>
        <v>1639361.67</v>
      </c>
      <c r="G10" s="64">
        <f>'７－１　水稲部門（コシヒカリ）収支'!F8*('１　対象経営の概要，２　前提条件'!$AB$26+'１　対象経営の概要，２　前提条件'!$AM$26+'１　対象経営の概要，２　前提条件'!$AB$28)+'７－２　水稲部門（あきさかり）収支 '!F8*('１　対象経営の概要，２　前提条件'!$AB$27+'１　対象経営の概要，２　前提条件'!$AM$27)</f>
        <v>1223380.6033333333</v>
      </c>
      <c r="H10" s="64">
        <f>'７－３　水稲部門（ＷＣＳ）収支 '!F8*'１　対象経営の概要，２　前提条件'!$AM$30</f>
        <v>415981.06666666665</v>
      </c>
      <c r="I10" s="61"/>
    </row>
    <row r="11" spans="2:9" ht="20.25" customHeight="1" x14ac:dyDescent="0.15">
      <c r="B11" s="653"/>
      <c r="C11" s="675"/>
      <c r="D11" s="58" t="s">
        <v>92</v>
      </c>
      <c r="E11" s="59"/>
      <c r="F11" s="60">
        <f t="shared" si="0"/>
        <v>1054700.152</v>
      </c>
      <c r="G11" s="64">
        <f>'７－１　水稲部門（コシヒカリ）収支'!F9*('１　対象経営の概要，２　前提条件'!$AB$26+'１　対象経営の概要，２　前提条件'!$AM$26+'１　対象経営の概要，２　前提条件'!$AB$28)+'７－２　水稲部門（あきさかり）収支 '!F9*('１　対象経営の概要，２　前提条件'!$AB$27+'１　対象経営の概要，２　前提条件'!$AM$27)</f>
        <v>845577.76799999992</v>
      </c>
      <c r="H11" s="64">
        <f>'７－３　水稲部門（ＷＣＳ）収支 '!F9*'１　対象経営の概要，２　前提条件'!$AM$30</f>
        <v>209122.38400000002</v>
      </c>
      <c r="I11" s="61"/>
    </row>
    <row r="12" spans="2:9" ht="20.25" customHeight="1" x14ac:dyDescent="0.15">
      <c r="B12" s="653"/>
      <c r="C12" s="675"/>
      <c r="D12" s="58" t="s">
        <v>62</v>
      </c>
      <c r="E12" s="59"/>
      <c r="F12" s="60">
        <f t="shared" si="0"/>
        <v>174200</v>
      </c>
      <c r="G12" s="64">
        <f>'７－１　水稲部門（コシヒカリ）収支'!F10*('１　対象経営の概要，２　前提条件'!$AB$26+'１　対象経営の概要，２　前提条件'!$AM$26+'１　対象経営の概要，２　前提条件'!$AB$28)+'７－２　水稲部門（あきさかり）収支 '!F10*('１　対象経営の概要，２　前提条件'!$AB$27+'１　対象経営の概要，２　前提条件'!$AM$27)</f>
        <v>116133.33333333334</v>
      </c>
      <c r="H12" s="64">
        <f>'７－３　水稲部門（ＷＣＳ）収支 '!F10*'１　対象経営の概要，２　前提条件'!$AM$30</f>
        <v>58066.666666666672</v>
      </c>
      <c r="I12" s="61"/>
    </row>
    <row r="13" spans="2:9" ht="20.25" customHeight="1" x14ac:dyDescent="0.15">
      <c r="B13" s="653"/>
      <c r="C13" s="675"/>
      <c r="D13" s="58" t="s">
        <v>6</v>
      </c>
      <c r="E13" s="59"/>
      <c r="F13" s="60">
        <f t="shared" si="0"/>
        <v>2500</v>
      </c>
      <c r="G13" s="64">
        <f>'７－１　水稲部門（コシヒカリ）収支'!F11*('１　対象経営の概要，２　前提条件'!$AB$26+'１　対象経営の概要，２　前提条件'!$AM$26+'１　対象経営の概要，２　前提条件'!$AB$28)+'７－２　水稲部門（あきさかり）収支 '!F11*('１　対象経営の概要，２　前提条件'!$AB$27+'１　対象経営の概要，２　前提条件'!$AM$27)</f>
        <v>1666.6666666666665</v>
      </c>
      <c r="H13" s="64">
        <f>'７－３　水稲部門（ＷＣＳ）収支 '!F11*'１　対象経営の概要，２　前提条件'!$AM$30</f>
        <v>833.33333333333326</v>
      </c>
      <c r="I13" s="61"/>
    </row>
    <row r="14" spans="2:9" ht="20.25" customHeight="1" x14ac:dyDescent="0.15">
      <c r="B14" s="653"/>
      <c r="C14" s="675"/>
      <c r="D14" s="58" t="s">
        <v>7</v>
      </c>
      <c r="E14" s="59"/>
      <c r="F14" s="64">
        <f t="shared" si="0"/>
        <v>3348000</v>
      </c>
      <c r="G14" s="64">
        <f>108000*3</f>
        <v>324000</v>
      </c>
      <c r="H14" s="64">
        <f>'７－３　水稲部門（ＷＣＳ）収支 '!F12*'１　対象経営の概要，２　前提条件'!$AM$30</f>
        <v>3024000</v>
      </c>
      <c r="I14" s="61" t="s">
        <v>459</v>
      </c>
    </row>
    <row r="15" spans="2:9" ht="20.25" customHeight="1" x14ac:dyDescent="0.15">
      <c r="B15" s="653"/>
      <c r="C15" s="675"/>
      <c r="D15" s="677" t="s">
        <v>63</v>
      </c>
      <c r="E15" s="65" t="s">
        <v>211</v>
      </c>
      <c r="F15" s="64">
        <f t="shared" si="0"/>
        <v>169155</v>
      </c>
      <c r="G15" s="64">
        <f>'７－１　水稲部門（コシヒカリ）収支'!F13*('１　対象経営の概要，２　前提条件'!$AB$26+'１　対象経営の概要，２　前提条件'!$AM$26+'１　対象経営の概要，２　前提条件'!$AB$28)+'７－２　水稲部門（あきさかり）収支 '!F13*('１　対象経営の概要，２　前提条件'!$AB$27+'１　対象経営の概要，２　前提条件'!$AM$27)</f>
        <v>142470</v>
      </c>
      <c r="H15" s="64">
        <f>'７－３　水稲部門（ＷＣＳ）収支 '!F13*'１　対象経営の概要，２　前提条件'!$AM$30</f>
        <v>26685</v>
      </c>
      <c r="I15" s="61"/>
    </row>
    <row r="16" spans="2:9" ht="20.25" customHeight="1" x14ac:dyDescent="0.15">
      <c r="B16" s="653"/>
      <c r="C16" s="675"/>
      <c r="D16" s="678"/>
      <c r="E16" s="65" t="s">
        <v>212</v>
      </c>
      <c r="F16" s="64">
        <f t="shared" si="0"/>
        <v>2213731.6</v>
      </c>
      <c r="G16" s="64">
        <f>'７－１　水稲部門（コシヒカリ）収支'!F14*('１　対象経営の概要，２　前提条件'!$AB$26+'１　対象経営の概要，２　前提条件'!$AM$26+'１　対象経営の概要，２　前提条件'!$AB$28)+'７－２　水稲部門（あきさかり）収支 '!F14*('１　対象経営の概要，２　前提条件'!$AB$27+'１　対象経営の概要，２　前提条件'!$AM$27)</f>
        <v>1863287.0666666667</v>
      </c>
      <c r="H16" s="64">
        <f>'７－３　水稲部門（ＷＣＳ）収支 '!F14*'１　対象経営の概要，２　前提条件'!$AM$30</f>
        <v>350444.53333333333</v>
      </c>
      <c r="I16" s="61"/>
    </row>
    <row r="17" spans="2:39" ht="20.25" customHeight="1" x14ac:dyDescent="0.15">
      <c r="B17" s="653"/>
      <c r="C17" s="675"/>
      <c r="D17" s="679" t="s">
        <v>93</v>
      </c>
      <c r="E17" s="65" t="s">
        <v>211</v>
      </c>
      <c r="F17" s="64">
        <f t="shared" si="0"/>
        <v>800550</v>
      </c>
      <c r="G17" s="64">
        <f>'７－１　水稲部門（コシヒカリ）収支'!F15*('１　対象経営の概要，２　前提条件'!$AB$26+'１　対象経営の概要，２　前提条件'!$AM$26+'１　対象経営の概要，２　前提条件'!$AB$28)+'７－２　水稲部門（あきさかり）収支 '!F15*('１　対象経営の概要，２　前提条件'!$AB$27+'１　対象経営の概要，２　前提条件'!$AM$27)</f>
        <v>652500</v>
      </c>
      <c r="H17" s="64">
        <f>'７－３　水稲部門（ＷＣＳ）収支 '!F15*'１　対象経営の概要，２　前提条件'!$AM$30</f>
        <v>148050</v>
      </c>
      <c r="I17" s="61"/>
    </row>
    <row r="18" spans="2:39" ht="20.25" customHeight="1" x14ac:dyDescent="0.15">
      <c r="B18" s="653"/>
      <c r="C18" s="675"/>
      <c r="D18" s="680"/>
      <c r="E18" s="65" t="s">
        <v>212</v>
      </c>
      <c r="F18" s="64">
        <f t="shared" si="0"/>
        <v>6584233.1428571446</v>
      </c>
      <c r="G18" s="64">
        <f>'７－１　水稲部門（コシヒカリ）収支'!F16*('１　対象経営の概要，２　前提条件'!$AB$26+'１　対象経営の概要，２　前提条件'!$AM$26+'１　対象経営の概要，２　前提条件'!$AB$28)+'７－２　水稲部門（あきさかり）収支 '!F16*('１　対象経営の概要，２　前提条件'!$AB$27+'１　対象経営の概要，２　前提条件'!$AM$27)</f>
        <v>5496534.4761904776</v>
      </c>
      <c r="H18" s="64">
        <f>'７－３　水稲部門（ＷＣＳ）収支 '!F16*'１　対象経営の概要，２　前提条件'!$AM$30</f>
        <v>1087698.6666666667</v>
      </c>
      <c r="I18" s="61" t="s">
        <v>481</v>
      </c>
    </row>
    <row r="19" spans="2:39" ht="20.25" customHeight="1" x14ac:dyDescent="0.15">
      <c r="B19" s="653"/>
      <c r="C19" s="675"/>
      <c r="D19" s="678"/>
      <c r="E19" s="68" t="s">
        <v>64</v>
      </c>
      <c r="F19" s="64">
        <f t="shared" si="0"/>
        <v>0</v>
      </c>
      <c r="G19" s="64">
        <f>'７－１　水稲部門（コシヒカリ）収支'!F17*('１　対象経営の概要，２　前提条件'!$AB$26+'１　対象経営の概要，２　前提条件'!$AM$26+'１　対象経営の概要，２　前提条件'!$AB$28)+'７－２　水稲部門（あきさかり）収支 '!F17*('１　対象経営の概要，２　前提条件'!$AB$27+'１　対象経営の概要，２　前提条件'!$AM$27)</f>
        <v>0</v>
      </c>
      <c r="H19" s="64">
        <f>'７－３　水稲部門（ＷＣＳ）収支 '!F17*'１　対象経営の概要，２　前提条件'!$AM$30</f>
        <v>0</v>
      </c>
      <c r="I19" s="61"/>
    </row>
    <row r="20" spans="2:39" ht="20.25" customHeight="1" x14ac:dyDescent="0.15">
      <c r="B20" s="653"/>
      <c r="C20" s="675"/>
      <c r="D20" s="681" t="s">
        <v>284</v>
      </c>
      <c r="E20" s="68" t="s">
        <v>128</v>
      </c>
      <c r="F20" s="64">
        <f t="shared" si="0"/>
        <v>0</v>
      </c>
      <c r="G20" s="64">
        <f>'７－１　水稲部門（コシヒカリ）収支'!F18*('１　対象経営の概要，２　前提条件'!$AB$26+'１　対象経営の概要，２　前提条件'!$AM$26+'１　対象経営の概要，２　前提条件'!$AB$28)+'７－２　水稲部門（あきさかり）収支 '!F18*('１　対象経営の概要，２　前提条件'!$AB$27+'１　対象経営の概要，２　前提条件'!$AM$27)</f>
        <v>0</v>
      </c>
      <c r="H20" s="64">
        <f>'７－３　水稲部門（ＷＣＳ）収支 '!F18*'１　対象経営の概要，２　前提条件'!$AM$30</f>
        <v>0</v>
      </c>
      <c r="I20" s="61"/>
    </row>
    <row r="21" spans="2:39" ht="20.25" customHeight="1" x14ac:dyDescent="0.15">
      <c r="B21" s="653"/>
      <c r="C21" s="675"/>
      <c r="D21" s="681"/>
      <c r="E21" s="68" t="s">
        <v>124</v>
      </c>
      <c r="F21" s="64">
        <f t="shared" si="0"/>
        <v>1118700.0000000002</v>
      </c>
      <c r="G21" s="64">
        <f>'７－１　水稲部門（コシヒカリ）収支'!F19*('１　対象経営の概要，２　前提条件'!$AB$26+'１　対象経営の概要，２　前提条件'!$AM$26+'１　対象経営の概要，２　前提条件'!$AB$28)+'７－２　水稲部門（あきさかり）収支 '!F19*('１　対象経営の概要，２　前提条件'!$AB$27+'１　対象経営の概要，２　前提条件'!$AM$27)</f>
        <v>745800.00000000012</v>
      </c>
      <c r="H21" s="64">
        <f>'７－３　水稲部門（ＷＣＳ）収支 '!F19*'１　対象経営の概要，２　前提条件'!$AM$30</f>
        <v>372900.00000000006</v>
      </c>
      <c r="I21" s="61"/>
    </row>
    <row r="22" spans="2:39" ht="20.25" customHeight="1" x14ac:dyDescent="0.15">
      <c r="B22" s="653"/>
      <c r="C22" s="675"/>
      <c r="D22" s="681"/>
      <c r="E22" s="68" t="s">
        <v>125</v>
      </c>
      <c r="F22" s="64">
        <f t="shared" si="0"/>
        <v>1674000</v>
      </c>
      <c r="G22" s="64">
        <f>'７－１　水稲部門（コシヒカリ）収支'!F20*('１　対象経営の概要，２　前提条件'!$AB$26+'１　対象経営の概要，２　前提条件'!$AM$26+'１　対象経営の概要，２　前提条件'!$AB$28)+'７－２　水稲部門（あきさかり）収支 '!F20*('１　対象経営の概要，２　前提条件'!$AB$27+'１　対象経営の概要，２　前提条件'!$AM$27)</f>
        <v>1116000</v>
      </c>
      <c r="H22" s="64">
        <f>'７－３　水稲部門（ＷＣＳ）収支 '!F20*'１　対象経営の概要，２　前提条件'!$AM$30</f>
        <v>558000</v>
      </c>
      <c r="I22" s="61"/>
    </row>
    <row r="23" spans="2:39" ht="20.25" customHeight="1" x14ac:dyDescent="0.15">
      <c r="B23" s="653"/>
      <c r="C23" s="675"/>
      <c r="D23" s="681"/>
      <c r="E23" s="229" t="s">
        <v>127</v>
      </c>
      <c r="F23" s="64">
        <f t="shared" si="0"/>
        <v>33512.399999999994</v>
      </c>
      <c r="G23" s="64">
        <f>'７－１　水稲部門（コシヒカリ）収支'!F21*('１　対象経営の概要，２　前提条件'!$AB$26+'１　対象経営の概要，２　前提条件'!$AM$26+'１　対象経営の概要，２　前提条件'!$AB$28)+'７－２　水稲部門（あきさかり）収支 '!F21*('１　対象経営の概要，２　前提条件'!$AB$27+'１　対象経営の概要，２　前提条件'!$AM$27)</f>
        <v>22341.599999999999</v>
      </c>
      <c r="H23" s="64">
        <f>'７－３　水稲部門（ＷＣＳ）収支 '!F21*'１　対象経営の概要，２　前提条件'!$AM$30</f>
        <v>11170.8</v>
      </c>
      <c r="I23" s="61"/>
    </row>
    <row r="24" spans="2:39" ht="20.100000000000001" customHeight="1" x14ac:dyDescent="0.15">
      <c r="B24" s="653"/>
      <c r="C24" s="675"/>
      <c r="D24" s="679" t="s">
        <v>65</v>
      </c>
      <c r="E24" s="59" t="s">
        <v>66</v>
      </c>
      <c r="F24" s="64">
        <f t="shared" si="0"/>
        <v>712800</v>
      </c>
      <c r="G24" s="64">
        <f>'７－１　水稲部門（コシヒカリ）収支'!F22*('１　対象経営の概要，２　前提条件'!$AB$26+'１　対象経営の概要，２　前提条件'!$AM$26+'１　対象経営の概要，２　前提条件'!$AB$28)+'７－２　水稲部門（あきさかり）収支 '!F22*('１　対象経営の概要，２　前提条件'!$AB$27+'１　対象経営の概要，２　前提条件'!$AM$27)</f>
        <v>475200</v>
      </c>
      <c r="H24" s="64">
        <f>'７－３　水稲部門（ＷＣＳ）収支 '!F22*'１　対象経営の概要，２　前提条件'!$AM$30</f>
        <v>237600</v>
      </c>
      <c r="I24" s="61"/>
    </row>
    <row r="25" spans="2:39" ht="20.100000000000001" customHeight="1" x14ac:dyDescent="0.15">
      <c r="B25" s="653"/>
      <c r="C25" s="675"/>
      <c r="D25" s="678"/>
      <c r="E25" s="59" t="s">
        <v>94</v>
      </c>
      <c r="F25" s="60">
        <f t="shared" si="0"/>
        <v>1500000</v>
      </c>
      <c r="G25" s="64">
        <f>'７－１　水稲部門（コシヒカリ）収支'!F23*('１　対象経営の概要，２　前提条件'!$AB$26+'１　対象経営の概要，２　前提条件'!$AM$26+'１　対象経営の概要，２　前提条件'!$AB$28)+'７－２　水稲部門（あきさかり）収支 '!F23*('１　対象経営の概要，２　前提条件'!$AB$27+'１　対象経営の概要，２　前提条件'!$AM$27)</f>
        <v>1000000</v>
      </c>
      <c r="H25" s="64">
        <f>'７－３　水稲部門（ＷＣＳ）収支 '!F23*'１　対象経営の概要，２　前提条件'!$AM$30</f>
        <v>500000</v>
      </c>
      <c r="I25" s="61"/>
    </row>
    <row r="26" spans="2:39" ht="20.100000000000001" customHeight="1" x14ac:dyDescent="0.15">
      <c r="B26" s="653"/>
      <c r="C26" s="675"/>
      <c r="D26" s="58" t="s">
        <v>67</v>
      </c>
      <c r="E26" s="59"/>
      <c r="F26" s="60">
        <f t="shared" si="0"/>
        <v>900000</v>
      </c>
      <c r="G26" s="64">
        <f>'７－１　水稲部門（コシヒカリ）収支'!F24*('１　対象経営の概要，２　前提条件'!$AB$26+'１　対象経営の概要，２　前提条件'!$AM$26+'１　対象経営の概要，２　前提条件'!$AB$28)+'７－２　水稲部門（あきさかり）収支 '!F24*('１　対象経営の概要，２　前提条件'!$AB$27+'１　対象経営の概要，２　前提条件'!$AM$27)</f>
        <v>600000</v>
      </c>
      <c r="H26" s="64">
        <f>'７－３　水稲部門（ＷＣＳ）収支 '!F24*'１　対象経営の概要，２　前提条件'!$AM$30</f>
        <v>300000</v>
      </c>
      <c r="I26" s="61"/>
      <c r="AM26" s="49" t="s">
        <v>487</v>
      </c>
    </row>
    <row r="27" spans="2:39" ht="20.100000000000001" customHeight="1" x14ac:dyDescent="0.15">
      <c r="B27" s="653"/>
      <c r="C27" s="675"/>
      <c r="D27" s="58" t="s">
        <v>188</v>
      </c>
      <c r="E27" s="59"/>
      <c r="F27" s="60">
        <f t="shared" si="0"/>
        <v>271381.49964502163</v>
      </c>
      <c r="G27" s="64">
        <f>'７－１　水稲部門（コシヒカリ）収支'!F25*('１　対象経営の概要，２　前提条件'!$AB$26+'１　対象経営の概要，２　前提条件'!$AM$26+'１　対象経営の概要，２　前提条件'!$AB$28)+'７－２　水稲部門（あきさかり）収支 '!F25*('１　対象経営の概要，２　前提条件'!$AB$27+'１　対象経営の概要，２　前提条件'!$AM$27)</f>
        <v>171966.40923424723</v>
      </c>
      <c r="H27" s="64">
        <f>'７－３　水稲部門（ＷＣＳ）収支 '!F25*'１　対象経営の概要，２　前提条件'!$AM$30</f>
        <v>99415.090410774414</v>
      </c>
      <c r="I27" s="61"/>
    </row>
    <row r="28" spans="2:39" ht="20.100000000000001" customHeight="1" x14ac:dyDescent="0.15">
      <c r="B28" s="653"/>
      <c r="C28" s="676"/>
      <c r="D28" s="682" t="s">
        <v>224</v>
      </c>
      <c r="E28" s="683"/>
      <c r="F28" s="66">
        <f>SUM(F8:F27)</f>
        <v>27246149.964502163</v>
      </c>
      <c r="G28" s="66">
        <f>SUM(G8:G27)</f>
        <v>17304640.923424728</v>
      </c>
      <c r="H28" s="66">
        <f>SUM(H8:H27)</f>
        <v>9941509.0410774406</v>
      </c>
      <c r="I28" s="61"/>
    </row>
    <row r="29" spans="2:39" ht="20.100000000000001" customHeight="1" x14ac:dyDescent="0.15">
      <c r="B29" s="653"/>
      <c r="C29" s="672" t="s">
        <v>221</v>
      </c>
      <c r="D29" s="684"/>
      <c r="E29" s="673"/>
      <c r="F29" s="62">
        <f>F7-F28</f>
        <v>-5886149.9645021632</v>
      </c>
      <c r="G29" s="62">
        <f>G7-G28</f>
        <v>755359.07657527179</v>
      </c>
      <c r="H29" s="62">
        <f>H7-H28</f>
        <v>-6641509.0410774406</v>
      </c>
      <c r="I29" s="61"/>
    </row>
    <row r="30" spans="2:39" ht="20.100000000000001" customHeight="1" x14ac:dyDescent="0.15">
      <c r="B30" s="653"/>
      <c r="C30" s="658" t="s">
        <v>218</v>
      </c>
      <c r="D30" s="687" t="s">
        <v>68</v>
      </c>
      <c r="E30" s="79" t="s">
        <v>3</v>
      </c>
      <c r="F30" s="67">
        <f>SUM(G30:H30)</f>
        <v>284000</v>
      </c>
      <c r="G30" s="64">
        <f>'７－１　水稲部門（コシヒカリ）収支'!F27*('１　対象経営の概要，２　前提条件'!$AB$26+'１　対象経営の概要，２　前提条件'!$AM$26+'１　対象経営の概要，２　前提条件'!$AB$28)+'７－２　水稲部門（あきさかり）収支 '!F27*('１　対象経営の概要，２　前提条件'!$AB$27+'１　対象経営の概要，２　前提条件'!$AM$27)</f>
        <v>284000</v>
      </c>
      <c r="H30" s="64">
        <f>'７－３　水稲部門（ＷＣＳ）収支 '!F27*'１　対象経営の概要，２　前提条件'!$AM$30</f>
        <v>0</v>
      </c>
      <c r="I30" s="61"/>
    </row>
    <row r="31" spans="2:39" ht="20.100000000000001" customHeight="1" x14ac:dyDescent="0.15">
      <c r="B31" s="653"/>
      <c r="C31" s="685"/>
      <c r="D31" s="688"/>
      <c r="E31" s="79" t="s">
        <v>4</v>
      </c>
      <c r="F31" s="67">
        <f>SUM(G31:H31)</f>
        <v>0</v>
      </c>
      <c r="G31" s="64">
        <f>'７－１　水稲部門（コシヒカリ）収支'!F28*('１　対象経営の概要，２　前提条件'!$AB$26+'１　対象経営の概要，２　前提条件'!$AM$26+'１　対象経営の概要，２　前提条件'!$AB$28)+'７－２　水稲部門（あきさかり）収支 '!F28*('１　対象経営の概要，２　前提条件'!$AB$27+'１　対象経営の概要，２　前提条件'!$AM$27)</f>
        <v>0</v>
      </c>
      <c r="H31" s="64">
        <f>'７－３　水稲部門（ＷＣＳ）収支 '!F28*'１　対象経営の概要，２　前提条件'!$AM$30</f>
        <v>0</v>
      </c>
      <c r="I31" s="61"/>
    </row>
    <row r="32" spans="2:39" ht="20.100000000000001" customHeight="1" x14ac:dyDescent="0.15">
      <c r="B32" s="653"/>
      <c r="C32" s="685"/>
      <c r="D32" s="689"/>
      <c r="E32" s="79" t="s">
        <v>8</v>
      </c>
      <c r="F32" s="67">
        <f>SUM(G32:H32)</f>
        <v>343750</v>
      </c>
      <c r="G32" s="64">
        <f>'７－１　水稲部門（コシヒカリ）収支'!F29*('１　対象経営の概要，２　前提条件'!$AB$26+'１　対象経営の概要，２　前提条件'!$AM$26+'１　対象経営の概要，２　前提条件'!$AB$28)+'７－２　水稲部門（あきさかり）収支 '!F29*('１　対象経営の概要，２　前提条件'!$AB$27+'１　対象経営の概要，２　前提条件'!$AM$27)</f>
        <v>343750</v>
      </c>
      <c r="H32" s="64">
        <f>'７－３　水稲部門（ＷＣＳ）収支 '!F29*'１　対象経営の概要，２　前提条件'!$AM$30</f>
        <v>0</v>
      </c>
      <c r="I32" s="61"/>
    </row>
    <row r="33" spans="2:9" ht="20.100000000000001" customHeight="1" x14ac:dyDescent="0.15">
      <c r="B33" s="653"/>
      <c r="C33" s="685"/>
      <c r="D33" s="79" t="s">
        <v>69</v>
      </c>
      <c r="E33" s="80"/>
      <c r="F33" s="484">
        <v>0</v>
      </c>
      <c r="G33" s="484">
        <v>0</v>
      </c>
      <c r="H33" s="484">
        <v>0</v>
      </c>
      <c r="I33" s="485"/>
    </row>
    <row r="34" spans="2:9" ht="20.100000000000001" customHeight="1" x14ac:dyDescent="0.15">
      <c r="B34" s="653"/>
      <c r="C34" s="685"/>
      <c r="D34" s="690" t="s">
        <v>285</v>
      </c>
      <c r="E34" s="68" t="s">
        <v>128</v>
      </c>
      <c r="F34" s="484">
        <v>0</v>
      </c>
      <c r="G34" s="484">
        <v>0</v>
      </c>
      <c r="H34" s="484">
        <v>0</v>
      </c>
      <c r="I34" s="485"/>
    </row>
    <row r="35" spans="2:9" ht="20.100000000000001" customHeight="1" x14ac:dyDescent="0.15">
      <c r="B35" s="653"/>
      <c r="C35" s="685"/>
      <c r="D35" s="690"/>
      <c r="E35" s="68" t="s">
        <v>127</v>
      </c>
      <c r="F35" s="484">
        <v>0</v>
      </c>
      <c r="G35" s="484">
        <v>0</v>
      </c>
      <c r="H35" s="484">
        <v>0</v>
      </c>
      <c r="I35" s="485"/>
    </row>
    <row r="36" spans="2:9" ht="20.100000000000001" customHeight="1" x14ac:dyDescent="0.15">
      <c r="B36" s="653"/>
      <c r="C36" s="685"/>
      <c r="D36" s="79" t="s">
        <v>70</v>
      </c>
      <c r="E36" s="80"/>
      <c r="F36" s="484">
        <v>0</v>
      </c>
      <c r="G36" s="484">
        <v>0</v>
      </c>
      <c r="H36" s="484">
        <v>0</v>
      </c>
      <c r="I36" s="485"/>
    </row>
    <row r="37" spans="2:9" ht="20.100000000000001" customHeight="1" x14ac:dyDescent="0.15">
      <c r="B37" s="653"/>
      <c r="C37" s="685"/>
      <c r="D37" s="79" t="s">
        <v>95</v>
      </c>
      <c r="E37" s="80"/>
      <c r="F37" s="484">
        <v>0</v>
      </c>
      <c r="G37" s="484">
        <v>0</v>
      </c>
      <c r="H37" s="484">
        <v>0</v>
      </c>
      <c r="I37" s="485"/>
    </row>
    <row r="38" spans="2:9" ht="20.100000000000001" customHeight="1" x14ac:dyDescent="0.15">
      <c r="B38" s="653"/>
      <c r="C38" s="685"/>
      <c r="D38" s="79" t="s">
        <v>131</v>
      </c>
      <c r="E38" s="80"/>
      <c r="F38" s="60">
        <f>SUM(G38:H38)</f>
        <v>213950</v>
      </c>
      <c r="G38" s="64">
        <f>'７－１　水稲部門（コシヒカリ）収支'!F35*('１　対象経営の概要，２　前提条件'!$AB$26+'１　対象経営の概要，２　前提条件'!$AM$26+'１　対象経営の概要，２　前提条件'!$AB$28)+'７－２　水稲部門（あきさかり）収支 '!F35*('１　対象経営の概要，２　前提条件'!$AB$27+'１　対象経営の概要，２　前提条件'!$AM$27)</f>
        <v>168500</v>
      </c>
      <c r="H38" s="64">
        <f>'７－３　水稲部門（ＷＣＳ）収支 '!F35*'１　対象経営の概要，２　前提条件'!$AM$30</f>
        <v>45450</v>
      </c>
      <c r="I38" s="61"/>
    </row>
    <row r="39" spans="2:9" ht="20.100000000000001" customHeight="1" x14ac:dyDescent="0.15">
      <c r="B39" s="653"/>
      <c r="C39" s="685"/>
      <c r="D39" s="79" t="s">
        <v>96</v>
      </c>
      <c r="E39" s="80"/>
      <c r="F39" s="60">
        <f>SUM(G39:H39)</f>
        <v>0</v>
      </c>
      <c r="G39" s="64">
        <f>'７－１　水稲部門（コシヒカリ）収支'!F36*('１　対象経営の概要，２　前提条件'!$AB$26+'１　対象経営の概要，２　前提条件'!$AM$26+'１　対象経営の概要，２　前提条件'!$AB$28)+'７－２　水稲部門（あきさかり）収支 '!F36*('１　対象経営の概要，２　前提条件'!$AB$27+'１　対象経営の概要，２　前提条件'!$AM$27)</f>
        <v>0</v>
      </c>
      <c r="H39" s="64">
        <f>'７－３　水稲部門（ＷＣＳ）収支 '!F36*'１　対象経営の概要，２　前提条件'!$AM$30</f>
        <v>0</v>
      </c>
      <c r="I39" s="61"/>
    </row>
    <row r="40" spans="2:9" ht="20.100000000000001" customHeight="1" x14ac:dyDescent="0.15">
      <c r="B40" s="653"/>
      <c r="C40" s="685"/>
      <c r="D40" s="79" t="s">
        <v>71</v>
      </c>
      <c r="E40" s="80"/>
      <c r="F40" s="60">
        <f>SUM(G40:H40)</f>
        <v>88871.1</v>
      </c>
      <c r="G40" s="64">
        <f>'７－１　水稲部門（コシヒカリ）収支'!F37*('１　対象経営の概要，２　前提条件'!$AB$26+'１　対象経営の概要，２　前提条件'!$AM$26+'１　対象経営の概要，２　前提条件'!$AB$28)+'７－２　水稲部門（あきさかり）収支 '!F37*('１　対象経営の概要，２　前提条件'!$AB$27+'１　対象経営の概要，２　前提条件'!$AM$27)</f>
        <v>68630.066666666666</v>
      </c>
      <c r="H40" s="64">
        <f>'７－３　水稲部門（ＷＣＳ）収支 '!F37*'１　対象経営の概要，２　前提条件'!$AM$30</f>
        <v>20241.033333333333</v>
      </c>
      <c r="I40" s="61"/>
    </row>
    <row r="41" spans="2:9" ht="20.100000000000001" customHeight="1" x14ac:dyDescent="0.15">
      <c r="B41" s="653"/>
      <c r="C41" s="685"/>
      <c r="D41" s="79" t="s">
        <v>0</v>
      </c>
      <c r="E41" s="80"/>
      <c r="F41" s="60">
        <v>0</v>
      </c>
      <c r="G41" s="64">
        <f>'７－１　水稲部門（コシヒカリ）収支'!F38*('１　対象経営の概要，２　前提条件'!$AB$26+'１　対象経営の概要，２　前提条件'!$AM$26+'１　対象経営の概要，２　前提条件'!$AB$28)+'７－２　水稲部門（あきさかり）収支 '!F38*('１　対象経営の概要，２　前提条件'!$AB$27+'１　対象経営の概要，２　前提条件'!$AM$27)</f>
        <v>0</v>
      </c>
      <c r="H41" s="64">
        <f>'７－３　水稲部門（ＷＣＳ）収支 '!F38*'１　対象経営の概要，２　前提条件'!$AM$30</f>
        <v>0</v>
      </c>
      <c r="I41" s="61"/>
    </row>
    <row r="42" spans="2:9" ht="20.100000000000001" customHeight="1" thickBot="1" x14ac:dyDescent="0.2">
      <c r="B42" s="668"/>
      <c r="C42" s="686"/>
      <c r="D42" s="659" t="s">
        <v>222</v>
      </c>
      <c r="E42" s="661"/>
      <c r="F42" s="70">
        <f t="shared" ref="F42:F49" si="1">SUM(G42:H42)</f>
        <v>930571.1</v>
      </c>
      <c r="G42" s="70">
        <f>SUM(G30:G41)</f>
        <v>864880.06666666665</v>
      </c>
      <c r="H42" s="70">
        <f>SUM(H30:H41)</f>
        <v>65691.033333333326</v>
      </c>
      <c r="I42" s="71"/>
    </row>
    <row r="43" spans="2:9" ht="20.100000000000001" customHeight="1" thickBot="1" x14ac:dyDescent="0.2">
      <c r="B43" s="650" t="s">
        <v>225</v>
      </c>
      <c r="C43" s="651"/>
      <c r="D43" s="651"/>
      <c r="E43" s="651"/>
      <c r="F43" s="72">
        <f t="shared" si="1"/>
        <v>-6816721.0645021684</v>
      </c>
      <c r="G43" s="337">
        <f>G29-G42</f>
        <v>-109520.99009139487</v>
      </c>
      <c r="H43" s="337">
        <f>H29-H42</f>
        <v>-6707200.0744107738</v>
      </c>
      <c r="I43" s="73"/>
    </row>
    <row r="44" spans="2:9" ht="20.100000000000001" customHeight="1" x14ac:dyDescent="0.15">
      <c r="B44" s="652" t="s">
        <v>97</v>
      </c>
      <c r="C44" s="655" t="s">
        <v>226</v>
      </c>
      <c r="D44" s="74" t="s">
        <v>130</v>
      </c>
      <c r="E44" s="75"/>
      <c r="F44" s="76">
        <f t="shared" si="1"/>
        <v>11542500</v>
      </c>
      <c r="G44" s="336">
        <f>'７－１　水稲部門（コシヒカリ）収支'!F40*('１　対象経営の概要，２　前提条件'!$AB$26+'１　対象経営の概要，２　前提条件'!$AM$26+'１　対象経営の概要，２　前提条件'!$AB$28)+'７－２　水稲部門（あきさかり）収支 '!F40*('１　対象経営の概要，２　前提条件'!$AB$27+'１　対象経営の概要，２　前提条件'!$AM$27)-7500</f>
        <v>1492500</v>
      </c>
      <c r="H44" s="56">
        <f>'７－３　水稲部門（ＷＣＳ）収支 '!F40*'１　対象経営の概要，２　前提条件'!$AM$30</f>
        <v>10050000</v>
      </c>
      <c r="I44" s="57"/>
    </row>
    <row r="45" spans="2:9" ht="20.100000000000001" customHeight="1" x14ac:dyDescent="0.15">
      <c r="B45" s="653"/>
      <c r="C45" s="656"/>
      <c r="D45" s="58" t="s">
        <v>129</v>
      </c>
      <c r="E45" s="59"/>
      <c r="F45" s="77">
        <f t="shared" si="1"/>
        <v>0</v>
      </c>
      <c r="G45" s="336">
        <f>'７－１　水稲部門（コシヒカリ）収支'!F41*('１　対象経営の概要，２　前提条件'!$AB$26+'１　対象経営の概要，２　前提条件'!$AM$26+'１　対象経営の概要，２　前提条件'!$AB$28)+'７－２　水稲部門（あきさかり）収支 '!F41*('１　対象経営の概要，２　前提条件'!$AB$27+'１　対象経営の概要，２　前提条件'!$AM$27)</f>
        <v>0</v>
      </c>
      <c r="H45" s="363">
        <f>'７－３　水稲部門（ＷＣＳ）収支 '!F41*'１　対象経営の概要，２　前提条件'!$AM$30</f>
        <v>0</v>
      </c>
      <c r="I45" s="78"/>
    </row>
    <row r="46" spans="2:9" ht="20.100000000000001" customHeight="1" x14ac:dyDescent="0.15">
      <c r="B46" s="653"/>
      <c r="C46" s="657"/>
      <c r="D46" s="79" t="s">
        <v>72</v>
      </c>
      <c r="E46" s="59"/>
      <c r="F46" s="77">
        <f t="shared" si="1"/>
        <v>0</v>
      </c>
      <c r="G46" s="336">
        <f>'７－１　水稲部門（コシヒカリ）収支'!F42*('１　対象経営の概要，２　前提条件'!$AB$26+'１　対象経営の概要，２　前提条件'!$AM$26+'１　対象経営の概要，２　前提条件'!$AB$28)+'７－２　水稲部門（あきさかり）収支 '!F42*('１　対象経営の概要，２　前提条件'!$AB$27+'１　対象経営の概要，２　前提条件'!$AM$27)</f>
        <v>0</v>
      </c>
      <c r="H46" s="363">
        <f>'７－３　水稲部門（ＷＣＳ）収支 '!F42*'１　対象経営の概要，２　前提条件'!$AM$30</f>
        <v>0</v>
      </c>
      <c r="I46" s="61"/>
    </row>
    <row r="47" spans="2:9" ht="20.100000000000001" customHeight="1" x14ac:dyDescent="0.15">
      <c r="B47" s="653"/>
      <c r="C47" s="657" t="s">
        <v>227</v>
      </c>
      <c r="D47" s="79" t="s">
        <v>286</v>
      </c>
      <c r="E47" s="80"/>
      <c r="F47" s="77">
        <f t="shared" si="1"/>
        <v>0</v>
      </c>
      <c r="G47" s="336">
        <f>'７－１　水稲部門（コシヒカリ）収支'!F43*('１　対象経営の概要，２　前提条件'!$AB$26+'１　対象経営の概要，２　前提条件'!$AM$26+'１　対象経営の概要，２　前提条件'!$AB$28)+'７－２　水稲部門（あきさかり）収支 '!F43*('１　対象経営の概要，２　前提条件'!$AB$27+'１　対象経営の概要，２　前提条件'!$AM$27)</f>
        <v>0</v>
      </c>
      <c r="H47" s="363">
        <f>'７－３　水稲部門（ＷＣＳ）収支 '!F43*'１　対象経営の概要，２　前提条件'!$AM$30</f>
        <v>0</v>
      </c>
      <c r="I47" s="78"/>
    </row>
    <row r="48" spans="2:9" ht="20.100000000000001" customHeight="1" x14ac:dyDescent="0.15">
      <c r="B48" s="653"/>
      <c r="C48" s="658"/>
      <c r="D48" s="81" t="s">
        <v>1</v>
      </c>
      <c r="E48" s="82"/>
      <c r="F48" s="83">
        <f t="shared" si="1"/>
        <v>0</v>
      </c>
      <c r="G48" s="336">
        <f>'７－１　水稲部門（コシヒカリ）収支'!F44*('１　対象経営の概要，２　前提条件'!$AB$26+'１　対象経営の概要，２　前提条件'!$AM$26+'１　対象経営の概要，２　前提条件'!$AB$28)+'７－２　水稲部門（あきさかり）収支 '!F44*('１　対象経営の概要，２　前提条件'!$AB$27+'１　対象経営の概要，２　前提条件'!$AM$27)</f>
        <v>0</v>
      </c>
      <c r="H48" s="363">
        <f>'７－３　水稲部門（ＷＣＳ）収支 '!F44*'１　対象経営の概要，２　前提条件'!$AM$30</f>
        <v>0</v>
      </c>
      <c r="I48" s="84"/>
    </row>
    <row r="49" spans="2:9" ht="20.100000000000001" customHeight="1" thickBot="1" x14ac:dyDescent="0.2">
      <c r="B49" s="654"/>
      <c r="C49" s="659" t="s">
        <v>228</v>
      </c>
      <c r="D49" s="660"/>
      <c r="E49" s="661"/>
      <c r="F49" s="85">
        <f t="shared" si="1"/>
        <v>11542500</v>
      </c>
      <c r="G49" s="85">
        <f>SUM(G44:G46)-SUM(G47:G48)</f>
        <v>1492500</v>
      </c>
      <c r="H49" s="85">
        <f>SUM(H44:H46)-SUM(H47:H48)</f>
        <v>10050000</v>
      </c>
      <c r="I49" s="71"/>
    </row>
    <row r="50" spans="2:9" ht="20.100000000000001" customHeight="1" x14ac:dyDescent="0.15">
      <c r="B50" s="648" t="s">
        <v>229</v>
      </c>
      <c r="C50" s="649"/>
      <c r="D50" s="649"/>
      <c r="E50" s="649"/>
      <c r="F50" s="86">
        <f>SUM(G50:H50)</f>
        <v>4725778.9354978316</v>
      </c>
      <c r="G50" s="86">
        <f>G43+G49</f>
        <v>1382979.0099086051</v>
      </c>
      <c r="H50" s="86">
        <f>H43+H49</f>
        <v>3342799.9255892262</v>
      </c>
      <c r="I50" s="78"/>
    </row>
  </sheetData>
  <mergeCells count="22">
    <mergeCell ref="B3:E4"/>
    <mergeCell ref="I3:I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  <mergeCell ref="B50:E50"/>
    <mergeCell ref="B43:E43"/>
    <mergeCell ref="B44:B49"/>
    <mergeCell ref="C44:C46"/>
    <mergeCell ref="C47:C48"/>
    <mergeCell ref="C49:E49"/>
  </mergeCells>
  <phoneticPr fontId="5"/>
  <pageMargins left="1.1811023622047245" right="0.78740157480314965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BJ34"/>
  <sheetViews>
    <sheetView zoomScale="75" zoomScaleNormal="75" workbookViewId="0">
      <pane xSplit="2" topLeftCell="C1" activePane="topRight" state="frozen"/>
      <selection activeCell="E37" sqref="E37"/>
      <selection pane="topRight"/>
    </sheetView>
  </sheetViews>
  <sheetFormatPr defaultRowHeight="13.5" x14ac:dyDescent="0.15"/>
  <cols>
    <col min="1" max="1" width="1.625" style="88" customWidth="1"/>
    <col min="2" max="2" width="22.625" style="88" customWidth="1"/>
    <col min="3" max="38" width="6.125" style="88" customWidth="1"/>
    <col min="39" max="39" width="7" style="88" customWidth="1"/>
    <col min="40" max="40" width="1.5" style="88" customWidth="1"/>
    <col min="41" max="16384" width="9" style="88"/>
  </cols>
  <sheetData>
    <row r="1" spans="2:62" ht="20.25" customHeight="1" x14ac:dyDescent="0.15"/>
    <row r="2" spans="2:62" ht="20.25" customHeight="1" thickBot="1" x14ac:dyDescent="0.2">
      <c r="B2" s="13" t="s">
        <v>136</v>
      </c>
      <c r="C2" s="13"/>
      <c r="D2" s="13"/>
      <c r="E2" s="13"/>
      <c r="F2" s="13"/>
      <c r="G2" s="13"/>
      <c r="H2" s="13"/>
      <c r="I2" s="13"/>
      <c r="J2" s="13"/>
      <c r="K2" s="341" t="s">
        <v>274</v>
      </c>
      <c r="L2" s="131" t="s">
        <v>355</v>
      </c>
      <c r="M2" s="131"/>
      <c r="N2" s="341"/>
      <c r="O2" s="131"/>
      <c r="P2" s="13"/>
      <c r="Q2" s="13"/>
      <c r="R2" s="341" t="s">
        <v>275</v>
      </c>
      <c r="S2" s="131" t="s">
        <v>276</v>
      </c>
      <c r="T2" s="13"/>
      <c r="U2" s="13"/>
      <c r="V2" s="90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25" customHeight="1" x14ac:dyDescent="0.15">
      <c r="B3" s="699" t="s">
        <v>132</v>
      </c>
      <c r="C3" s="691">
        <v>1</v>
      </c>
      <c r="D3" s="692"/>
      <c r="E3" s="693"/>
      <c r="F3" s="691">
        <v>2</v>
      </c>
      <c r="G3" s="692"/>
      <c r="H3" s="693"/>
      <c r="I3" s="691">
        <v>3</v>
      </c>
      <c r="J3" s="692"/>
      <c r="K3" s="693"/>
      <c r="L3" s="691">
        <v>4</v>
      </c>
      <c r="M3" s="692"/>
      <c r="N3" s="693"/>
      <c r="O3" s="691">
        <v>5</v>
      </c>
      <c r="P3" s="692"/>
      <c r="Q3" s="693"/>
      <c r="R3" s="691">
        <v>6</v>
      </c>
      <c r="S3" s="692"/>
      <c r="T3" s="693"/>
      <c r="U3" s="691">
        <v>7</v>
      </c>
      <c r="V3" s="692"/>
      <c r="W3" s="693"/>
      <c r="X3" s="691">
        <v>8</v>
      </c>
      <c r="Y3" s="692"/>
      <c r="Z3" s="693"/>
      <c r="AA3" s="691">
        <v>9</v>
      </c>
      <c r="AB3" s="692"/>
      <c r="AC3" s="693"/>
      <c r="AD3" s="691">
        <v>10</v>
      </c>
      <c r="AE3" s="692"/>
      <c r="AF3" s="693"/>
      <c r="AG3" s="691">
        <v>11</v>
      </c>
      <c r="AH3" s="692"/>
      <c r="AI3" s="693"/>
      <c r="AJ3" s="691">
        <v>12</v>
      </c>
      <c r="AK3" s="692"/>
      <c r="AL3" s="693"/>
      <c r="AM3" s="694" t="s">
        <v>34</v>
      </c>
      <c r="AO3" s="88" t="s">
        <v>359</v>
      </c>
      <c r="AP3" s="88" t="s">
        <v>360</v>
      </c>
      <c r="AQ3" s="88" t="s">
        <v>361</v>
      </c>
    </row>
    <row r="4" spans="2:62" ht="20.25" customHeight="1" x14ac:dyDescent="0.15">
      <c r="B4" s="698"/>
      <c r="C4" s="110" t="s">
        <v>35</v>
      </c>
      <c r="D4" s="111" t="s">
        <v>36</v>
      </c>
      <c r="E4" s="112" t="s">
        <v>37</v>
      </c>
      <c r="F4" s="110" t="s">
        <v>35</v>
      </c>
      <c r="G4" s="112" t="s">
        <v>36</v>
      </c>
      <c r="H4" s="112" t="s">
        <v>37</v>
      </c>
      <c r="I4" s="110" t="s">
        <v>35</v>
      </c>
      <c r="J4" s="112" t="s">
        <v>36</v>
      </c>
      <c r="K4" s="112" t="s">
        <v>37</v>
      </c>
      <c r="L4" s="110" t="s">
        <v>35</v>
      </c>
      <c r="M4" s="112" t="s">
        <v>36</v>
      </c>
      <c r="N4" s="112" t="s">
        <v>37</v>
      </c>
      <c r="O4" s="110" t="s">
        <v>35</v>
      </c>
      <c r="P4" s="112" t="s">
        <v>36</v>
      </c>
      <c r="Q4" s="112" t="s">
        <v>37</v>
      </c>
      <c r="R4" s="110" t="s">
        <v>35</v>
      </c>
      <c r="S4" s="113" t="s">
        <v>36</v>
      </c>
      <c r="T4" s="113" t="s">
        <v>37</v>
      </c>
      <c r="U4" s="110" t="s">
        <v>35</v>
      </c>
      <c r="V4" s="112" t="s">
        <v>36</v>
      </c>
      <c r="W4" s="112" t="s">
        <v>37</v>
      </c>
      <c r="X4" s="110" t="s">
        <v>35</v>
      </c>
      <c r="Y4" s="112" t="s">
        <v>36</v>
      </c>
      <c r="Z4" s="112" t="s">
        <v>37</v>
      </c>
      <c r="AA4" s="110" t="s">
        <v>35</v>
      </c>
      <c r="AB4" s="112" t="s">
        <v>36</v>
      </c>
      <c r="AC4" s="112" t="s">
        <v>37</v>
      </c>
      <c r="AD4" s="110" t="s">
        <v>35</v>
      </c>
      <c r="AE4" s="112" t="s">
        <v>36</v>
      </c>
      <c r="AF4" s="112" t="s">
        <v>37</v>
      </c>
      <c r="AG4" s="110" t="s">
        <v>35</v>
      </c>
      <c r="AH4" s="112" t="s">
        <v>36</v>
      </c>
      <c r="AI4" s="112" t="s">
        <v>37</v>
      </c>
      <c r="AJ4" s="110" t="s">
        <v>35</v>
      </c>
      <c r="AK4" s="112" t="s">
        <v>36</v>
      </c>
      <c r="AL4" s="112" t="s">
        <v>37</v>
      </c>
      <c r="AM4" s="695"/>
    </row>
    <row r="5" spans="2:62" ht="20.25" customHeight="1" x14ac:dyDescent="0.15">
      <c r="B5" s="696" t="s">
        <v>133</v>
      </c>
      <c r="C5" s="114"/>
      <c r="D5" s="13"/>
      <c r="E5" s="13"/>
      <c r="F5" s="13"/>
      <c r="G5" s="13"/>
      <c r="H5" s="13"/>
      <c r="I5" s="13"/>
      <c r="J5" s="13"/>
      <c r="K5" s="13"/>
      <c r="L5" s="13"/>
      <c r="M5" s="13"/>
      <c r="N5" s="90"/>
      <c r="O5" s="90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15"/>
    </row>
    <row r="6" spans="2:62" ht="20.25" customHeight="1" x14ac:dyDescent="0.15">
      <c r="B6" s="697"/>
      <c r="C6" s="114"/>
      <c r="D6" s="13"/>
      <c r="E6" s="13"/>
      <c r="F6" s="13"/>
      <c r="G6" s="13"/>
      <c r="H6" s="13"/>
      <c r="I6" s="13"/>
      <c r="J6" s="13"/>
      <c r="K6" s="13"/>
      <c r="L6" s="411" t="s">
        <v>389</v>
      </c>
      <c r="M6" s="411"/>
      <c r="N6" s="411" t="s">
        <v>382</v>
      </c>
      <c r="O6" s="411" t="s">
        <v>292</v>
      </c>
      <c r="P6" s="411"/>
      <c r="Q6" s="411" t="s">
        <v>292</v>
      </c>
      <c r="R6" s="411"/>
      <c r="S6" s="411"/>
      <c r="T6" s="411"/>
      <c r="U6" s="411"/>
      <c r="V6" s="411"/>
      <c r="W6" s="411"/>
      <c r="X6" s="411"/>
      <c r="Y6" s="411"/>
      <c r="Z6" s="411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15"/>
    </row>
    <row r="7" spans="2:62" ht="20.25" customHeight="1" x14ac:dyDescent="0.15">
      <c r="B7" s="698"/>
      <c r="C7" s="116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8"/>
    </row>
    <row r="8" spans="2:62" ht="20.25" customHeight="1" x14ac:dyDescent="0.15">
      <c r="B8" s="119" t="s">
        <v>329</v>
      </c>
      <c r="C8" s="120"/>
      <c r="D8" s="121"/>
      <c r="E8" s="121"/>
      <c r="F8" s="120"/>
      <c r="G8" s="121"/>
      <c r="H8" s="121"/>
      <c r="I8" s="120"/>
      <c r="J8" s="121">
        <v>0.3</v>
      </c>
      <c r="K8" s="121">
        <v>0.9</v>
      </c>
      <c r="L8" s="120">
        <v>0.8</v>
      </c>
      <c r="M8" s="121">
        <v>0.8</v>
      </c>
      <c r="N8" s="121">
        <v>0.4</v>
      </c>
      <c r="O8" s="120"/>
      <c r="P8" s="121"/>
      <c r="Q8" s="121"/>
      <c r="R8" s="120"/>
      <c r="S8" s="121"/>
      <c r="T8" s="121"/>
      <c r="U8" s="120"/>
      <c r="V8" s="121"/>
      <c r="W8" s="121"/>
      <c r="X8" s="120"/>
      <c r="Y8" s="121"/>
      <c r="Z8" s="121"/>
      <c r="AA8" s="120"/>
      <c r="AB8" s="121"/>
      <c r="AC8" s="121"/>
      <c r="AD8" s="120"/>
      <c r="AE8" s="121"/>
      <c r="AF8" s="121"/>
      <c r="AG8" s="120"/>
      <c r="AH8" s="121"/>
      <c r="AI8" s="121"/>
      <c r="AJ8" s="120"/>
      <c r="AK8" s="121"/>
      <c r="AL8" s="121"/>
      <c r="AM8" s="122">
        <f>SUM(C8:AL8)</f>
        <v>3.1999999999999997</v>
      </c>
      <c r="AO8" s="401"/>
      <c r="AP8" s="401">
        <v>3.2</v>
      </c>
      <c r="AQ8" s="402">
        <f>SUM(AO8:AP8)</f>
        <v>3.2</v>
      </c>
    </row>
    <row r="9" spans="2:62" ht="20.25" customHeight="1" x14ac:dyDescent="0.15">
      <c r="B9" s="119" t="s">
        <v>330</v>
      </c>
      <c r="C9" s="120"/>
      <c r="D9" s="121"/>
      <c r="E9" s="121"/>
      <c r="F9" s="120"/>
      <c r="G9" s="121"/>
      <c r="H9" s="121"/>
      <c r="I9" s="120"/>
      <c r="J9" s="121"/>
      <c r="K9" s="121"/>
      <c r="L9" s="120">
        <v>2</v>
      </c>
      <c r="M9" s="121">
        <v>2.5</v>
      </c>
      <c r="N9" s="121">
        <v>3</v>
      </c>
      <c r="O9" s="120">
        <v>3</v>
      </c>
      <c r="P9" s="121">
        <v>2.5</v>
      </c>
      <c r="Q9" s="121">
        <v>1</v>
      </c>
      <c r="R9" s="120"/>
      <c r="S9" s="121"/>
      <c r="T9" s="121"/>
      <c r="U9" s="120"/>
      <c r="V9" s="121"/>
      <c r="W9" s="121"/>
      <c r="X9" s="120"/>
      <c r="Y9" s="121"/>
      <c r="Z9" s="121"/>
      <c r="AA9" s="120"/>
      <c r="AB9" s="121"/>
      <c r="AC9" s="121"/>
      <c r="AD9" s="120"/>
      <c r="AE9" s="121"/>
      <c r="AF9" s="121"/>
      <c r="AG9" s="120"/>
      <c r="AH9" s="121"/>
      <c r="AI9" s="121"/>
      <c r="AJ9" s="120"/>
      <c r="AK9" s="121"/>
      <c r="AL9" s="121"/>
      <c r="AM9" s="122">
        <f t="shared" ref="AM9:AM33" si="0">SUM(C9:AL9)</f>
        <v>14</v>
      </c>
      <c r="AO9" s="401"/>
      <c r="AP9" s="401">
        <f>6.4+4.3+3.3</f>
        <v>14</v>
      </c>
      <c r="AQ9" s="402">
        <f t="shared" ref="AQ9:AQ19" si="1">SUM(AO9:AP9)</f>
        <v>14</v>
      </c>
    </row>
    <row r="10" spans="2:62" ht="20.25" customHeight="1" x14ac:dyDescent="0.15">
      <c r="B10" s="119" t="s">
        <v>331</v>
      </c>
      <c r="C10" s="120"/>
      <c r="D10" s="121"/>
      <c r="E10" s="121"/>
      <c r="F10" s="120"/>
      <c r="G10" s="121"/>
      <c r="H10" s="121"/>
      <c r="I10" s="120"/>
      <c r="J10" s="121"/>
      <c r="K10" s="121">
        <v>1.2</v>
      </c>
      <c r="L10" s="120">
        <v>3</v>
      </c>
      <c r="M10" s="121">
        <v>4</v>
      </c>
      <c r="N10" s="121">
        <v>3</v>
      </c>
      <c r="O10" s="120">
        <v>2</v>
      </c>
      <c r="P10" s="121">
        <v>1.5</v>
      </c>
      <c r="Q10" s="121"/>
      <c r="R10" s="120"/>
      <c r="S10" s="121"/>
      <c r="T10" s="121"/>
      <c r="U10" s="120"/>
      <c r="V10" s="121"/>
      <c r="W10" s="121"/>
      <c r="X10" s="120"/>
      <c r="Y10" s="121"/>
      <c r="Z10" s="121"/>
      <c r="AA10" s="120"/>
      <c r="AB10" s="121"/>
      <c r="AC10" s="121"/>
      <c r="AD10" s="120"/>
      <c r="AE10" s="121"/>
      <c r="AF10" s="121"/>
      <c r="AG10" s="120"/>
      <c r="AH10" s="121"/>
      <c r="AI10" s="121"/>
      <c r="AJ10" s="120"/>
      <c r="AK10" s="121"/>
      <c r="AL10" s="121"/>
      <c r="AM10" s="122">
        <f t="shared" si="0"/>
        <v>14.7</v>
      </c>
      <c r="AO10" s="401">
        <f>8.2+6.5</f>
        <v>14.7</v>
      </c>
      <c r="AP10" s="401"/>
      <c r="AQ10" s="402">
        <f t="shared" si="1"/>
        <v>14.7</v>
      </c>
    </row>
    <row r="11" spans="2:62" ht="20.25" customHeight="1" x14ac:dyDescent="0.15">
      <c r="B11" s="119" t="s">
        <v>307</v>
      </c>
      <c r="C11" s="120"/>
      <c r="D11" s="121"/>
      <c r="E11" s="121"/>
      <c r="F11" s="120"/>
      <c r="G11" s="121"/>
      <c r="H11" s="121"/>
      <c r="I11" s="120"/>
      <c r="J11" s="121"/>
      <c r="K11" s="121"/>
      <c r="L11" s="120"/>
      <c r="M11" s="121"/>
      <c r="N11" s="121">
        <v>1.2</v>
      </c>
      <c r="O11" s="120">
        <v>1.5</v>
      </c>
      <c r="P11" s="121">
        <v>1.5</v>
      </c>
      <c r="Q11" s="121">
        <v>0.8</v>
      </c>
      <c r="R11" s="120"/>
      <c r="S11" s="121"/>
      <c r="T11" s="121"/>
      <c r="U11" s="120"/>
      <c r="V11" s="121"/>
      <c r="W11" s="121"/>
      <c r="X11" s="120"/>
      <c r="Y11" s="121"/>
      <c r="Z11" s="121"/>
      <c r="AA11" s="120"/>
      <c r="AB11" s="121"/>
      <c r="AC11" s="121"/>
      <c r="AD11" s="120"/>
      <c r="AE11" s="121"/>
      <c r="AF11" s="121"/>
      <c r="AG11" s="120"/>
      <c r="AH11" s="121"/>
      <c r="AI11" s="121"/>
      <c r="AJ11" s="120"/>
      <c r="AK11" s="121"/>
      <c r="AL11" s="121"/>
      <c r="AM11" s="122">
        <f t="shared" si="0"/>
        <v>5</v>
      </c>
      <c r="AO11" s="401">
        <v>5</v>
      </c>
      <c r="AP11" s="401"/>
      <c r="AQ11" s="402">
        <f t="shared" si="1"/>
        <v>5</v>
      </c>
    </row>
    <row r="12" spans="2:62" ht="20.25" customHeight="1" x14ac:dyDescent="0.15">
      <c r="B12" s="119" t="s">
        <v>332</v>
      </c>
      <c r="C12" s="120"/>
      <c r="D12" s="121"/>
      <c r="E12" s="121"/>
      <c r="F12" s="120"/>
      <c r="G12" s="121"/>
      <c r="H12" s="121"/>
      <c r="I12" s="120"/>
      <c r="J12" s="121"/>
      <c r="K12" s="121"/>
      <c r="L12" s="120"/>
      <c r="M12" s="121"/>
      <c r="N12" s="121"/>
      <c r="O12" s="120">
        <v>5.8</v>
      </c>
      <c r="P12" s="121">
        <v>6</v>
      </c>
      <c r="Q12" s="121">
        <v>5.8</v>
      </c>
      <c r="R12" s="120"/>
      <c r="S12" s="121"/>
      <c r="T12" s="121"/>
      <c r="U12" s="120"/>
      <c r="V12" s="121"/>
      <c r="W12" s="121"/>
      <c r="X12" s="120"/>
      <c r="Y12" s="121"/>
      <c r="Z12" s="121"/>
      <c r="AA12" s="120"/>
      <c r="AB12" s="121"/>
      <c r="AC12" s="121"/>
      <c r="AD12" s="120"/>
      <c r="AE12" s="121"/>
      <c r="AF12" s="121"/>
      <c r="AG12" s="120"/>
      <c r="AH12" s="121"/>
      <c r="AI12" s="121"/>
      <c r="AJ12" s="120"/>
      <c r="AK12" s="121"/>
      <c r="AL12" s="121"/>
      <c r="AM12" s="122">
        <f t="shared" si="0"/>
        <v>17.600000000000001</v>
      </c>
      <c r="AO12" s="401">
        <v>4.4000000000000004</v>
      </c>
      <c r="AP12" s="401">
        <f>4.4+8.8</f>
        <v>13.200000000000001</v>
      </c>
      <c r="AQ12" s="402">
        <f t="shared" si="1"/>
        <v>17.600000000000001</v>
      </c>
    </row>
    <row r="13" spans="2:62" ht="20.25" customHeight="1" x14ac:dyDescent="0.15">
      <c r="B13" s="119" t="s">
        <v>333</v>
      </c>
      <c r="C13" s="120"/>
      <c r="D13" s="121"/>
      <c r="E13" s="121"/>
      <c r="F13" s="120"/>
      <c r="G13" s="121"/>
      <c r="H13" s="121"/>
      <c r="I13" s="120"/>
      <c r="J13" s="121"/>
      <c r="K13" s="121"/>
      <c r="L13" s="120"/>
      <c r="M13" s="121"/>
      <c r="N13" s="121"/>
      <c r="O13" s="120"/>
      <c r="P13" s="121"/>
      <c r="Q13" s="121"/>
      <c r="R13" s="120"/>
      <c r="S13" s="121"/>
      <c r="T13" s="121"/>
      <c r="U13" s="120"/>
      <c r="V13" s="121"/>
      <c r="W13" s="121"/>
      <c r="X13" s="120"/>
      <c r="Y13" s="121"/>
      <c r="Z13" s="121"/>
      <c r="AA13" s="120"/>
      <c r="AB13" s="121"/>
      <c r="AC13" s="121"/>
      <c r="AD13" s="120"/>
      <c r="AE13" s="121"/>
      <c r="AF13" s="121"/>
      <c r="AG13" s="120"/>
      <c r="AH13" s="121"/>
      <c r="AI13" s="121"/>
      <c r="AJ13" s="120"/>
      <c r="AK13" s="121"/>
      <c r="AL13" s="121"/>
      <c r="AM13" s="122">
        <f t="shared" si="0"/>
        <v>0</v>
      </c>
      <c r="AO13" s="401"/>
      <c r="AP13" s="401"/>
      <c r="AQ13" s="402">
        <f t="shared" si="1"/>
        <v>0</v>
      </c>
    </row>
    <row r="14" spans="2:62" ht="20.25" customHeight="1" x14ac:dyDescent="0.15">
      <c r="B14" s="119" t="s">
        <v>334</v>
      </c>
      <c r="C14" s="120"/>
      <c r="D14" s="121"/>
      <c r="E14" s="121"/>
      <c r="F14" s="120"/>
      <c r="G14" s="121"/>
      <c r="H14" s="121"/>
      <c r="I14" s="120"/>
      <c r="J14" s="121"/>
      <c r="K14" s="121"/>
      <c r="L14" s="120"/>
      <c r="M14" s="121"/>
      <c r="N14" s="121"/>
      <c r="O14" s="120"/>
      <c r="P14" s="121"/>
      <c r="Q14" s="121"/>
      <c r="R14" s="120"/>
      <c r="S14" s="121"/>
      <c r="T14" s="121"/>
      <c r="U14" s="120"/>
      <c r="V14" s="121"/>
      <c r="W14" s="121"/>
      <c r="X14" s="120"/>
      <c r="Y14" s="121"/>
      <c r="Z14" s="121"/>
      <c r="AA14" s="120"/>
      <c r="AB14" s="121"/>
      <c r="AC14" s="121"/>
      <c r="AD14" s="120"/>
      <c r="AE14" s="121"/>
      <c r="AF14" s="121"/>
      <c r="AG14" s="120"/>
      <c r="AH14" s="121"/>
      <c r="AI14" s="121"/>
      <c r="AJ14" s="120"/>
      <c r="AK14" s="121"/>
      <c r="AL14" s="121"/>
      <c r="AM14" s="122">
        <f t="shared" si="0"/>
        <v>0</v>
      </c>
      <c r="AO14" s="401"/>
      <c r="AP14" s="401"/>
      <c r="AQ14" s="402">
        <f t="shared" si="1"/>
        <v>0</v>
      </c>
    </row>
    <row r="15" spans="2:62" ht="20.25" customHeight="1" x14ac:dyDescent="0.15">
      <c r="B15" s="119" t="s">
        <v>335</v>
      </c>
      <c r="C15" s="120"/>
      <c r="D15" s="121"/>
      <c r="E15" s="121"/>
      <c r="F15" s="120"/>
      <c r="G15" s="121"/>
      <c r="H15" s="121"/>
      <c r="I15" s="120"/>
      <c r="J15" s="121"/>
      <c r="K15" s="121"/>
      <c r="L15" s="120"/>
      <c r="M15" s="121"/>
      <c r="N15" s="121"/>
      <c r="O15" s="120"/>
      <c r="P15" s="121"/>
      <c r="Q15" s="121"/>
      <c r="R15" s="120"/>
      <c r="S15" s="121"/>
      <c r="T15" s="121"/>
      <c r="U15" s="120"/>
      <c r="V15" s="121"/>
      <c r="W15" s="121">
        <v>3.2</v>
      </c>
      <c r="X15" s="120">
        <v>3.3</v>
      </c>
      <c r="Y15" s="121">
        <v>0.3</v>
      </c>
      <c r="Z15" s="121"/>
      <c r="AA15" s="120"/>
      <c r="AB15" s="121"/>
      <c r="AC15" s="121"/>
      <c r="AD15" s="120"/>
      <c r="AE15" s="121"/>
      <c r="AF15" s="121"/>
      <c r="AG15" s="120"/>
      <c r="AH15" s="121"/>
      <c r="AI15" s="121"/>
      <c r="AJ15" s="120"/>
      <c r="AK15" s="121"/>
      <c r="AL15" s="121"/>
      <c r="AM15" s="122">
        <f t="shared" si="0"/>
        <v>6.8</v>
      </c>
      <c r="AO15" s="401">
        <v>1.7</v>
      </c>
      <c r="AP15" s="401">
        <v>5.0999999999999996</v>
      </c>
      <c r="AQ15" s="402">
        <f t="shared" si="1"/>
        <v>6.8</v>
      </c>
    </row>
    <row r="16" spans="2:62" ht="20.25" customHeight="1" x14ac:dyDescent="0.15">
      <c r="B16" s="119" t="s">
        <v>336</v>
      </c>
      <c r="C16" s="120"/>
      <c r="D16" s="121"/>
      <c r="E16" s="121"/>
      <c r="F16" s="120"/>
      <c r="G16" s="121"/>
      <c r="H16" s="121"/>
      <c r="I16" s="120"/>
      <c r="J16" s="121"/>
      <c r="K16" s="121"/>
      <c r="L16" s="120"/>
      <c r="M16" s="121"/>
      <c r="N16" s="121"/>
      <c r="O16" s="120"/>
      <c r="P16" s="121"/>
      <c r="Q16" s="121"/>
      <c r="R16" s="120"/>
      <c r="S16" s="121"/>
      <c r="T16" s="121"/>
      <c r="U16" s="120"/>
      <c r="V16" s="121"/>
      <c r="W16" s="121"/>
      <c r="X16" s="120"/>
      <c r="Y16" s="121"/>
      <c r="Z16" s="121"/>
      <c r="AA16" s="120">
        <v>7.8</v>
      </c>
      <c r="AB16" s="121">
        <v>8.1999999999999993</v>
      </c>
      <c r="AC16" s="121">
        <v>4.7</v>
      </c>
      <c r="AD16" s="120"/>
      <c r="AE16" s="121"/>
      <c r="AF16" s="121"/>
      <c r="AG16" s="120"/>
      <c r="AH16" s="121"/>
      <c r="AI16" s="121"/>
      <c r="AJ16" s="120"/>
      <c r="AK16" s="121"/>
      <c r="AL16" s="121"/>
      <c r="AM16" s="122">
        <f t="shared" si="0"/>
        <v>20.7</v>
      </c>
      <c r="AO16" s="401">
        <v>6.9</v>
      </c>
      <c r="AP16" s="401">
        <v>13.8</v>
      </c>
      <c r="AQ16" s="402">
        <f t="shared" si="1"/>
        <v>20.700000000000003</v>
      </c>
    </row>
    <row r="17" spans="2:43" ht="20.25" customHeight="1" x14ac:dyDescent="0.15">
      <c r="B17" s="119" t="s">
        <v>337</v>
      </c>
      <c r="C17" s="120"/>
      <c r="D17" s="121"/>
      <c r="E17" s="121"/>
      <c r="F17" s="120"/>
      <c r="G17" s="121"/>
      <c r="H17" s="121"/>
      <c r="I17" s="120"/>
      <c r="J17" s="121"/>
      <c r="K17" s="121"/>
      <c r="L17" s="120"/>
      <c r="M17" s="121"/>
      <c r="N17" s="121"/>
      <c r="O17" s="120"/>
      <c r="P17" s="121"/>
      <c r="Q17" s="121"/>
      <c r="R17" s="120"/>
      <c r="S17" s="121"/>
      <c r="T17" s="121"/>
      <c r="U17" s="120"/>
      <c r="V17" s="121"/>
      <c r="W17" s="121"/>
      <c r="X17" s="120"/>
      <c r="Y17" s="121"/>
      <c r="Z17" s="121"/>
      <c r="AA17" s="120">
        <v>3.2</v>
      </c>
      <c r="AB17" s="121">
        <v>3.5</v>
      </c>
      <c r="AC17" s="121">
        <v>2.8</v>
      </c>
      <c r="AD17" s="120"/>
      <c r="AE17" s="121"/>
      <c r="AF17" s="121"/>
      <c r="AG17" s="120"/>
      <c r="AH17" s="121"/>
      <c r="AI17" s="121"/>
      <c r="AJ17" s="120"/>
      <c r="AK17" s="121"/>
      <c r="AL17" s="121"/>
      <c r="AM17" s="122">
        <f t="shared" si="0"/>
        <v>9.5</v>
      </c>
      <c r="AO17" s="401"/>
      <c r="AP17" s="401">
        <v>9.5</v>
      </c>
      <c r="AQ17" s="402">
        <f t="shared" si="1"/>
        <v>9.5</v>
      </c>
    </row>
    <row r="18" spans="2:43" ht="20.25" customHeight="1" x14ac:dyDescent="0.15">
      <c r="B18" s="119" t="s">
        <v>338</v>
      </c>
      <c r="C18" s="120"/>
      <c r="D18" s="121"/>
      <c r="E18" s="121"/>
      <c r="F18" s="120"/>
      <c r="G18" s="121"/>
      <c r="H18" s="121"/>
      <c r="I18" s="120"/>
      <c r="J18" s="121"/>
      <c r="K18" s="121"/>
      <c r="L18" s="120"/>
      <c r="M18" s="121"/>
      <c r="N18" s="121"/>
      <c r="O18" s="120"/>
      <c r="P18" s="121"/>
      <c r="Q18" s="121"/>
      <c r="R18" s="120"/>
      <c r="S18" s="121"/>
      <c r="T18" s="121"/>
      <c r="U18" s="120"/>
      <c r="V18" s="121"/>
      <c r="W18" s="121"/>
      <c r="X18" s="120"/>
      <c r="Y18" s="121"/>
      <c r="Z18" s="121"/>
      <c r="AA18" s="120"/>
      <c r="AB18" s="121"/>
      <c r="AC18" s="121"/>
      <c r="AD18" s="120"/>
      <c r="AE18" s="121">
        <v>0.8</v>
      </c>
      <c r="AF18" s="121">
        <v>0.8</v>
      </c>
      <c r="AG18" s="120">
        <v>0.6</v>
      </c>
      <c r="AH18" s="121">
        <v>0.2</v>
      </c>
      <c r="AI18" s="121"/>
      <c r="AJ18" s="120"/>
      <c r="AK18" s="121"/>
      <c r="AL18" s="121"/>
      <c r="AM18" s="122">
        <f t="shared" si="0"/>
        <v>2.4000000000000004</v>
      </c>
      <c r="AO18" s="401">
        <v>1.2</v>
      </c>
      <c r="AP18" s="401">
        <v>1.2</v>
      </c>
      <c r="AQ18" s="402">
        <f t="shared" si="1"/>
        <v>2.4</v>
      </c>
    </row>
    <row r="19" spans="2:43" ht="20.25" customHeight="1" x14ac:dyDescent="0.15">
      <c r="B19" s="119" t="s">
        <v>193</v>
      </c>
      <c r="C19" s="120"/>
      <c r="D19" s="121"/>
      <c r="E19" s="121"/>
      <c r="F19" s="120"/>
      <c r="G19" s="121"/>
      <c r="H19" s="121"/>
      <c r="I19" s="120">
        <v>1</v>
      </c>
      <c r="J19" s="121"/>
      <c r="K19" s="121"/>
      <c r="L19" s="120"/>
      <c r="M19" s="121"/>
      <c r="N19" s="121"/>
      <c r="O19" s="120"/>
      <c r="P19" s="121"/>
      <c r="Q19" s="121"/>
      <c r="R19" s="120"/>
      <c r="S19" s="121"/>
      <c r="T19" s="121"/>
      <c r="U19" s="120"/>
      <c r="V19" s="121"/>
      <c r="W19" s="121"/>
      <c r="X19" s="120"/>
      <c r="Y19" s="121"/>
      <c r="Z19" s="121"/>
      <c r="AA19" s="120"/>
      <c r="AB19" s="121"/>
      <c r="AC19" s="121"/>
      <c r="AD19" s="120"/>
      <c r="AE19" s="121"/>
      <c r="AF19" s="121"/>
      <c r="AG19" s="120"/>
      <c r="AH19" s="121"/>
      <c r="AI19" s="121"/>
      <c r="AJ19" s="120">
        <v>1</v>
      </c>
      <c r="AK19" s="121"/>
      <c r="AL19" s="121"/>
      <c r="AM19" s="122">
        <f t="shared" si="0"/>
        <v>2</v>
      </c>
      <c r="AO19" s="401"/>
      <c r="AP19" s="401">
        <v>2</v>
      </c>
      <c r="AQ19" s="402">
        <f t="shared" si="1"/>
        <v>2</v>
      </c>
    </row>
    <row r="20" spans="2:43" ht="20.25" customHeight="1" x14ac:dyDescent="0.15">
      <c r="B20" s="119"/>
      <c r="C20" s="120"/>
      <c r="D20" s="121"/>
      <c r="E20" s="121"/>
      <c r="F20" s="120"/>
      <c r="G20" s="121"/>
      <c r="H20" s="121"/>
      <c r="I20" s="120"/>
      <c r="J20" s="121"/>
      <c r="K20" s="121"/>
      <c r="L20" s="120"/>
      <c r="M20" s="121"/>
      <c r="N20" s="121"/>
      <c r="O20" s="120"/>
      <c r="P20" s="121"/>
      <c r="Q20" s="121"/>
      <c r="R20" s="120"/>
      <c r="S20" s="121"/>
      <c r="T20" s="121"/>
      <c r="U20" s="120"/>
      <c r="V20" s="121"/>
      <c r="W20" s="121"/>
      <c r="X20" s="120"/>
      <c r="Y20" s="121"/>
      <c r="Z20" s="121"/>
      <c r="AA20" s="120"/>
      <c r="AB20" s="121"/>
      <c r="AC20" s="121"/>
      <c r="AD20" s="120"/>
      <c r="AE20" s="121"/>
      <c r="AF20" s="121"/>
      <c r="AG20" s="120"/>
      <c r="AH20" s="121"/>
      <c r="AI20" s="121"/>
      <c r="AJ20" s="120"/>
      <c r="AK20" s="121"/>
      <c r="AL20" s="121"/>
      <c r="AM20" s="122">
        <f t="shared" si="0"/>
        <v>0</v>
      </c>
      <c r="AO20" s="402"/>
      <c r="AP20" s="402"/>
      <c r="AQ20" s="402">
        <f t="shared" ref="AQ20:AQ33" si="2">SUM(AO20:AP20)</f>
        <v>0</v>
      </c>
    </row>
    <row r="21" spans="2:43" ht="20.25" customHeight="1" x14ac:dyDescent="0.15">
      <c r="B21" s="119"/>
      <c r="C21" s="120"/>
      <c r="D21" s="121"/>
      <c r="E21" s="121"/>
      <c r="F21" s="120"/>
      <c r="G21" s="121"/>
      <c r="H21" s="121"/>
      <c r="I21" s="120"/>
      <c r="J21" s="121"/>
      <c r="K21" s="121"/>
      <c r="L21" s="120"/>
      <c r="M21" s="121"/>
      <c r="N21" s="121"/>
      <c r="O21" s="120"/>
      <c r="P21" s="121"/>
      <c r="Q21" s="121"/>
      <c r="R21" s="120"/>
      <c r="S21" s="121"/>
      <c r="T21" s="121"/>
      <c r="U21" s="120"/>
      <c r="V21" s="121"/>
      <c r="W21" s="121"/>
      <c r="X21" s="120"/>
      <c r="Y21" s="121"/>
      <c r="Z21" s="121"/>
      <c r="AA21" s="120"/>
      <c r="AB21" s="121"/>
      <c r="AC21" s="121"/>
      <c r="AD21" s="120"/>
      <c r="AE21" s="121"/>
      <c r="AF21" s="121"/>
      <c r="AG21" s="120"/>
      <c r="AH21" s="121"/>
      <c r="AI21" s="121"/>
      <c r="AJ21" s="120"/>
      <c r="AK21" s="121"/>
      <c r="AL21" s="121"/>
      <c r="AM21" s="122">
        <f t="shared" si="0"/>
        <v>0</v>
      </c>
      <c r="AO21" s="402"/>
      <c r="AP21" s="402"/>
      <c r="AQ21" s="402">
        <f t="shared" si="2"/>
        <v>0</v>
      </c>
    </row>
    <row r="22" spans="2:43" ht="20.25" customHeight="1" x14ac:dyDescent="0.15">
      <c r="B22" s="119"/>
      <c r="C22" s="120"/>
      <c r="D22" s="121"/>
      <c r="E22" s="121"/>
      <c r="F22" s="120"/>
      <c r="G22" s="121"/>
      <c r="H22" s="121"/>
      <c r="I22" s="120"/>
      <c r="J22" s="121"/>
      <c r="K22" s="121"/>
      <c r="L22" s="120"/>
      <c r="M22" s="121"/>
      <c r="N22" s="121"/>
      <c r="O22" s="120"/>
      <c r="P22" s="121"/>
      <c r="Q22" s="121"/>
      <c r="R22" s="120"/>
      <c r="S22" s="121"/>
      <c r="T22" s="121"/>
      <c r="U22" s="120"/>
      <c r="V22" s="121"/>
      <c r="W22" s="121"/>
      <c r="X22" s="120"/>
      <c r="Y22" s="121"/>
      <c r="Z22" s="121"/>
      <c r="AA22" s="120"/>
      <c r="AB22" s="121"/>
      <c r="AC22" s="121"/>
      <c r="AD22" s="120"/>
      <c r="AE22" s="121"/>
      <c r="AF22" s="121"/>
      <c r="AG22" s="120"/>
      <c r="AH22" s="121"/>
      <c r="AI22" s="121"/>
      <c r="AJ22" s="120"/>
      <c r="AK22" s="121"/>
      <c r="AL22" s="121"/>
      <c r="AM22" s="122">
        <f t="shared" si="0"/>
        <v>0</v>
      </c>
      <c r="AO22" s="402"/>
      <c r="AP22" s="402"/>
      <c r="AQ22" s="402">
        <f t="shared" si="2"/>
        <v>0</v>
      </c>
    </row>
    <row r="23" spans="2:43" ht="20.25" customHeight="1" x14ac:dyDescent="0.15">
      <c r="B23" s="119"/>
      <c r="C23" s="120"/>
      <c r="D23" s="121"/>
      <c r="E23" s="121"/>
      <c r="F23" s="120"/>
      <c r="G23" s="121"/>
      <c r="H23" s="121"/>
      <c r="I23" s="120"/>
      <c r="J23" s="121"/>
      <c r="K23" s="121"/>
      <c r="L23" s="120"/>
      <c r="M23" s="121"/>
      <c r="N23" s="121"/>
      <c r="O23" s="120"/>
      <c r="P23" s="121"/>
      <c r="Q23" s="121"/>
      <c r="R23" s="120"/>
      <c r="S23" s="121"/>
      <c r="T23" s="121"/>
      <c r="U23" s="120"/>
      <c r="V23" s="121"/>
      <c r="W23" s="121"/>
      <c r="X23" s="120"/>
      <c r="Y23" s="121"/>
      <c r="Z23" s="121"/>
      <c r="AA23" s="120"/>
      <c r="AB23" s="121"/>
      <c r="AC23" s="121"/>
      <c r="AD23" s="120"/>
      <c r="AE23" s="121"/>
      <c r="AF23" s="121"/>
      <c r="AG23" s="120"/>
      <c r="AH23" s="121"/>
      <c r="AI23" s="121"/>
      <c r="AJ23" s="120"/>
      <c r="AK23" s="121"/>
      <c r="AL23" s="121"/>
      <c r="AM23" s="122">
        <f t="shared" si="0"/>
        <v>0</v>
      </c>
      <c r="AO23" s="402"/>
      <c r="AP23" s="402"/>
      <c r="AQ23" s="402">
        <f t="shared" si="2"/>
        <v>0</v>
      </c>
    </row>
    <row r="24" spans="2:43" ht="20.100000000000001" customHeight="1" x14ac:dyDescent="0.15">
      <c r="B24" s="119"/>
      <c r="C24" s="120"/>
      <c r="D24" s="121"/>
      <c r="E24" s="121"/>
      <c r="F24" s="120"/>
      <c r="G24" s="121"/>
      <c r="H24" s="121"/>
      <c r="I24" s="120"/>
      <c r="J24" s="121"/>
      <c r="K24" s="121"/>
      <c r="L24" s="120"/>
      <c r="M24" s="121"/>
      <c r="N24" s="121"/>
      <c r="O24" s="120"/>
      <c r="P24" s="121"/>
      <c r="Q24" s="121"/>
      <c r="R24" s="120"/>
      <c r="S24" s="121"/>
      <c r="T24" s="121"/>
      <c r="U24" s="120"/>
      <c r="V24" s="121"/>
      <c r="W24" s="121"/>
      <c r="X24" s="120"/>
      <c r="Y24" s="121"/>
      <c r="Z24" s="121"/>
      <c r="AA24" s="120"/>
      <c r="AB24" s="121"/>
      <c r="AC24" s="121"/>
      <c r="AD24" s="120"/>
      <c r="AE24" s="121"/>
      <c r="AF24" s="121"/>
      <c r="AG24" s="120"/>
      <c r="AH24" s="121"/>
      <c r="AI24" s="121"/>
      <c r="AJ24" s="120"/>
      <c r="AK24" s="121"/>
      <c r="AL24" s="121"/>
      <c r="AM24" s="122">
        <f t="shared" si="0"/>
        <v>0</v>
      </c>
      <c r="AO24" s="402"/>
      <c r="AP24" s="402"/>
      <c r="AQ24" s="402">
        <f t="shared" si="2"/>
        <v>0</v>
      </c>
    </row>
    <row r="25" spans="2:43" ht="20.100000000000001" customHeight="1" x14ac:dyDescent="0.15">
      <c r="B25" s="119"/>
      <c r="C25" s="120"/>
      <c r="D25" s="121"/>
      <c r="E25" s="121"/>
      <c r="F25" s="120"/>
      <c r="G25" s="121"/>
      <c r="H25" s="121"/>
      <c r="I25" s="120"/>
      <c r="J25" s="121"/>
      <c r="K25" s="121"/>
      <c r="L25" s="120"/>
      <c r="M25" s="121"/>
      <c r="N25" s="121"/>
      <c r="O25" s="120"/>
      <c r="P25" s="121"/>
      <c r="Q25" s="121"/>
      <c r="R25" s="120"/>
      <c r="S25" s="121"/>
      <c r="T25" s="121"/>
      <c r="U25" s="120"/>
      <c r="V25" s="121"/>
      <c r="W25" s="121"/>
      <c r="X25" s="120"/>
      <c r="Y25" s="121"/>
      <c r="Z25" s="121"/>
      <c r="AA25" s="120"/>
      <c r="AB25" s="121"/>
      <c r="AC25" s="121"/>
      <c r="AD25" s="120"/>
      <c r="AE25" s="121"/>
      <c r="AF25" s="121"/>
      <c r="AG25" s="120"/>
      <c r="AH25" s="121"/>
      <c r="AI25" s="121"/>
      <c r="AJ25" s="120"/>
      <c r="AK25" s="121"/>
      <c r="AL25" s="121"/>
      <c r="AM25" s="122">
        <f t="shared" si="0"/>
        <v>0</v>
      </c>
      <c r="AO25" s="402"/>
      <c r="AP25" s="402"/>
      <c r="AQ25" s="402">
        <f t="shared" si="2"/>
        <v>0</v>
      </c>
    </row>
    <row r="26" spans="2:43" ht="20.100000000000001" customHeight="1" x14ac:dyDescent="0.15">
      <c r="B26" s="119"/>
      <c r="C26" s="120"/>
      <c r="D26" s="121"/>
      <c r="E26" s="121"/>
      <c r="F26" s="120"/>
      <c r="G26" s="121"/>
      <c r="H26" s="121"/>
      <c r="I26" s="120"/>
      <c r="J26" s="121"/>
      <c r="K26" s="121"/>
      <c r="L26" s="120"/>
      <c r="M26" s="121"/>
      <c r="N26" s="121"/>
      <c r="O26" s="120"/>
      <c r="P26" s="121"/>
      <c r="Q26" s="121"/>
      <c r="R26" s="120"/>
      <c r="S26" s="121"/>
      <c r="T26" s="121"/>
      <c r="U26" s="120"/>
      <c r="V26" s="121"/>
      <c r="W26" s="121"/>
      <c r="X26" s="120"/>
      <c r="Y26" s="121"/>
      <c r="Z26" s="121"/>
      <c r="AA26" s="120"/>
      <c r="AB26" s="121"/>
      <c r="AC26" s="121"/>
      <c r="AD26" s="120"/>
      <c r="AE26" s="121"/>
      <c r="AF26" s="121"/>
      <c r="AG26" s="120"/>
      <c r="AH26" s="121"/>
      <c r="AI26" s="121"/>
      <c r="AJ26" s="120"/>
      <c r="AK26" s="121"/>
      <c r="AL26" s="121"/>
      <c r="AM26" s="122" t="s">
        <v>487</v>
      </c>
      <c r="AO26" s="402"/>
      <c r="AP26" s="402"/>
      <c r="AQ26" s="402">
        <f t="shared" si="2"/>
        <v>0</v>
      </c>
    </row>
    <row r="27" spans="2:43" ht="20.100000000000001" customHeight="1" x14ac:dyDescent="0.15">
      <c r="B27" s="119"/>
      <c r="C27" s="120"/>
      <c r="D27" s="121"/>
      <c r="E27" s="121"/>
      <c r="F27" s="120"/>
      <c r="G27" s="121"/>
      <c r="H27" s="121"/>
      <c r="I27" s="120"/>
      <c r="J27" s="121"/>
      <c r="K27" s="121"/>
      <c r="L27" s="120"/>
      <c r="M27" s="121"/>
      <c r="N27" s="121"/>
      <c r="O27" s="120"/>
      <c r="P27" s="121"/>
      <c r="Q27" s="121"/>
      <c r="R27" s="120"/>
      <c r="S27" s="121"/>
      <c r="T27" s="121"/>
      <c r="U27" s="120"/>
      <c r="V27" s="121"/>
      <c r="W27" s="121"/>
      <c r="X27" s="120"/>
      <c r="Y27" s="121"/>
      <c r="Z27" s="121"/>
      <c r="AA27" s="120"/>
      <c r="AB27" s="121"/>
      <c r="AC27" s="121"/>
      <c r="AD27" s="120"/>
      <c r="AE27" s="121"/>
      <c r="AF27" s="121"/>
      <c r="AG27" s="120"/>
      <c r="AH27" s="121"/>
      <c r="AI27" s="121"/>
      <c r="AJ27" s="120"/>
      <c r="AK27" s="121"/>
      <c r="AL27" s="121"/>
      <c r="AM27" s="122">
        <f t="shared" si="0"/>
        <v>0</v>
      </c>
      <c r="AO27" s="402"/>
      <c r="AP27" s="402"/>
      <c r="AQ27" s="402">
        <f t="shared" si="2"/>
        <v>0</v>
      </c>
    </row>
    <row r="28" spans="2:43" ht="20.100000000000001" customHeight="1" x14ac:dyDescent="0.15">
      <c r="B28" s="119"/>
      <c r="C28" s="120"/>
      <c r="D28" s="121"/>
      <c r="E28" s="121"/>
      <c r="F28" s="120"/>
      <c r="G28" s="121"/>
      <c r="H28" s="121"/>
      <c r="I28" s="120"/>
      <c r="J28" s="121"/>
      <c r="K28" s="121"/>
      <c r="L28" s="120"/>
      <c r="M28" s="121"/>
      <c r="N28" s="121"/>
      <c r="O28" s="120"/>
      <c r="P28" s="121"/>
      <c r="Q28" s="121"/>
      <c r="R28" s="120"/>
      <c r="S28" s="121"/>
      <c r="T28" s="121"/>
      <c r="U28" s="120"/>
      <c r="V28" s="121"/>
      <c r="W28" s="121"/>
      <c r="X28" s="120"/>
      <c r="Y28" s="121"/>
      <c r="Z28" s="121"/>
      <c r="AA28" s="120"/>
      <c r="AB28" s="121"/>
      <c r="AC28" s="121"/>
      <c r="AD28" s="120"/>
      <c r="AE28" s="121"/>
      <c r="AF28" s="121"/>
      <c r="AG28" s="120"/>
      <c r="AH28" s="121"/>
      <c r="AI28" s="121"/>
      <c r="AJ28" s="120"/>
      <c r="AK28" s="121"/>
      <c r="AL28" s="121"/>
      <c r="AM28" s="122">
        <f t="shared" si="0"/>
        <v>0</v>
      </c>
      <c r="AO28" s="402"/>
      <c r="AP28" s="402"/>
      <c r="AQ28" s="402">
        <f t="shared" si="2"/>
        <v>0</v>
      </c>
    </row>
    <row r="29" spans="2:43" ht="20.100000000000001" customHeight="1" x14ac:dyDescent="0.15">
      <c r="B29" s="119"/>
      <c r="C29" s="120"/>
      <c r="D29" s="121"/>
      <c r="E29" s="121"/>
      <c r="F29" s="120"/>
      <c r="G29" s="121"/>
      <c r="H29" s="121"/>
      <c r="I29" s="120"/>
      <c r="J29" s="121"/>
      <c r="K29" s="121"/>
      <c r="L29" s="120"/>
      <c r="M29" s="121"/>
      <c r="N29" s="121"/>
      <c r="O29" s="120"/>
      <c r="P29" s="121"/>
      <c r="Q29" s="121"/>
      <c r="R29" s="120"/>
      <c r="S29" s="121"/>
      <c r="T29" s="121"/>
      <c r="U29" s="120"/>
      <c r="V29" s="121"/>
      <c r="W29" s="121"/>
      <c r="X29" s="120"/>
      <c r="Y29" s="121"/>
      <c r="Z29" s="121">
        <v>1.5</v>
      </c>
      <c r="AA29" s="120"/>
      <c r="AB29" s="121"/>
      <c r="AC29" s="121"/>
      <c r="AD29" s="120"/>
      <c r="AE29" s="121"/>
      <c r="AF29" s="121"/>
      <c r="AG29" s="120"/>
      <c r="AH29" s="121"/>
      <c r="AI29" s="121"/>
      <c r="AJ29" s="120"/>
      <c r="AK29" s="121"/>
      <c r="AL29" s="121"/>
      <c r="AM29" s="122">
        <f t="shared" si="0"/>
        <v>1.5</v>
      </c>
      <c r="AO29" s="402"/>
      <c r="AP29" s="402"/>
      <c r="AQ29" s="402">
        <f t="shared" si="2"/>
        <v>0</v>
      </c>
    </row>
    <row r="30" spans="2:43" ht="20.100000000000001" customHeight="1" x14ac:dyDescent="0.15">
      <c r="B30" s="119"/>
      <c r="C30" s="120"/>
      <c r="D30" s="121"/>
      <c r="E30" s="121"/>
      <c r="F30" s="120"/>
      <c r="G30" s="121"/>
      <c r="H30" s="121"/>
      <c r="I30" s="120"/>
      <c r="J30" s="121"/>
      <c r="K30" s="121"/>
      <c r="L30" s="120"/>
      <c r="M30" s="121"/>
      <c r="N30" s="121"/>
      <c r="O30" s="120"/>
      <c r="P30" s="121"/>
      <c r="Q30" s="121"/>
      <c r="R30" s="120"/>
      <c r="S30" s="121"/>
      <c r="T30" s="121"/>
      <c r="U30" s="120"/>
      <c r="V30" s="121"/>
      <c r="W30" s="121"/>
      <c r="X30" s="120"/>
      <c r="Y30" s="121"/>
      <c r="Z30" s="121"/>
      <c r="AA30" s="120"/>
      <c r="AB30" s="121"/>
      <c r="AC30" s="121"/>
      <c r="AD30" s="120"/>
      <c r="AE30" s="121"/>
      <c r="AF30" s="121"/>
      <c r="AG30" s="120"/>
      <c r="AH30" s="121"/>
      <c r="AI30" s="121"/>
      <c r="AJ30" s="120"/>
      <c r="AK30" s="121"/>
      <c r="AL30" s="121"/>
      <c r="AM30" s="122">
        <f t="shared" si="0"/>
        <v>0</v>
      </c>
      <c r="AO30" s="402"/>
      <c r="AP30" s="402"/>
      <c r="AQ30" s="402">
        <f t="shared" si="2"/>
        <v>0</v>
      </c>
    </row>
    <row r="31" spans="2:43" ht="20.100000000000001" customHeight="1" x14ac:dyDescent="0.15">
      <c r="B31" s="119"/>
      <c r="C31" s="120"/>
      <c r="D31" s="121"/>
      <c r="E31" s="121"/>
      <c r="F31" s="120"/>
      <c r="G31" s="121"/>
      <c r="H31" s="121"/>
      <c r="I31" s="120"/>
      <c r="J31" s="121"/>
      <c r="K31" s="121"/>
      <c r="L31" s="120"/>
      <c r="M31" s="121"/>
      <c r="N31" s="121"/>
      <c r="O31" s="120"/>
      <c r="P31" s="121"/>
      <c r="Q31" s="121"/>
      <c r="R31" s="120"/>
      <c r="S31" s="121"/>
      <c r="T31" s="121"/>
      <c r="U31" s="120"/>
      <c r="V31" s="121"/>
      <c r="W31" s="121"/>
      <c r="X31" s="120"/>
      <c r="Y31" s="121"/>
      <c r="Z31" s="121"/>
      <c r="AA31" s="120"/>
      <c r="AB31" s="121"/>
      <c r="AC31" s="121"/>
      <c r="AD31" s="120"/>
      <c r="AE31" s="121"/>
      <c r="AF31" s="121"/>
      <c r="AG31" s="120"/>
      <c r="AH31" s="121"/>
      <c r="AI31" s="121"/>
      <c r="AJ31" s="120"/>
      <c r="AK31" s="121"/>
      <c r="AL31" s="121"/>
      <c r="AM31" s="122">
        <f t="shared" si="0"/>
        <v>0</v>
      </c>
      <c r="AO31" s="402"/>
      <c r="AP31" s="402"/>
      <c r="AQ31" s="402">
        <f t="shared" si="2"/>
        <v>0</v>
      </c>
    </row>
    <row r="32" spans="2:43" ht="20.100000000000001" customHeight="1" x14ac:dyDescent="0.15">
      <c r="B32" s="119"/>
      <c r="C32" s="120"/>
      <c r="D32" s="121"/>
      <c r="E32" s="121"/>
      <c r="F32" s="120"/>
      <c r="G32" s="121"/>
      <c r="H32" s="121"/>
      <c r="I32" s="120"/>
      <c r="J32" s="121"/>
      <c r="K32" s="121"/>
      <c r="L32" s="120"/>
      <c r="M32" s="121"/>
      <c r="N32" s="121"/>
      <c r="O32" s="120"/>
      <c r="P32" s="121"/>
      <c r="Q32" s="121"/>
      <c r="R32" s="120"/>
      <c r="S32" s="121"/>
      <c r="T32" s="121"/>
      <c r="U32" s="120"/>
      <c r="V32" s="121"/>
      <c r="W32" s="121"/>
      <c r="X32" s="120"/>
      <c r="Y32" s="121"/>
      <c r="Z32" s="121"/>
      <c r="AA32" s="120"/>
      <c r="AB32" s="121"/>
      <c r="AC32" s="121"/>
      <c r="AD32" s="120"/>
      <c r="AE32" s="121"/>
      <c r="AF32" s="121"/>
      <c r="AG32" s="120"/>
      <c r="AH32" s="121"/>
      <c r="AI32" s="121"/>
      <c r="AJ32" s="120"/>
      <c r="AK32" s="121"/>
      <c r="AL32" s="121"/>
      <c r="AM32" s="122">
        <f t="shared" si="0"/>
        <v>0</v>
      </c>
      <c r="AO32" s="402"/>
      <c r="AP32" s="402"/>
      <c r="AQ32" s="402">
        <f t="shared" si="2"/>
        <v>0</v>
      </c>
    </row>
    <row r="33" spans="2:43" ht="20.100000000000001" customHeight="1" x14ac:dyDescent="0.15">
      <c r="B33" s="123" t="s">
        <v>134</v>
      </c>
      <c r="C33" s="120">
        <f t="shared" ref="C33:AL33" si="3">SUM(C8:C32)</f>
        <v>0</v>
      </c>
      <c r="D33" s="124">
        <f t="shared" si="3"/>
        <v>0</v>
      </c>
      <c r="E33" s="125">
        <f t="shared" si="3"/>
        <v>0</v>
      </c>
      <c r="F33" s="120">
        <f t="shared" si="3"/>
        <v>0</v>
      </c>
      <c r="G33" s="124">
        <f t="shared" si="3"/>
        <v>0</v>
      </c>
      <c r="H33" s="125">
        <f t="shared" si="3"/>
        <v>0</v>
      </c>
      <c r="I33" s="120">
        <f t="shared" si="3"/>
        <v>1</v>
      </c>
      <c r="J33" s="124">
        <f t="shared" si="3"/>
        <v>0.3</v>
      </c>
      <c r="K33" s="125">
        <f t="shared" si="3"/>
        <v>2.1</v>
      </c>
      <c r="L33" s="120">
        <f t="shared" si="3"/>
        <v>5.8</v>
      </c>
      <c r="M33" s="124">
        <f t="shared" si="3"/>
        <v>7.3</v>
      </c>
      <c r="N33" s="125">
        <f t="shared" si="3"/>
        <v>7.6000000000000005</v>
      </c>
      <c r="O33" s="120">
        <f t="shared" si="3"/>
        <v>12.3</v>
      </c>
      <c r="P33" s="124">
        <f t="shared" si="3"/>
        <v>11.5</v>
      </c>
      <c r="Q33" s="125">
        <f t="shared" si="3"/>
        <v>7.6</v>
      </c>
      <c r="R33" s="120">
        <f t="shared" si="3"/>
        <v>0</v>
      </c>
      <c r="S33" s="124">
        <f t="shared" si="3"/>
        <v>0</v>
      </c>
      <c r="T33" s="125">
        <f t="shared" si="3"/>
        <v>0</v>
      </c>
      <c r="U33" s="120">
        <f t="shared" si="3"/>
        <v>0</v>
      </c>
      <c r="V33" s="124">
        <f t="shared" si="3"/>
        <v>0</v>
      </c>
      <c r="W33" s="125">
        <f t="shared" si="3"/>
        <v>3.2</v>
      </c>
      <c r="X33" s="120">
        <f t="shared" si="3"/>
        <v>3.3</v>
      </c>
      <c r="Y33" s="124">
        <f t="shared" si="3"/>
        <v>0.3</v>
      </c>
      <c r="Z33" s="125">
        <f t="shared" si="3"/>
        <v>1.5</v>
      </c>
      <c r="AA33" s="120">
        <f t="shared" si="3"/>
        <v>11</v>
      </c>
      <c r="AB33" s="124">
        <f t="shared" si="3"/>
        <v>11.7</v>
      </c>
      <c r="AC33" s="125">
        <f t="shared" si="3"/>
        <v>7.5</v>
      </c>
      <c r="AD33" s="120">
        <f t="shared" si="3"/>
        <v>0</v>
      </c>
      <c r="AE33" s="124">
        <f t="shared" si="3"/>
        <v>0.8</v>
      </c>
      <c r="AF33" s="125">
        <f t="shared" si="3"/>
        <v>0.8</v>
      </c>
      <c r="AG33" s="120">
        <f t="shared" si="3"/>
        <v>0.6</v>
      </c>
      <c r="AH33" s="124">
        <f t="shared" si="3"/>
        <v>0.2</v>
      </c>
      <c r="AI33" s="125">
        <f t="shared" si="3"/>
        <v>0</v>
      </c>
      <c r="AJ33" s="120">
        <f t="shared" si="3"/>
        <v>1</v>
      </c>
      <c r="AK33" s="124">
        <f t="shared" si="3"/>
        <v>0</v>
      </c>
      <c r="AL33" s="125">
        <f t="shared" si="3"/>
        <v>0</v>
      </c>
      <c r="AM33" s="122">
        <f t="shared" si="0"/>
        <v>97.4</v>
      </c>
      <c r="AO33" s="402"/>
      <c r="AP33" s="402"/>
      <c r="AQ33" s="402">
        <f t="shared" si="2"/>
        <v>0</v>
      </c>
    </row>
    <row r="34" spans="2:43" ht="20.100000000000001" customHeight="1" thickBot="1" x14ac:dyDescent="0.2">
      <c r="B34" s="126" t="s">
        <v>135</v>
      </c>
      <c r="C34" s="127"/>
      <c r="D34" s="128">
        <f>SUM(C33:E33)</f>
        <v>0</v>
      </c>
      <c r="E34" s="128"/>
      <c r="F34" s="127"/>
      <c r="G34" s="128">
        <f>SUM(F33:H33)</f>
        <v>0</v>
      </c>
      <c r="H34" s="128"/>
      <c r="I34" s="127"/>
      <c r="J34" s="128">
        <f>SUM(I33:K33)</f>
        <v>3.4000000000000004</v>
      </c>
      <c r="K34" s="128"/>
      <c r="L34" s="127"/>
      <c r="M34" s="128">
        <f>SUM(L33:N33)</f>
        <v>20.7</v>
      </c>
      <c r="N34" s="128"/>
      <c r="O34" s="127"/>
      <c r="P34" s="128">
        <f>SUM(O33:Q33)</f>
        <v>31.4</v>
      </c>
      <c r="Q34" s="128"/>
      <c r="R34" s="127"/>
      <c r="S34" s="128">
        <f>SUM(R33:T33)</f>
        <v>0</v>
      </c>
      <c r="T34" s="128"/>
      <c r="U34" s="127"/>
      <c r="V34" s="128">
        <f>SUM(U33:W33)</f>
        <v>3.2</v>
      </c>
      <c r="W34" s="128"/>
      <c r="X34" s="127"/>
      <c r="Y34" s="128">
        <f>SUM(X33:Z33)</f>
        <v>5.0999999999999996</v>
      </c>
      <c r="Z34" s="128"/>
      <c r="AA34" s="127"/>
      <c r="AB34" s="128">
        <f>SUM(AA33:AC33)</f>
        <v>30.2</v>
      </c>
      <c r="AC34" s="128"/>
      <c r="AD34" s="127"/>
      <c r="AE34" s="128">
        <f>SUM(AD33:AF33)</f>
        <v>1.6</v>
      </c>
      <c r="AF34" s="128"/>
      <c r="AG34" s="127"/>
      <c r="AH34" s="128">
        <f>SUM(AG33:AI33)</f>
        <v>0.8</v>
      </c>
      <c r="AI34" s="128"/>
      <c r="AJ34" s="127"/>
      <c r="AK34" s="128">
        <f>SUM(AJ33:AL33)</f>
        <v>1</v>
      </c>
      <c r="AL34" s="128"/>
      <c r="AM34" s="129">
        <f>SUM(AM8:AM32)</f>
        <v>97.4</v>
      </c>
      <c r="AO34" s="402">
        <f>SUM(AO8:AO32)</f>
        <v>33.900000000000006</v>
      </c>
      <c r="AP34" s="402">
        <f>SUM(AP8:AP32)</f>
        <v>62</v>
      </c>
      <c r="AQ34" s="402">
        <f>SUM(AQ8:AQ33)</f>
        <v>95.9</v>
      </c>
    </row>
  </sheetData>
  <mergeCells count="15">
    <mergeCell ref="B5:B7"/>
    <mergeCell ref="R3:T3"/>
    <mergeCell ref="U3:W3"/>
    <mergeCell ref="X3:Z3"/>
    <mergeCell ref="B3:B4"/>
    <mergeCell ref="C3:E3"/>
    <mergeCell ref="F3:H3"/>
    <mergeCell ref="I3:K3"/>
    <mergeCell ref="L3:N3"/>
    <mergeCell ref="O3:Q3"/>
    <mergeCell ref="AJ3:AL3"/>
    <mergeCell ref="AM3:AM4"/>
    <mergeCell ref="AG3:AI3"/>
    <mergeCell ref="AA3:AC3"/>
    <mergeCell ref="AD3:AF3"/>
  </mergeCells>
  <phoneticPr fontId="5"/>
  <pageMargins left="1.1811023622047245" right="0.78740157480314965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BJ34"/>
  <sheetViews>
    <sheetView zoomScale="75" zoomScaleNormal="75" workbookViewId="0"/>
  </sheetViews>
  <sheetFormatPr defaultRowHeight="13.5" x14ac:dyDescent="0.15"/>
  <cols>
    <col min="1" max="1" width="1.625" style="88" customWidth="1"/>
    <col min="2" max="2" width="22.625" style="88" customWidth="1"/>
    <col min="3" max="38" width="6.125" style="88" customWidth="1"/>
    <col min="39" max="39" width="7" style="88" customWidth="1"/>
    <col min="40" max="40" width="1.5" style="88" customWidth="1"/>
    <col min="41" max="16384" width="9" style="88"/>
  </cols>
  <sheetData>
    <row r="1" spans="2:62" ht="20.25" customHeight="1" x14ac:dyDescent="0.15"/>
    <row r="2" spans="2:62" ht="20.25" customHeight="1" thickBot="1" x14ac:dyDescent="0.2">
      <c r="B2" s="13" t="s">
        <v>137</v>
      </c>
      <c r="C2" s="13"/>
      <c r="D2" s="13"/>
      <c r="E2" s="13"/>
      <c r="F2" s="13"/>
      <c r="G2" s="13"/>
      <c r="H2" s="13"/>
      <c r="I2" s="13"/>
      <c r="J2" s="13"/>
      <c r="K2" s="341" t="s">
        <v>274</v>
      </c>
      <c r="L2" s="131" t="s">
        <v>453</v>
      </c>
      <c r="M2" s="131"/>
      <c r="N2" s="341"/>
      <c r="O2" s="131"/>
      <c r="P2" s="13"/>
      <c r="Q2" s="13"/>
      <c r="R2" s="341" t="s">
        <v>275</v>
      </c>
      <c r="S2" s="131" t="s">
        <v>276</v>
      </c>
      <c r="T2" s="13"/>
      <c r="U2" s="13"/>
      <c r="V2" s="90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25" customHeight="1" x14ac:dyDescent="0.15">
      <c r="B3" s="699" t="s">
        <v>132</v>
      </c>
      <c r="C3" s="691">
        <v>1</v>
      </c>
      <c r="D3" s="692"/>
      <c r="E3" s="693"/>
      <c r="F3" s="691">
        <v>2</v>
      </c>
      <c r="G3" s="692"/>
      <c r="H3" s="693"/>
      <c r="I3" s="691">
        <v>3</v>
      </c>
      <c r="J3" s="692"/>
      <c r="K3" s="693"/>
      <c r="L3" s="691">
        <v>4</v>
      </c>
      <c r="M3" s="692"/>
      <c r="N3" s="693"/>
      <c r="O3" s="691">
        <v>5</v>
      </c>
      <c r="P3" s="692"/>
      <c r="Q3" s="693"/>
      <c r="R3" s="691">
        <v>6</v>
      </c>
      <c r="S3" s="692"/>
      <c r="T3" s="693"/>
      <c r="U3" s="691">
        <v>7</v>
      </c>
      <c r="V3" s="692"/>
      <c r="W3" s="693"/>
      <c r="X3" s="691">
        <v>8</v>
      </c>
      <c r="Y3" s="692"/>
      <c r="Z3" s="693"/>
      <c r="AA3" s="691">
        <v>9</v>
      </c>
      <c r="AB3" s="692"/>
      <c r="AC3" s="693"/>
      <c r="AD3" s="691">
        <v>10</v>
      </c>
      <c r="AE3" s="692"/>
      <c r="AF3" s="693"/>
      <c r="AG3" s="691">
        <v>11</v>
      </c>
      <c r="AH3" s="692"/>
      <c r="AI3" s="693"/>
      <c r="AJ3" s="691">
        <v>12</v>
      </c>
      <c r="AK3" s="692"/>
      <c r="AL3" s="693"/>
      <c r="AM3" s="694" t="s">
        <v>34</v>
      </c>
      <c r="AO3" s="88" t="s">
        <v>359</v>
      </c>
      <c r="AP3" s="88" t="s">
        <v>360</v>
      </c>
      <c r="AQ3" s="88" t="s">
        <v>361</v>
      </c>
    </row>
    <row r="4" spans="2:62" ht="20.25" customHeight="1" x14ac:dyDescent="0.15">
      <c r="B4" s="698"/>
      <c r="C4" s="110" t="s">
        <v>35</v>
      </c>
      <c r="D4" s="111" t="s">
        <v>36</v>
      </c>
      <c r="E4" s="112" t="s">
        <v>37</v>
      </c>
      <c r="F4" s="110" t="s">
        <v>35</v>
      </c>
      <c r="G4" s="112" t="s">
        <v>36</v>
      </c>
      <c r="H4" s="112" t="s">
        <v>37</v>
      </c>
      <c r="I4" s="110" t="s">
        <v>35</v>
      </c>
      <c r="J4" s="112" t="s">
        <v>36</v>
      </c>
      <c r="K4" s="112" t="s">
        <v>37</v>
      </c>
      <c r="L4" s="110" t="s">
        <v>35</v>
      </c>
      <c r="M4" s="112" t="s">
        <v>36</v>
      </c>
      <c r="N4" s="112" t="s">
        <v>37</v>
      </c>
      <c r="O4" s="110" t="s">
        <v>35</v>
      </c>
      <c r="P4" s="112" t="s">
        <v>36</v>
      </c>
      <c r="Q4" s="112" t="s">
        <v>37</v>
      </c>
      <c r="R4" s="110" t="s">
        <v>35</v>
      </c>
      <c r="S4" s="113" t="s">
        <v>36</v>
      </c>
      <c r="T4" s="113" t="s">
        <v>37</v>
      </c>
      <c r="U4" s="110" t="s">
        <v>35</v>
      </c>
      <c r="V4" s="112" t="s">
        <v>36</v>
      </c>
      <c r="W4" s="112" t="s">
        <v>37</v>
      </c>
      <c r="X4" s="110" t="s">
        <v>35</v>
      </c>
      <c r="Y4" s="112" t="s">
        <v>36</v>
      </c>
      <c r="Z4" s="112" t="s">
        <v>37</v>
      </c>
      <c r="AA4" s="110" t="s">
        <v>35</v>
      </c>
      <c r="AB4" s="112" t="s">
        <v>36</v>
      </c>
      <c r="AC4" s="112" t="s">
        <v>37</v>
      </c>
      <c r="AD4" s="110" t="s">
        <v>35</v>
      </c>
      <c r="AE4" s="112" t="s">
        <v>36</v>
      </c>
      <c r="AF4" s="112" t="s">
        <v>37</v>
      </c>
      <c r="AG4" s="110" t="s">
        <v>35</v>
      </c>
      <c r="AH4" s="112" t="s">
        <v>36</v>
      </c>
      <c r="AI4" s="112" t="s">
        <v>37</v>
      </c>
      <c r="AJ4" s="110" t="s">
        <v>35</v>
      </c>
      <c r="AK4" s="112" t="s">
        <v>36</v>
      </c>
      <c r="AL4" s="112" t="s">
        <v>37</v>
      </c>
      <c r="AM4" s="695"/>
    </row>
    <row r="5" spans="2:62" ht="20.25" customHeight="1" x14ac:dyDescent="0.15">
      <c r="B5" s="696" t="s">
        <v>133</v>
      </c>
      <c r="C5" s="114"/>
      <c r="D5" s="13"/>
      <c r="E5" s="13"/>
      <c r="F5" s="13"/>
      <c r="G5" s="13"/>
      <c r="H5" s="13"/>
      <c r="I5" s="13"/>
      <c r="J5" s="13"/>
      <c r="K5" s="13"/>
      <c r="L5" s="13"/>
      <c r="M5" s="13"/>
      <c r="N5" s="90"/>
      <c r="O5" s="90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15"/>
    </row>
    <row r="6" spans="2:62" ht="20.25" customHeight="1" x14ac:dyDescent="0.15">
      <c r="B6" s="697"/>
      <c r="C6" s="114"/>
      <c r="D6" s="13"/>
      <c r="E6" s="13"/>
      <c r="F6" s="13"/>
      <c r="G6" s="13"/>
      <c r="H6" s="13"/>
      <c r="I6" s="13"/>
      <c r="J6" s="13"/>
      <c r="K6" s="13"/>
      <c r="M6" s="13"/>
      <c r="N6" s="13"/>
      <c r="O6" s="150" t="s">
        <v>452</v>
      </c>
      <c r="P6" s="411"/>
      <c r="Q6" s="411"/>
      <c r="R6" s="411" t="s">
        <v>292</v>
      </c>
      <c r="S6" s="411"/>
      <c r="T6" s="411"/>
      <c r="U6" s="411"/>
      <c r="V6" s="411"/>
      <c r="W6" s="411"/>
      <c r="X6" s="411"/>
      <c r="Y6" s="411"/>
      <c r="Z6" s="411"/>
      <c r="AA6" s="150"/>
      <c r="AB6" s="150"/>
      <c r="AC6" s="150"/>
      <c r="AD6" s="150"/>
      <c r="AE6" s="150"/>
      <c r="AF6" s="150"/>
      <c r="AG6" s="13"/>
      <c r="AH6" s="13"/>
      <c r="AI6" s="13"/>
      <c r="AJ6" s="13"/>
      <c r="AK6" s="13"/>
      <c r="AL6" s="13"/>
      <c r="AM6" s="115"/>
    </row>
    <row r="7" spans="2:62" ht="20.25" customHeight="1" x14ac:dyDescent="0.15">
      <c r="B7" s="698"/>
      <c r="C7" s="116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8"/>
    </row>
    <row r="8" spans="2:62" ht="20.25" customHeight="1" x14ac:dyDescent="0.15">
      <c r="B8" s="119" t="s">
        <v>329</v>
      </c>
      <c r="C8" s="120"/>
      <c r="D8" s="121"/>
      <c r="E8" s="121"/>
      <c r="F8" s="120"/>
      <c r="G8" s="121"/>
      <c r="H8" s="121"/>
      <c r="I8" s="120"/>
      <c r="J8" s="121"/>
      <c r="K8" s="121"/>
      <c r="L8" s="120"/>
      <c r="M8" s="121">
        <v>1.2</v>
      </c>
      <c r="N8" s="121">
        <v>1.4</v>
      </c>
      <c r="O8" s="120">
        <v>0.6</v>
      </c>
      <c r="P8" s="121"/>
      <c r="Q8" s="121"/>
      <c r="R8" s="120"/>
      <c r="S8" s="121"/>
      <c r="T8" s="121"/>
      <c r="U8" s="120"/>
      <c r="V8" s="121"/>
      <c r="W8" s="121"/>
      <c r="X8" s="120"/>
      <c r="Y8" s="121"/>
      <c r="Z8" s="121"/>
      <c r="AA8" s="120"/>
      <c r="AB8" s="121"/>
      <c r="AC8" s="121"/>
      <c r="AD8" s="120"/>
      <c r="AE8" s="121"/>
      <c r="AF8" s="121"/>
      <c r="AG8" s="120"/>
      <c r="AH8" s="121"/>
      <c r="AI8" s="121"/>
      <c r="AJ8" s="120"/>
      <c r="AK8" s="121"/>
      <c r="AL8" s="121"/>
      <c r="AM8" s="122">
        <f>SUM(C8:AL8)</f>
        <v>3.1999999999999997</v>
      </c>
      <c r="AO8" s="401"/>
      <c r="AP8" s="401">
        <v>3.2</v>
      </c>
      <c r="AQ8" s="402">
        <f>SUM(AO8:AP8)</f>
        <v>3.2</v>
      </c>
    </row>
    <row r="9" spans="2:62" ht="20.25" customHeight="1" x14ac:dyDescent="0.15">
      <c r="B9" s="119" t="s">
        <v>330</v>
      </c>
      <c r="C9" s="120"/>
      <c r="D9" s="121"/>
      <c r="E9" s="121"/>
      <c r="F9" s="120"/>
      <c r="G9" s="121"/>
      <c r="H9" s="121"/>
      <c r="I9" s="120"/>
      <c r="J9" s="121"/>
      <c r="K9" s="121"/>
      <c r="L9" s="120"/>
      <c r="M9" s="121"/>
      <c r="N9" s="121"/>
      <c r="O9" s="120">
        <v>2.2000000000000002</v>
      </c>
      <c r="P9" s="121">
        <v>3.6</v>
      </c>
      <c r="Q9" s="121">
        <v>5.2</v>
      </c>
      <c r="R9" s="120">
        <v>3</v>
      </c>
      <c r="S9" s="121"/>
      <c r="T9" s="121"/>
      <c r="U9" s="120"/>
      <c r="V9" s="121"/>
      <c r="W9" s="121"/>
      <c r="X9" s="120"/>
      <c r="Y9" s="121"/>
      <c r="Z9" s="121"/>
      <c r="AA9" s="120"/>
      <c r="AB9" s="121"/>
      <c r="AC9" s="121"/>
      <c r="AD9" s="120"/>
      <c r="AE9" s="121"/>
      <c r="AF9" s="121"/>
      <c r="AG9" s="120"/>
      <c r="AH9" s="121"/>
      <c r="AI9" s="121"/>
      <c r="AJ9" s="120"/>
      <c r="AK9" s="121"/>
      <c r="AL9" s="121"/>
      <c r="AM9" s="122">
        <f t="shared" ref="AM9:AM19" si="0">SUM(C9:AL9)</f>
        <v>14</v>
      </c>
      <c r="AO9" s="401"/>
      <c r="AP9" s="401">
        <f>6.4+4.3+3.3</f>
        <v>14</v>
      </c>
      <c r="AQ9" s="402">
        <f t="shared" ref="AQ9:AQ19" si="1">SUM(AO9:AP9)</f>
        <v>14</v>
      </c>
    </row>
    <row r="10" spans="2:62" ht="20.25" customHeight="1" x14ac:dyDescent="0.15">
      <c r="B10" s="119" t="s">
        <v>331</v>
      </c>
      <c r="C10" s="120"/>
      <c r="D10" s="121"/>
      <c r="E10" s="121"/>
      <c r="F10" s="120"/>
      <c r="G10" s="121"/>
      <c r="H10" s="121"/>
      <c r="I10" s="120"/>
      <c r="J10" s="121"/>
      <c r="K10" s="121"/>
      <c r="L10" s="120"/>
      <c r="M10" s="121"/>
      <c r="N10" s="121">
        <v>6.5</v>
      </c>
      <c r="O10" s="120">
        <v>6</v>
      </c>
      <c r="P10" s="121">
        <v>2.2000000000000002</v>
      </c>
      <c r="Q10" s="121"/>
      <c r="R10" s="120"/>
      <c r="S10" s="121"/>
      <c r="T10" s="121"/>
      <c r="U10" s="120"/>
      <c r="V10" s="121"/>
      <c r="W10" s="121"/>
      <c r="X10" s="120"/>
      <c r="Y10" s="121"/>
      <c r="Z10" s="121"/>
      <c r="AA10" s="120"/>
      <c r="AB10" s="121"/>
      <c r="AC10" s="121"/>
      <c r="AD10" s="120"/>
      <c r="AE10" s="121"/>
      <c r="AF10" s="121"/>
      <c r="AG10" s="120"/>
      <c r="AH10" s="121"/>
      <c r="AI10" s="121"/>
      <c r="AJ10" s="120"/>
      <c r="AK10" s="121"/>
      <c r="AL10" s="121"/>
      <c r="AM10" s="122">
        <f t="shared" si="0"/>
        <v>14.7</v>
      </c>
      <c r="AO10" s="401">
        <f>8.2+6.5</f>
        <v>14.7</v>
      </c>
      <c r="AP10" s="401"/>
      <c r="AQ10" s="402">
        <f t="shared" si="1"/>
        <v>14.7</v>
      </c>
    </row>
    <row r="11" spans="2:62" ht="20.25" customHeight="1" x14ac:dyDescent="0.15">
      <c r="B11" s="119" t="s">
        <v>307</v>
      </c>
      <c r="C11" s="120"/>
      <c r="D11" s="121"/>
      <c r="E11" s="121"/>
      <c r="F11" s="120"/>
      <c r="G11" s="121"/>
      <c r="H11" s="121"/>
      <c r="I11" s="120"/>
      <c r="J11" s="121"/>
      <c r="K11" s="121"/>
      <c r="L11" s="120"/>
      <c r="M11" s="121"/>
      <c r="N11" s="121"/>
      <c r="O11" s="120"/>
      <c r="P11" s="121"/>
      <c r="Q11" s="121">
        <v>2.8</v>
      </c>
      <c r="R11" s="120">
        <v>2.2000000000000002</v>
      </c>
      <c r="S11" s="121"/>
      <c r="T11" s="121"/>
      <c r="U11" s="120"/>
      <c r="V11" s="121"/>
      <c r="W11" s="121"/>
      <c r="X11" s="120"/>
      <c r="Y11" s="121"/>
      <c r="Z11" s="121"/>
      <c r="AA11" s="120"/>
      <c r="AB11" s="121"/>
      <c r="AC11" s="121"/>
      <c r="AD11" s="120"/>
      <c r="AE11" s="121"/>
      <c r="AF11" s="121"/>
      <c r="AG11" s="120"/>
      <c r="AH11" s="121"/>
      <c r="AI11" s="121"/>
      <c r="AJ11" s="120"/>
      <c r="AK11" s="121"/>
      <c r="AL11" s="121"/>
      <c r="AM11" s="122">
        <f t="shared" si="0"/>
        <v>5</v>
      </c>
      <c r="AO11" s="401">
        <v>5</v>
      </c>
      <c r="AP11" s="401"/>
      <c r="AQ11" s="402">
        <f t="shared" si="1"/>
        <v>5</v>
      </c>
    </row>
    <row r="12" spans="2:62" ht="20.25" customHeight="1" x14ac:dyDescent="0.15">
      <c r="B12" s="119" t="s">
        <v>332</v>
      </c>
      <c r="C12" s="120"/>
      <c r="D12" s="121"/>
      <c r="E12" s="121"/>
      <c r="F12" s="120"/>
      <c r="G12" s="121"/>
      <c r="H12" s="121"/>
      <c r="I12" s="120"/>
      <c r="J12" s="121"/>
      <c r="K12" s="121"/>
      <c r="L12" s="120"/>
      <c r="M12" s="121"/>
      <c r="N12" s="121"/>
      <c r="O12" s="120"/>
      <c r="P12" s="121"/>
      <c r="Q12" s="121">
        <v>3.2</v>
      </c>
      <c r="R12" s="120">
        <v>13</v>
      </c>
      <c r="S12" s="121">
        <v>1.4</v>
      </c>
      <c r="T12" s="121"/>
      <c r="U12" s="120"/>
      <c r="V12" s="121"/>
      <c r="W12" s="121"/>
      <c r="X12" s="120"/>
      <c r="Y12" s="121"/>
      <c r="Z12" s="121"/>
      <c r="AA12" s="120"/>
      <c r="AB12" s="121"/>
      <c r="AC12" s="121"/>
      <c r="AD12" s="120"/>
      <c r="AE12" s="121"/>
      <c r="AF12" s="121"/>
      <c r="AG12" s="120"/>
      <c r="AH12" s="121"/>
      <c r="AI12" s="121"/>
      <c r="AJ12" s="120"/>
      <c r="AK12" s="121"/>
      <c r="AL12" s="121"/>
      <c r="AM12" s="122">
        <f t="shared" si="0"/>
        <v>17.599999999999998</v>
      </c>
      <c r="AO12" s="401">
        <v>4.4000000000000004</v>
      </c>
      <c r="AP12" s="401">
        <f>4.4+8.8</f>
        <v>13.200000000000001</v>
      </c>
      <c r="AQ12" s="402">
        <f t="shared" si="1"/>
        <v>17.600000000000001</v>
      </c>
    </row>
    <row r="13" spans="2:62" ht="20.25" customHeight="1" x14ac:dyDescent="0.15">
      <c r="B13" s="119" t="s">
        <v>333</v>
      </c>
      <c r="C13" s="120"/>
      <c r="D13" s="121"/>
      <c r="E13" s="121"/>
      <c r="F13" s="120"/>
      <c r="G13" s="121"/>
      <c r="H13" s="121"/>
      <c r="I13" s="120"/>
      <c r="J13" s="121"/>
      <c r="K13" s="121"/>
      <c r="L13" s="120"/>
      <c r="M13" s="121"/>
      <c r="N13" s="121"/>
      <c r="O13" s="120"/>
      <c r="P13" s="121"/>
      <c r="Q13" s="121"/>
      <c r="R13" s="120"/>
      <c r="S13" s="121"/>
      <c r="T13" s="121"/>
      <c r="U13" s="120"/>
      <c r="V13" s="121"/>
      <c r="W13" s="121"/>
      <c r="X13" s="120"/>
      <c r="Y13" s="121"/>
      <c r="Z13" s="121"/>
      <c r="AA13" s="120"/>
      <c r="AB13" s="121"/>
      <c r="AC13" s="121"/>
      <c r="AD13" s="120"/>
      <c r="AE13" s="121"/>
      <c r="AF13" s="121"/>
      <c r="AG13" s="120"/>
      <c r="AH13" s="121"/>
      <c r="AI13" s="121"/>
      <c r="AJ13" s="120"/>
      <c r="AK13" s="121"/>
      <c r="AL13" s="121"/>
      <c r="AM13" s="122">
        <f t="shared" si="0"/>
        <v>0</v>
      </c>
      <c r="AO13" s="401"/>
      <c r="AP13" s="401"/>
      <c r="AQ13" s="402">
        <f t="shared" si="1"/>
        <v>0</v>
      </c>
    </row>
    <row r="14" spans="2:62" ht="20.25" customHeight="1" x14ac:dyDescent="0.15">
      <c r="B14" s="119" t="s">
        <v>334</v>
      </c>
      <c r="C14" s="120"/>
      <c r="D14" s="121"/>
      <c r="E14" s="121"/>
      <c r="F14" s="120"/>
      <c r="G14" s="121"/>
      <c r="H14" s="121"/>
      <c r="I14" s="120"/>
      <c r="J14" s="121"/>
      <c r="K14" s="121"/>
      <c r="L14" s="120"/>
      <c r="M14" s="121"/>
      <c r="N14" s="121"/>
      <c r="O14" s="120"/>
      <c r="P14" s="121"/>
      <c r="Q14" s="121"/>
      <c r="R14" s="120"/>
      <c r="S14" s="121"/>
      <c r="T14" s="121"/>
      <c r="U14" s="120"/>
      <c r="V14" s="121"/>
      <c r="W14" s="121"/>
      <c r="X14" s="120"/>
      <c r="Y14" s="121"/>
      <c r="Z14" s="121"/>
      <c r="AA14" s="120"/>
      <c r="AB14" s="121"/>
      <c r="AC14" s="121"/>
      <c r="AD14" s="120"/>
      <c r="AE14" s="121"/>
      <c r="AF14" s="121"/>
      <c r="AG14" s="120"/>
      <c r="AH14" s="121"/>
      <c r="AI14" s="121"/>
      <c r="AJ14" s="120"/>
      <c r="AK14" s="121"/>
      <c r="AL14" s="121"/>
      <c r="AM14" s="122">
        <f t="shared" si="0"/>
        <v>0</v>
      </c>
      <c r="AO14" s="401"/>
      <c r="AP14" s="401"/>
      <c r="AQ14" s="402">
        <f t="shared" si="1"/>
        <v>0</v>
      </c>
    </row>
    <row r="15" spans="2:62" ht="20.25" customHeight="1" x14ac:dyDescent="0.15">
      <c r="B15" s="119" t="s">
        <v>335</v>
      </c>
      <c r="C15" s="120"/>
      <c r="D15" s="121"/>
      <c r="E15" s="121"/>
      <c r="F15" s="120"/>
      <c r="G15" s="121"/>
      <c r="H15" s="121"/>
      <c r="I15" s="120"/>
      <c r="J15" s="121"/>
      <c r="K15" s="121"/>
      <c r="L15" s="120"/>
      <c r="M15" s="121"/>
      <c r="N15" s="121"/>
      <c r="O15" s="120"/>
      <c r="P15" s="121"/>
      <c r="Q15" s="121"/>
      <c r="R15" s="120"/>
      <c r="S15" s="121"/>
      <c r="T15" s="121"/>
      <c r="U15" s="120"/>
      <c r="V15" s="121"/>
      <c r="W15" s="121"/>
      <c r="X15" s="120"/>
      <c r="Y15" s="121"/>
      <c r="Z15" s="121"/>
      <c r="AA15" s="120"/>
      <c r="AB15" s="121"/>
      <c r="AC15" s="121"/>
      <c r="AD15" s="120"/>
      <c r="AE15" s="121"/>
      <c r="AF15" s="121"/>
      <c r="AG15" s="120"/>
      <c r="AH15" s="121"/>
      <c r="AI15" s="121"/>
      <c r="AJ15" s="120"/>
      <c r="AK15" s="121"/>
      <c r="AL15" s="121"/>
      <c r="AM15" s="122">
        <f t="shared" si="0"/>
        <v>0</v>
      </c>
      <c r="AO15" s="401">
        <v>1.7</v>
      </c>
      <c r="AP15" s="401">
        <v>5.0999999999999996</v>
      </c>
      <c r="AQ15" s="402">
        <f t="shared" si="1"/>
        <v>6.8</v>
      </c>
    </row>
    <row r="16" spans="2:62" ht="20.25" customHeight="1" x14ac:dyDescent="0.15">
      <c r="B16" s="119" t="s">
        <v>336</v>
      </c>
      <c r="C16" s="120"/>
      <c r="D16" s="121"/>
      <c r="E16" s="121"/>
      <c r="F16" s="120"/>
      <c r="G16" s="121"/>
      <c r="H16" s="121"/>
      <c r="I16" s="120"/>
      <c r="J16" s="121"/>
      <c r="K16" s="121"/>
      <c r="L16" s="120"/>
      <c r="M16" s="121"/>
      <c r="N16" s="121"/>
      <c r="O16" s="120"/>
      <c r="P16" s="121"/>
      <c r="Q16" s="121"/>
      <c r="R16" s="120"/>
      <c r="S16" s="121"/>
      <c r="T16" s="121"/>
      <c r="U16" s="120"/>
      <c r="V16" s="121"/>
      <c r="W16" s="121"/>
      <c r="X16" s="120"/>
      <c r="Y16" s="121"/>
      <c r="Z16" s="121"/>
      <c r="AA16" s="120">
        <v>7.8</v>
      </c>
      <c r="AB16" s="121">
        <v>8.1999999999999993</v>
      </c>
      <c r="AC16" s="121">
        <v>4.7</v>
      </c>
      <c r="AD16" s="120"/>
      <c r="AE16" s="121"/>
      <c r="AF16" s="121"/>
      <c r="AG16" s="120"/>
      <c r="AH16" s="121"/>
      <c r="AI16" s="121"/>
      <c r="AJ16" s="120"/>
      <c r="AK16" s="121"/>
      <c r="AL16" s="121"/>
      <c r="AM16" s="122">
        <f t="shared" si="0"/>
        <v>20.7</v>
      </c>
      <c r="AO16" s="401">
        <v>6.9</v>
      </c>
      <c r="AP16" s="401">
        <v>13.8</v>
      </c>
      <c r="AQ16" s="402">
        <f t="shared" si="1"/>
        <v>20.700000000000003</v>
      </c>
    </row>
    <row r="17" spans="2:43" ht="20.25" customHeight="1" x14ac:dyDescent="0.15">
      <c r="B17" s="119" t="s">
        <v>337</v>
      </c>
      <c r="C17" s="120"/>
      <c r="D17" s="121"/>
      <c r="E17" s="121"/>
      <c r="F17" s="120"/>
      <c r="G17" s="121"/>
      <c r="H17" s="121"/>
      <c r="I17" s="120"/>
      <c r="J17" s="121"/>
      <c r="K17" s="121"/>
      <c r="L17" s="120"/>
      <c r="M17" s="121"/>
      <c r="N17" s="121"/>
      <c r="O17" s="120"/>
      <c r="P17" s="121"/>
      <c r="Q17" s="121"/>
      <c r="R17" s="120"/>
      <c r="S17" s="121"/>
      <c r="T17" s="121"/>
      <c r="U17" s="120"/>
      <c r="V17" s="121"/>
      <c r="W17" s="121"/>
      <c r="X17" s="120"/>
      <c r="Y17" s="121"/>
      <c r="Z17" s="121"/>
      <c r="AA17" s="120"/>
      <c r="AB17" s="121"/>
      <c r="AC17" s="121"/>
      <c r="AD17" s="120"/>
      <c r="AE17" s="121"/>
      <c r="AF17" s="121"/>
      <c r="AG17" s="120"/>
      <c r="AH17" s="121"/>
      <c r="AI17" s="121"/>
      <c r="AJ17" s="120"/>
      <c r="AK17" s="121"/>
      <c r="AL17" s="121"/>
      <c r="AM17" s="122">
        <f t="shared" si="0"/>
        <v>0</v>
      </c>
      <c r="AO17" s="401"/>
      <c r="AP17" s="401">
        <v>9.5</v>
      </c>
      <c r="AQ17" s="402">
        <f t="shared" si="1"/>
        <v>9.5</v>
      </c>
    </row>
    <row r="18" spans="2:43" ht="20.25" customHeight="1" x14ac:dyDescent="0.15">
      <c r="B18" s="119" t="s">
        <v>338</v>
      </c>
      <c r="C18" s="120"/>
      <c r="D18" s="121"/>
      <c r="E18" s="121"/>
      <c r="F18" s="120"/>
      <c r="G18" s="121"/>
      <c r="H18" s="121"/>
      <c r="I18" s="120"/>
      <c r="J18" s="121"/>
      <c r="K18" s="121"/>
      <c r="L18" s="120"/>
      <c r="M18" s="121"/>
      <c r="N18" s="121"/>
      <c r="O18" s="120"/>
      <c r="P18" s="121"/>
      <c r="Q18" s="121"/>
      <c r="R18" s="120"/>
      <c r="S18" s="121"/>
      <c r="T18" s="121"/>
      <c r="U18" s="120"/>
      <c r="V18" s="121"/>
      <c r="W18" s="121"/>
      <c r="X18" s="120"/>
      <c r="Y18" s="121"/>
      <c r="Z18" s="121"/>
      <c r="AA18" s="120"/>
      <c r="AB18" s="121"/>
      <c r="AC18" s="121"/>
      <c r="AD18" s="120"/>
      <c r="AE18" s="121"/>
      <c r="AF18" s="121">
        <v>0.4</v>
      </c>
      <c r="AG18" s="120">
        <v>1</v>
      </c>
      <c r="AH18" s="121">
        <v>0.8</v>
      </c>
      <c r="AI18" s="121">
        <v>0.2</v>
      </c>
      <c r="AJ18" s="120"/>
      <c r="AK18" s="121"/>
      <c r="AL18" s="121"/>
      <c r="AM18" s="122">
        <f t="shared" si="0"/>
        <v>2.4000000000000004</v>
      </c>
      <c r="AO18" s="401">
        <v>1.2</v>
      </c>
      <c r="AP18" s="401">
        <v>1.2</v>
      </c>
      <c r="AQ18" s="402">
        <f t="shared" si="1"/>
        <v>2.4</v>
      </c>
    </row>
    <row r="19" spans="2:43" ht="20.25" customHeight="1" x14ac:dyDescent="0.15">
      <c r="B19" s="119" t="s">
        <v>193</v>
      </c>
      <c r="C19" s="120"/>
      <c r="D19" s="121"/>
      <c r="E19" s="121"/>
      <c r="F19" s="120"/>
      <c r="G19" s="121"/>
      <c r="H19" s="121"/>
      <c r="I19" s="120">
        <v>1</v>
      </c>
      <c r="J19" s="121"/>
      <c r="K19" s="121"/>
      <c r="L19" s="120"/>
      <c r="M19" s="121"/>
      <c r="N19" s="121"/>
      <c r="O19" s="120"/>
      <c r="P19" s="121"/>
      <c r="Q19" s="121"/>
      <c r="R19" s="120"/>
      <c r="S19" s="121"/>
      <c r="T19" s="121"/>
      <c r="U19" s="120"/>
      <c r="V19" s="121"/>
      <c r="W19" s="121"/>
      <c r="X19" s="120"/>
      <c r="Y19" s="121"/>
      <c r="Z19" s="121"/>
      <c r="AA19" s="120"/>
      <c r="AB19" s="121"/>
      <c r="AC19" s="121"/>
      <c r="AD19" s="120"/>
      <c r="AE19" s="121"/>
      <c r="AF19" s="121"/>
      <c r="AG19" s="120"/>
      <c r="AH19" s="121"/>
      <c r="AI19" s="121"/>
      <c r="AJ19" s="120">
        <v>1</v>
      </c>
      <c r="AK19" s="121"/>
      <c r="AL19" s="121"/>
      <c r="AM19" s="122">
        <f t="shared" si="0"/>
        <v>2</v>
      </c>
      <c r="AO19" s="401"/>
      <c r="AP19" s="401">
        <v>2</v>
      </c>
      <c r="AQ19" s="402">
        <f t="shared" si="1"/>
        <v>2</v>
      </c>
    </row>
    <row r="20" spans="2:43" ht="20.25" customHeight="1" x14ac:dyDescent="0.15">
      <c r="B20" s="119"/>
      <c r="C20" s="120"/>
      <c r="D20" s="121"/>
      <c r="E20" s="121"/>
      <c r="F20" s="120"/>
      <c r="G20" s="121"/>
      <c r="H20" s="121"/>
      <c r="I20" s="120"/>
      <c r="J20" s="121"/>
      <c r="K20" s="121"/>
      <c r="L20" s="120"/>
      <c r="M20" s="121"/>
      <c r="N20" s="121"/>
      <c r="O20" s="120"/>
      <c r="P20" s="121"/>
      <c r="Q20" s="121"/>
      <c r="R20" s="120"/>
      <c r="S20" s="121"/>
      <c r="T20" s="121"/>
      <c r="U20" s="120"/>
      <c r="V20" s="121"/>
      <c r="W20" s="121"/>
      <c r="X20" s="120"/>
      <c r="Y20" s="121"/>
      <c r="Z20" s="121"/>
      <c r="AA20" s="120"/>
      <c r="AB20" s="121"/>
      <c r="AC20" s="121"/>
      <c r="AD20" s="120"/>
      <c r="AE20" s="121"/>
      <c r="AF20" s="121"/>
      <c r="AG20" s="120"/>
      <c r="AH20" s="121"/>
      <c r="AI20" s="121"/>
      <c r="AJ20" s="120"/>
      <c r="AK20" s="121"/>
      <c r="AL20" s="121"/>
      <c r="AM20" s="122">
        <f t="shared" ref="AM20:AM33" si="2">SUM(C20:AL20)</f>
        <v>0</v>
      </c>
      <c r="AO20" s="89"/>
      <c r="AP20" s="89"/>
      <c r="AQ20" s="89">
        <f t="shared" ref="AQ20:AQ34" si="3">SUM(AO20:AP20)</f>
        <v>0</v>
      </c>
    </row>
    <row r="21" spans="2:43" ht="20.25" customHeight="1" x14ac:dyDescent="0.15">
      <c r="B21" s="119"/>
      <c r="C21" s="120"/>
      <c r="D21" s="121"/>
      <c r="E21" s="121"/>
      <c r="F21" s="120"/>
      <c r="G21" s="121"/>
      <c r="H21" s="121"/>
      <c r="I21" s="120"/>
      <c r="J21" s="121"/>
      <c r="K21" s="121"/>
      <c r="L21" s="120"/>
      <c r="M21" s="121"/>
      <c r="N21" s="121"/>
      <c r="O21" s="120"/>
      <c r="P21" s="121"/>
      <c r="Q21" s="121"/>
      <c r="R21" s="120"/>
      <c r="S21" s="121"/>
      <c r="T21" s="121"/>
      <c r="U21" s="120"/>
      <c r="V21" s="121"/>
      <c r="W21" s="121"/>
      <c r="X21" s="120"/>
      <c r="Y21" s="121"/>
      <c r="Z21" s="121"/>
      <c r="AA21" s="120"/>
      <c r="AB21" s="121"/>
      <c r="AC21" s="121"/>
      <c r="AD21" s="120"/>
      <c r="AE21" s="121"/>
      <c r="AF21" s="121"/>
      <c r="AG21" s="120"/>
      <c r="AH21" s="121"/>
      <c r="AI21" s="121"/>
      <c r="AJ21" s="120"/>
      <c r="AK21" s="121"/>
      <c r="AL21" s="121"/>
      <c r="AM21" s="122">
        <f t="shared" si="2"/>
        <v>0</v>
      </c>
      <c r="AO21" s="89"/>
      <c r="AP21" s="89"/>
      <c r="AQ21" s="89">
        <f t="shared" si="3"/>
        <v>0</v>
      </c>
    </row>
    <row r="22" spans="2:43" ht="20.25" customHeight="1" x14ac:dyDescent="0.15">
      <c r="B22" s="119"/>
      <c r="C22" s="120"/>
      <c r="D22" s="121"/>
      <c r="E22" s="121"/>
      <c r="F22" s="120"/>
      <c r="G22" s="121"/>
      <c r="H22" s="121"/>
      <c r="I22" s="120"/>
      <c r="J22" s="121"/>
      <c r="K22" s="121"/>
      <c r="L22" s="120"/>
      <c r="M22" s="121"/>
      <c r="N22" s="121"/>
      <c r="O22" s="120"/>
      <c r="P22" s="121"/>
      <c r="Q22" s="121"/>
      <c r="R22" s="120"/>
      <c r="S22" s="121"/>
      <c r="T22" s="121"/>
      <c r="U22" s="120"/>
      <c r="V22" s="121"/>
      <c r="W22" s="121"/>
      <c r="X22" s="120"/>
      <c r="Y22" s="121"/>
      <c r="Z22" s="121"/>
      <c r="AA22" s="120"/>
      <c r="AB22" s="121"/>
      <c r="AC22" s="121"/>
      <c r="AD22" s="120"/>
      <c r="AE22" s="121"/>
      <c r="AF22" s="121"/>
      <c r="AG22" s="120"/>
      <c r="AH22" s="121"/>
      <c r="AI22" s="121"/>
      <c r="AJ22" s="120"/>
      <c r="AK22" s="121"/>
      <c r="AL22" s="121"/>
      <c r="AM22" s="122">
        <f t="shared" si="2"/>
        <v>0</v>
      </c>
      <c r="AO22" s="89"/>
      <c r="AP22" s="89"/>
      <c r="AQ22" s="89">
        <f t="shared" si="3"/>
        <v>0</v>
      </c>
    </row>
    <row r="23" spans="2:43" ht="20.25" customHeight="1" x14ac:dyDescent="0.15">
      <c r="B23" s="119"/>
      <c r="C23" s="120"/>
      <c r="D23" s="121"/>
      <c r="E23" s="121"/>
      <c r="F23" s="120"/>
      <c r="G23" s="121"/>
      <c r="H23" s="121"/>
      <c r="I23" s="120"/>
      <c r="J23" s="121"/>
      <c r="K23" s="121"/>
      <c r="L23" s="120"/>
      <c r="M23" s="121"/>
      <c r="N23" s="121"/>
      <c r="O23" s="120"/>
      <c r="P23" s="121"/>
      <c r="Q23" s="121"/>
      <c r="R23" s="120"/>
      <c r="S23" s="121"/>
      <c r="T23" s="121"/>
      <c r="U23" s="120"/>
      <c r="V23" s="121"/>
      <c r="W23" s="121"/>
      <c r="X23" s="120"/>
      <c r="Y23" s="121"/>
      <c r="Z23" s="121"/>
      <c r="AA23" s="120"/>
      <c r="AB23" s="121"/>
      <c r="AC23" s="121"/>
      <c r="AD23" s="120"/>
      <c r="AE23" s="121"/>
      <c r="AF23" s="121"/>
      <c r="AG23" s="120"/>
      <c r="AH23" s="121"/>
      <c r="AI23" s="121"/>
      <c r="AJ23" s="120"/>
      <c r="AK23" s="121"/>
      <c r="AL23" s="121"/>
      <c r="AM23" s="122">
        <f t="shared" si="2"/>
        <v>0</v>
      </c>
      <c r="AO23" s="89"/>
      <c r="AP23" s="89"/>
      <c r="AQ23" s="89">
        <f t="shared" si="3"/>
        <v>0</v>
      </c>
    </row>
    <row r="24" spans="2:43" ht="20.100000000000001" customHeight="1" x14ac:dyDescent="0.15">
      <c r="B24" s="119"/>
      <c r="C24" s="120"/>
      <c r="D24" s="121"/>
      <c r="E24" s="121"/>
      <c r="F24" s="120"/>
      <c r="G24" s="121"/>
      <c r="H24" s="121"/>
      <c r="I24" s="120"/>
      <c r="J24" s="121"/>
      <c r="K24" s="121"/>
      <c r="L24" s="120"/>
      <c r="M24" s="121"/>
      <c r="N24" s="121"/>
      <c r="O24" s="120"/>
      <c r="P24" s="121"/>
      <c r="Q24" s="121"/>
      <c r="R24" s="120"/>
      <c r="S24" s="121"/>
      <c r="T24" s="121"/>
      <c r="U24" s="120"/>
      <c r="V24" s="121"/>
      <c r="W24" s="121"/>
      <c r="X24" s="120"/>
      <c r="Y24" s="121"/>
      <c r="Z24" s="121"/>
      <c r="AA24" s="120"/>
      <c r="AB24" s="121"/>
      <c r="AC24" s="121"/>
      <c r="AD24" s="120"/>
      <c r="AE24" s="121"/>
      <c r="AF24" s="121"/>
      <c r="AG24" s="120"/>
      <c r="AH24" s="121"/>
      <c r="AI24" s="121"/>
      <c r="AJ24" s="120"/>
      <c r="AK24" s="121"/>
      <c r="AL24" s="121"/>
      <c r="AM24" s="122">
        <f t="shared" si="2"/>
        <v>0</v>
      </c>
      <c r="AO24" s="89"/>
      <c r="AP24" s="89"/>
      <c r="AQ24" s="89">
        <f t="shared" si="3"/>
        <v>0</v>
      </c>
    </row>
    <row r="25" spans="2:43" ht="20.100000000000001" customHeight="1" x14ac:dyDescent="0.15">
      <c r="B25" s="119"/>
      <c r="C25" s="120"/>
      <c r="D25" s="121"/>
      <c r="E25" s="121"/>
      <c r="F25" s="120"/>
      <c r="G25" s="121"/>
      <c r="H25" s="121"/>
      <c r="I25" s="120"/>
      <c r="J25" s="121"/>
      <c r="K25" s="121"/>
      <c r="L25" s="120"/>
      <c r="M25" s="121"/>
      <c r="N25" s="121"/>
      <c r="O25" s="120"/>
      <c r="P25" s="121"/>
      <c r="Q25" s="121"/>
      <c r="R25" s="120"/>
      <c r="S25" s="121"/>
      <c r="T25" s="121"/>
      <c r="U25" s="120"/>
      <c r="V25" s="121"/>
      <c r="W25" s="121"/>
      <c r="X25" s="120"/>
      <c r="Y25" s="121"/>
      <c r="Z25" s="121"/>
      <c r="AA25" s="120"/>
      <c r="AB25" s="121"/>
      <c r="AC25" s="121"/>
      <c r="AD25" s="120"/>
      <c r="AE25" s="121"/>
      <c r="AF25" s="121"/>
      <c r="AG25" s="120"/>
      <c r="AH25" s="121"/>
      <c r="AI25" s="121"/>
      <c r="AJ25" s="120"/>
      <c r="AK25" s="121"/>
      <c r="AL25" s="121"/>
      <c r="AM25" s="122">
        <f t="shared" si="2"/>
        <v>0</v>
      </c>
      <c r="AO25" s="89"/>
      <c r="AP25" s="89"/>
      <c r="AQ25" s="89">
        <f t="shared" si="3"/>
        <v>0</v>
      </c>
    </row>
    <row r="26" spans="2:43" ht="20.100000000000001" customHeight="1" x14ac:dyDescent="0.15">
      <c r="B26" s="119"/>
      <c r="C26" s="120"/>
      <c r="D26" s="121"/>
      <c r="E26" s="121"/>
      <c r="F26" s="120"/>
      <c r="G26" s="121"/>
      <c r="H26" s="121"/>
      <c r="I26" s="120"/>
      <c r="J26" s="121"/>
      <c r="K26" s="121"/>
      <c r="L26" s="120"/>
      <c r="M26" s="121"/>
      <c r="N26" s="121"/>
      <c r="O26" s="120"/>
      <c r="P26" s="121"/>
      <c r="Q26" s="121"/>
      <c r="R26" s="120"/>
      <c r="S26" s="121"/>
      <c r="T26" s="121"/>
      <c r="U26" s="120"/>
      <c r="V26" s="121"/>
      <c r="W26" s="121"/>
      <c r="X26" s="120"/>
      <c r="Y26" s="121"/>
      <c r="Z26" s="121"/>
      <c r="AA26" s="120"/>
      <c r="AB26" s="121"/>
      <c r="AC26" s="121"/>
      <c r="AD26" s="120"/>
      <c r="AE26" s="121"/>
      <c r="AF26" s="121"/>
      <c r="AG26" s="120"/>
      <c r="AH26" s="121"/>
      <c r="AI26" s="121"/>
      <c r="AJ26" s="120"/>
      <c r="AK26" s="121"/>
      <c r="AL26" s="121"/>
      <c r="AM26" s="122" t="s">
        <v>487</v>
      </c>
      <c r="AO26" s="89"/>
      <c r="AP26" s="89"/>
      <c r="AQ26" s="89">
        <f t="shared" si="3"/>
        <v>0</v>
      </c>
    </row>
    <row r="27" spans="2:43" ht="20.100000000000001" customHeight="1" x14ac:dyDescent="0.15">
      <c r="B27" s="119"/>
      <c r="C27" s="120"/>
      <c r="D27" s="121"/>
      <c r="E27" s="121"/>
      <c r="F27" s="120"/>
      <c r="G27" s="121"/>
      <c r="H27" s="121"/>
      <c r="I27" s="120"/>
      <c r="J27" s="121"/>
      <c r="K27" s="121"/>
      <c r="L27" s="120"/>
      <c r="M27" s="121"/>
      <c r="N27" s="121"/>
      <c r="O27" s="120"/>
      <c r="P27" s="121"/>
      <c r="Q27" s="121"/>
      <c r="R27" s="120"/>
      <c r="S27" s="121"/>
      <c r="T27" s="121"/>
      <c r="U27" s="120"/>
      <c r="V27" s="121"/>
      <c r="W27" s="121"/>
      <c r="X27" s="120"/>
      <c r="Y27" s="121"/>
      <c r="Z27" s="121"/>
      <c r="AA27" s="120"/>
      <c r="AB27" s="121"/>
      <c r="AC27" s="121"/>
      <c r="AD27" s="120"/>
      <c r="AE27" s="121"/>
      <c r="AF27" s="121"/>
      <c r="AG27" s="120"/>
      <c r="AH27" s="121"/>
      <c r="AI27" s="121"/>
      <c r="AJ27" s="120"/>
      <c r="AK27" s="121"/>
      <c r="AL27" s="121"/>
      <c r="AM27" s="122">
        <f t="shared" si="2"/>
        <v>0</v>
      </c>
      <c r="AO27" s="89"/>
      <c r="AP27" s="89"/>
      <c r="AQ27" s="89">
        <f t="shared" si="3"/>
        <v>0</v>
      </c>
    </row>
    <row r="28" spans="2:43" ht="20.100000000000001" customHeight="1" x14ac:dyDescent="0.15">
      <c r="B28" s="119"/>
      <c r="C28" s="120"/>
      <c r="D28" s="121"/>
      <c r="E28" s="121"/>
      <c r="F28" s="120"/>
      <c r="G28" s="121"/>
      <c r="H28" s="121"/>
      <c r="I28" s="120"/>
      <c r="J28" s="121"/>
      <c r="K28" s="121"/>
      <c r="L28" s="120"/>
      <c r="M28" s="121"/>
      <c r="N28" s="121"/>
      <c r="O28" s="120"/>
      <c r="P28" s="121"/>
      <c r="Q28" s="121"/>
      <c r="R28" s="120"/>
      <c r="S28" s="121"/>
      <c r="T28" s="121"/>
      <c r="U28" s="120"/>
      <c r="V28" s="121"/>
      <c r="W28" s="121"/>
      <c r="X28" s="120"/>
      <c r="Y28" s="121"/>
      <c r="Z28" s="121"/>
      <c r="AA28" s="120"/>
      <c r="AB28" s="121"/>
      <c r="AC28" s="121"/>
      <c r="AD28" s="120"/>
      <c r="AE28" s="121"/>
      <c r="AF28" s="121"/>
      <c r="AG28" s="120"/>
      <c r="AH28" s="121"/>
      <c r="AI28" s="121"/>
      <c r="AJ28" s="120"/>
      <c r="AK28" s="121"/>
      <c r="AL28" s="121"/>
      <c r="AM28" s="122">
        <f t="shared" si="2"/>
        <v>0</v>
      </c>
      <c r="AO28" s="89"/>
      <c r="AP28" s="89"/>
      <c r="AQ28" s="89">
        <f t="shared" si="3"/>
        <v>0</v>
      </c>
    </row>
    <row r="29" spans="2:43" ht="20.100000000000001" customHeight="1" x14ac:dyDescent="0.15">
      <c r="B29" s="119"/>
      <c r="C29" s="120"/>
      <c r="D29" s="121"/>
      <c r="E29" s="121"/>
      <c r="F29" s="120"/>
      <c r="G29" s="121"/>
      <c r="H29" s="121"/>
      <c r="I29" s="120"/>
      <c r="J29" s="121"/>
      <c r="K29" s="121"/>
      <c r="L29" s="120"/>
      <c r="M29" s="121"/>
      <c r="N29" s="121"/>
      <c r="O29" s="120"/>
      <c r="P29" s="121"/>
      <c r="Q29" s="121"/>
      <c r="R29" s="120"/>
      <c r="S29" s="121"/>
      <c r="T29" s="121"/>
      <c r="U29" s="120"/>
      <c r="V29" s="121"/>
      <c r="W29" s="121"/>
      <c r="X29" s="120"/>
      <c r="Y29" s="121"/>
      <c r="Z29" s="121"/>
      <c r="AA29" s="120"/>
      <c r="AB29" s="121"/>
      <c r="AC29" s="121"/>
      <c r="AD29" s="120"/>
      <c r="AE29" s="121"/>
      <c r="AF29" s="121"/>
      <c r="AG29" s="120"/>
      <c r="AH29" s="121"/>
      <c r="AI29" s="121"/>
      <c r="AJ29" s="120"/>
      <c r="AK29" s="121"/>
      <c r="AL29" s="121"/>
      <c r="AM29" s="122">
        <f t="shared" si="2"/>
        <v>0</v>
      </c>
      <c r="AO29" s="89"/>
      <c r="AP29" s="89"/>
      <c r="AQ29" s="89">
        <f t="shared" si="3"/>
        <v>0</v>
      </c>
    </row>
    <row r="30" spans="2:43" ht="20.100000000000001" customHeight="1" x14ac:dyDescent="0.15">
      <c r="B30" s="119"/>
      <c r="C30" s="120"/>
      <c r="D30" s="121"/>
      <c r="E30" s="121"/>
      <c r="F30" s="120"/>
      <c r="G30" s="121"/>
      <c r="H30" s="121"/>
      <c r="I30" s="120"/>
      <c r="J30" s="121"/>
      <c r="K30" s="121"/>
      <c r="L30" s="120"/>
      <c r="M30" s="121"/>
      <c r="N30" s="121"/>
      <c r="O30" s="120"/>
      <c r="P30" s="121"/>
      <c r="Q30" s="121"/>
      <c r="R30" s="120"/>
      <c r="S30" s="121"/>
      <c r="T30" s="121"/>
      <c r="U30" s="120"/>
      <c r="V30" s="121"/>
      <c r="W30" s="121"/>
      <c r="X30" s="120"/>
      <c r="Y30" s="121"/>
      <c r="Z30" s="121"/>
      <c r="AA30" s="120"/>
      <c r="AB30" s="121"/>
      <c r="AC30" s="121"/>
      <c r="AD30" s="120"/>
      <c r="AE30" s="121"/>
      <c r="AF30" s="121"/>
      <c r="AG30" s="120"/>
      <c r="AH30" s="121"/>
      <c r="AI30" s="121"/>
      <c r="AJ30" s="120"/>
      <c r="AK30" s="121"/>
      <c r="AL30" s="121"/>
      <c r="AM30" s="122">
        <f t="shared" si="2"/>
        <v>0</v>
      </c>
      <c r="AO30" s="89"/>
      <c r="AP30" s="89"/>
      <c r="AQ30" s="89">
        <f t="shared" si="3"/>
        <v>0</v>
      </c>
    </row>
    <row r="31" spans="2:43" ht="20.100000000000001" customHeight="1" x14ac:dyDescent="0.15">
      <c r="B31" s="119"/>
      <c r="C31" s="120"/>
      <c r="D31" s="121"/>
      <c r="E31" s="121"/>
      <c r="F31" s="120"/>
      <c r="G31" s="121"/>
      <c r="H31" s="121"/>
      <c r="I31" s="120"/>
      <c r="J31" s="121"/>
      <c r="K31" s="121"/>
      <c r="L31" s="120"/>
      <c r="M31" s="121"/>
      <c r="N31" s="121"/>
      <c r="O31" s="120"/>
      <c r="P31" s="121"/>
      <c r="Q31" s="121"/>
      <c r="R31" s="120"/>
      <c r="S31" s="121"/>
      <c r="T31" s="121"/>
      <c r="U31" s="120"/>
      <c r="V31" s="121"/>
      <c r="W31" s="121"/>
      <c r="X31" s="120"/>
      <c r="Y31" s="121"/>
      <c r="Z31" s="121"/>
      <c r="AA31" s="120"/>
      <c r="AB31" s="121"/>
      <c r="AC31" s="121"/>
      <c r="AD31" s="120"/>
      <c r="AE31" s="121"/>
      <c r="AF31" s="121"/>
      <c r="AG31" s="120"/>
      <c r="AH31" s="121"/>
      <c r="AI31" s="121"/>
      <c r="AJ31" s="120"/>
      <c r="AK31" s="121"/>
      <c r="AL31" s="121"/>
      <c r="AM31" s="122">
        <f t="shared" si="2"/>
        <v>0</v>
      </c>
      <c r="AO31" s="89"/>
      <c r="AP31" s="89"/>
      <c r="AQ31" s="89">
        <f t="shared" si="3"/>
        <v>0</v>
      </c>
    </row>
    <row r="32" spans="2:43" ht="20.100000000000001" customHeight="1" x14ac:dyDescent="0.15">
      <c r="B32" s="119"/>
      <c r="C32" s="120"/>
      <c r="D32" s="121"/>
      <c r="E32" s="121"/>
      <c r="F32" s="120"/>
      <c r="G32" s="121"/>
      <c r="H32" s="121"/>
      <c r="I32" s="120"/>
      <c r="J32" s="121"/>
      <c r="K32" s="121"/>
      <c r="L32" s="120"/>
      <c r="M32" s="121"/>
      <c r="N32" s="121"/>
      <c r="O32" s="120"/>
      <c r="P32" s="121"/>
      <c r="Q32" s="121"/>
      <c r="R32" s="120"/>
      <c r="S32" s="121"/>
      <c r="T32" s="121"/>
      <c r="U32" s="120"/>
      <c r="V32" s="121"/>
      <c r="W32" s="121"/>
      <c r="X32" s="120"/>
      <c r="Y32" s="121"/>
      <c r="Z32" s="121"/>
      <c r="AA32" s="120"/>
      <c r="AB32" s="121"/>
      <c r="AC32" s="121"/>
      <c r="AD32" s="120"/>
      <c r="AE32" s="121"/>
      <c r="AF32" s="121"/>
      <c r="AG32" s="120"/>
      <c r="AH32" s="121"/>
      <c r="AI32" s="121"/>
      <c r="AJ32" s="120"/>
      <c r="AK32" s="121"/>
      <c r="AL32" s="121"/>
      <c r="AM32" s="122">
        <f t="shared" si="2"/>
        <v>0</v>
      </c>
      <c r="AO32" s="89"/>
      <c r="AP32" s="89"/>
      <c r="AQ32" s="89">
        <f t="shared" si="3"/>
        <v>0</v>
      </c>
    </row>
    <row r="33" spans="2:43" ht="20.100000000000001" customHeight="1" x14ac:dyDescent="0.15">
      <c r="B33" s="123" t="s">
        <v>134</v>
      </c>
      <c r="C33" s="120">
        <f t="shared" ref="C33:AL33" si="4">SUM(C8:C32)</f>
        <v>0</v>
      </c>
      <c r="D33" s="124">
        <f t="shared" si="4"/>
        <v>0</v>
      </c>
      <c r="E33" s="125">
        <f t="shared" si="4"/>
        <v>0</v>
      </c>
      <c r="F33" s="120">
        <f t="shared" si="4"/>
        <v>0</v>
      </c>
      <c r="G33" s="124">
        <f t="shared" si="4"/>
        <v>0</v>
      </c>
      <c r="H33" s="125">
        <f t="shared" si="4"/>
        <v>0</v>
      </c>
      <c r="I33" s="120">
        <f t="shared" si="4"/>
        <v>1</v>
      </c>
      <c r="J33" s="124">
        <f t="shared" si="4"/>
        <v>0</v>
      </c>
      <c r="K33" s="125">
        <f t="shared" si="4"/>
        <v>0</v>
      </c>
      <c r="L33" s="120">
        <f t="shared" si="4"/>
        <v>0</v>
      </c>
      <c r="M33" s="124">
        <f t="shared" si="4"/>
        <v>1.2</v>
      </c>
      <c r="N33" s="125">
        <f t="shared" si="4"/>
        <v>7.9</v>
      </c>
      <c r="O33" s="120">
        <f t="shared" si="4"/>
        <v>8.8000000000000007</v>
      </c>
      <c r="P33" s="124">
        <f t="shared" si="4"/>
        <v>5.8000000000000007</v>
      </c>
      <c r="Q33" s="125">
        <f t="shared" si="4"/>
        <v>11.2</v>
      </c>
      <c r="R33" s="120">
        <f t="shared" si="4"/>
        <v>18.2</v>
      </c>
      <c r="S33" s="124">
        <f t="shared" si="4"/>
        <v>1.4</v>
      </c>
      <c r="T33" s="125">
        <f t="shared" si="4"/>
        <v>0</v>
      </c>
      <c r="U33" s="120">
        <f t="shared" si="4"/>
        <v>0</v>
      </c>
      <c r="V33" s="124">
        <f t="shared" si="4"/>
        <v>0</v>
      </c>
      <c r="W33" s="125">
        <f t="shared" si="4"/>
        <v>0</v>
      </c>
      <c r="X33" s="120">
        <f t="shared" si="4"/>
        <v>0</v>
      </c>
      <c r="Y33" s="124">
        <f t="shared" si="4"/>
        <v>0</v>
      </c>
      <c r="Z33" s="125">
        <f t="shared" si="4"/>
        <v>0</v>
      </c>
      <c r="AA33" s="120">
        <f t="shared" si="4"/>
        <v>7.8</v>
      </c>
      <c r="AB33" s="124">
        <f t="shared" si="4"/>
        <v>8.1999999999999993</v>
      </c>
      <c r="AC33" s="125">
        <f t="shared" si="4"/>
        <v>4.7</v>
      </c>
      <c r="AD33" s="120">
        <f t="shared" si="4"/>
        <v>0</v>
      </c>
      <c r="AE33" s="124">
        <f t="shared" si="4"/>
        <v>0</v>
      </c>
      <c r="AF33" s="125">
        <f t="shared" si="4"/>
        <v>0.4</v>
      </c>
      <c r="AG33" s="120">
        <f t="shared" si="4"/>
        <v>1</v>
      </c>
      <c r="AH33" s="124">
        <f t="shared" si="4"/>
        <v>0.8</v>
      </c>
      <c r="AI33" s="125">
        <f t="shared" si="4"/>
        <v>0.2</v>
      </c>
      <c r="AJ33" s="120">
        <f t="shared" si="4"/>
        <v>1</v>
      </c>
      <c r="AK33" s="124">
        <f t="shared" si="4"/>
        <v>0</v>
      </c>
      <c r="AL33" s="125">
        <f t="shared" si="4"/>
        <v>0</v>
      </c>
      <c r="AM33" s="122">
        <f t="shared" si="2"/>
        <v>79.600000000000009</v>
      </c>
      <c r="AO33" s="89"/>
      <c r="AP33" s="89"/>
      <c r="AQ33" s="89">
        <f t="shared" si="3"/>
        <v>0</v>
      </c>
    </row>
    <row r="34" spans="2:43" ht="20.100000000000001" customHeight="1" thickBot="1" x14ac:dyDescent="0.2">
      <c r="B34" s="126" t="s">
        <v>135</v>
      </c>
      <c r="C34" s="127"/>
      <c r="D34" s="128">
        <f>SUM(C33:E33)</f>
        <v>0</v>
      </c>
      <c r="E34" s="128"/>
      <c r="F34" s="127"/>
      <c r="G34" s="128">
        <f>SUM(F33:H33)</f>
        <v>0</v>
      </c>
      <c r="H34" s="128"/>
      <c r="I34" s="127"/>
      <c r="J34" s="128">
        <f>SUM(I33:K33)</f>
        <v>1</v>
      </c>
      <c r="K34" s="128"/>
      <c r="L34" s="127"/>
      <c r="M34" s="128">
        <f>SUM(L33:N33)</f>
        <v>9.1</v>
      </c>
      <c r="N34" s="128"/>
      <c r="O34" s="127"/>
      <c r="P34" s="128">
        <f>SUM(O33:Q33)</f>
        <v>25.8</v>
      </c>
      <c r="Q34" s="128"/>
      <c r="R34" s="127"/>
      <c r="S34" s="128">
        <f>SUM(R33:T33)</f>
        <v>19.599999999999998</v>
      </c>
      <c r="T34" s="128"/>
      <c r="U34" s="127"/>
      <c r="V34" s="128">
        <f>SUM(U33:W33)</f>
        <v>0</v>
      </c>
      <c r="W34" s="128"/>
      <c r="X34" s="127"/>
      <c r="Y34" s="128">
        <f>SUM(X33:Z33)</f>
        <v>0</v>
      </c>
      <c r="Z34" s="128"/>
      <c r="AA34" s="127"/>
      <c r="AB34" s="128">
        <f>SUM(AA33:AC33)</f>
        <v>20.7</v>
      </c>
      <c r="AC34" s="128"/>
      <c r="AD34" s="127"/>
      <c r="AE34" s="128">
        <f>SUM(AD33:AF33)</f>
        <v>0.4</v>
      </c>
      <c r="AF34" s="128"/>
      <c r="AG34" s="127"/>
      <c r="AH34" s="128">
        <f>SUM(AG33:AI33)</f>
        <v>2</v>
      </c>
      <c r="AI34" s="128"/>
      <c r="AJ34" s="127"/>
      <c r="AK34" s="128">
        <f>SUM(AJ33:AL33)</f>
        <v>1</v>
      </c>
      <c r="AL34" s="128"/>
      <c r="AM34" s="129">
        <f>SUM(AM8:AM32)</f>
        <v>79.600000000000009</v>
      </c>
      <c r="AO34" s="89">
        <f>SUM(AO8:AO32)</f>
        <v>33.900000000000006</v>
      </c>
      <c r="AP34" s="89">
        <f>SUM(AP8:AP32)</f>
        <v>62</v>
      </c>
      <c r="AQ34" s="89">
        <f t="shared" si="3"/>
        <v>95.9</v>
      </c>
    </row>
  </sheetData>
  <mergeCells count="15">
    <mergeCell ref="B5:B7"/>
    <mergeCell ref="R3:T3"/>
    <mergeCell ref="U3:W3"/>
    <mergeCell ref="X3:Z3"/>
    <mergeCell ref="B3:B4"/>
    <mergeCell ref="C3:E3"/>
    <mergeCell ref="F3:H3"/>
    <mergeCell ref="I3:K3"/>
    <mergeCell ref="L3:N3"/>
    <mergeCell ref="O3:Q3"/>
    <mergeCell ref="AJ3:AL3"/>
    <mergeCell ref="AM3:AM4"/>
    <mergeCell ref="AG3:AI3"/>
    <mergeCell ref="AA3:AC3"/>
    <mergeCell ref="AD3:AF3"/>
  </mergeCells>
  <phoneticPr fontId="5"/>
  <pageMargins left="1.1811023622047245" right="0.78740157480314965" top="0.74803149606299213" bottom="0.74803149606299213" header="0.31496062992125984" footer="0.31496062992125984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AM80"/>
  <sheetViews>
    <sheetView zoomScale="75" zoomScaleNormal="75" zoomScaleSheetLayoutView="69" workbookViewId="0">
      <pane xSplit="7" ySplit="4" topLeftCell="H5" activePane="bottomRight" state="frozen"/>
      <selection activeCell="E37" sqref="E37"/>
      <selection pane="topRight" activeCell="E37" sqref="E37"/>
      <selection pane="bottomLeft" activeCell="E37" sqref="E37"/>
      <selection pane="bottomRight" activeCell="A2" sqref="A2"/>
    </sheetView>
  </sheetViews>
  <sheetFormatPr defaultRowHeight="13.5" x14ac:dyDescent="0.15"/>
  <cols>
    <col min="1" max="1" width="1.625" style="88" customWidth="1"/>
    <col min="2" max="2" width="5" style="88" customWidth="1"/>
    <col min="3" max="3" width="22.5" style="88" bestFit="1" customWidth="1"/>
    <col min="4" max="4" width="30" style="88" bestFit="1" customWidth="1"/>
    <col min="5" max="6" width="6" style="88" bestFit="1" customWidth="1"/>
    <col min="7" max="7" width="17.625" style="88" customWidth="1"/>
    <col min="8" max="8" width="10.625" style="88" customWidth="1"/>
    <col min="9" max="9" width="17.625" style="88" customWidth="1"/>
    <col min="10" max="10" width="10.625" style="88" customWidth="1"/>
    <col min="11" max="11" width="15.125" style="89" bestFit="1" customWidth="1"/>
    <col min="12" max="12" width="17.625" style="88" customWidth="1"/>
    <col min="13" max="13" width="10.625" style="88" customWidth="1"/>
    <col min="14" max="14" width="17.625" style="88" customWidth="1"/>
    <col min="15" max="15" width="10.625" style="88" customWidth="1"/>
    <col min="16" max="16" width="19.75" style="88" bestFit="1" customWidth="1"/>
    <col min="17" max="16384" width="9" style="88"/>
  </cols>
  <sheetData>
    <row r="1" spans="2:16" ht="20.25" hidden="1" customHeight="1" x14ac:dyDescent="0.15"/>
    <row r="2" spans="2:16" ht="20.25" customHeight="1" thickBot="1" x14ac:dyDescent="0.2">
      <c r="B2" s="2" t="s">
        <v>277</v>
      </c>
      <c r="C2" s="13"/>
      <c r="D2" s="13"/>
      <c r="E2" s="90"/>
      <c r="F2" s="731"/>
      <c r="G2" s="732"/>
      <c r="H2" s="91"/>
      <c r="I2" s="91"/>
      <c r="J2" s="92"/>
      <c r="K2" s="93"/>
      <c r="L2" s="92"/>
      <c r="M2" s="94"/>
      <c r="P2" s="92"/>
    </row>
    <row r="3" spans="2:16" ht="20.25" customHeight="1" x14ac:dyDescent="0.15">
      <c r="B3" s="729" t="s">
        <v>139</v>
      </c>
      <c r="C3" s="727" t="s">
        <v>38</v>
      </c>
      <c r="D3" s="727" t="s">
        <v>138</v>
      </c>
      <c r="E3" s="733" t="s">
        <v>39</v>
      </c>
      <c r="F3" s="734"/>
      <c r="G3" s="95" t="s">
        <v>40</v>
      </c>
      <c r="H3" s="95" t="s">
        <v>141</v>
      </c>
      <c r="I3" s="95" t="s">
        <v>140</v>
      </c>
      <c r="J3" s="727" t="s">
        <v>99</v>
      </c>
      <c r="K3" s="96" t="s">
        <v>166</v>
      </c>
      <c r="L3" s="95" t="s">
        <v>41</v>
      </c>
      <c r="M3" s="95" t="s">
        <v>145</v>
      </c>
      <c r="N3" s="95" t="s">
        <v>42</v>
      </c>
      <c r="O3" s="95" t="s">
        <v>43</v>
      </c>
      <c r="P3" s="352" t="s">
        <v>44</v>
      </c>
    </row>
    <row r="4" spans="2:16" ht="20.25" customHeight="1" x14ac:dyDescent="0.15">
      <c r="B4" s="730"/>
      <c r="C4" s="728"/>
      <c r="D4" s="728"/>
      <c r="E4" s="97" t="s">
        <v>101</v>
      </c>
      <c r="F4" s="97" t="s">
        <v>9</v>
      </c>
      <c r="G4" s="98" t="s">
        <v>167</v>
      </c>
      <c r="H4" s="98" t="s">
        <v>168</v>
      </c>
      <c r="I4" s="98" t="s">
        <v>149</v>
      </c>
      <c r="J4" s="728"/>
      <c r="K4" s="99" t="s">
        <v>169</v>
      </c>
      <c r="L4" s="98" t="s">
        <v>170</v>
      </c>
      <c r="M4" s="98" t="s">
        <v>171</v>
      </c>
      <c r="N4" s="98" t="s">
        <v>151</v>
      </c>
      <c r="O4" s="98" t="s">
        <v>172</v>
      </c>
      <c r="P4" s="353" t="s">
        <v>173</v>
      </c>
    </row>
    <row r="5" spans="2:16" ht="20.25" customHeight="1" x14ac:dyDescent="0.15">
      <c r="B5" s="706" t="s">
        <v>213</v>
      </c>
      <c r="C5" s="712" t="str">
        <f>'６（参考）水稲資本装備'!C5</f>
        <v>農機具庫</v>
      </c>
      <c r="D5" s="712" t="str">
        <f>'６（参考）水稲資本装備'!D5</f>
        <v>鉄骨　スレート</v>
      </c>
      <c r="E5" s="712">
        <f>'６（参考）水稲資本装備'!E5</f>
        <v>100</v>
      </c>
      <c r="F5" s="712" t="s">
        <v>174</v>
      </c>
      <c r="G5" s="712">
        <f>'６（参考）水稲資本装備'!G5</f>
        <v>5940000</v>
      </c>
      <c r="H5" s="712">
        <f>'６（参考）水稲資本装備'!H5</f>
        <v>0</v>
      </c>
      <c r="I5" s="712">
        <f>G5*(1-H5)</f>
        <v>5940000</v>
      </c>
      <c r="J5" s="386" t="s">
        <v>456</v>
      </c>
      <c r="K5" s="100">
        <f>20/30/20</f>
        <v>3.3333333333333333E-2</v>
      </c>
      <c r="L5" s="87">
        <f>I5*K5</f>
        <v>198000</v>
      </c>
      <c r="M5" s="101">
        <v>0</v>
      </c>
      <c r="N5" s="87">
        <f>L5*M5/100</f>
        <v>0</v>
      </c>
      <c r="O5" s="87">
        <v>25</v>
      </c>
      <c r="P5" s="197">
        <f t="shared" ref="P5:P12" si="0">IF(O5="","",(L5-N5)/O5)</f>
        <v>7920</v>
      </c>
    </row>
    <row r="6" spans="2:16" ht="20.25" customHeight="1" x14ac:dyDescent="0.15">
      <c r="B6" s="707"/>
      <c r="C6" s="713"/>
      <c r="D6" s="713"/>
      <c r="E6" s="713"/>
      <c r="F6" s="713"/>
      <c r="G6" s="713"/>
      <c r="H6" s="713"/>
      <c r="I6" s="713"/>
      <c r="J6" s="387" t="s">
        <v>457</v>
      </c>
      <c r="K6" s="100">
        <f>10/30/10</f>
        <v>3.3333333333333333E-2</v>
      </c>
      <c r="L6" s="87">
        <f>I5*K6</f>
        <v>198000</v>
      </c>
      <c r="M6" s="101">
        <v>0</v>
      </c>
      <c r="N6" s="87">
        <f>L6*M6/100</f>
        <v>0</v>
      </c>
      <c r="O6" s="87">
        <v>25</v>
      </c>
      <c r="P6" s="197">
        <f t="shared" si="0"/>
        <v>7920</v>
      </c>
    </row>
    <row r="7" spans="2:16" ht="20.25" customHeight="1" x14ac:dyDescent="0.15">
      <c r="B7" s="708"/>
      <c r="C7" s="726"/>
      <c r="D7" s="726"/>
      <c r="E7" s="726"/>
      <c r="F7" s="726"/>
      <c r="G7" s="726"/>
      <c r="H7" s="726"/>
      <c r="I7" s="726"/>
      <c r="J7" s="387"/>
      <c r="K7" s="100"/>
      <c r="L7" s="87"/>
      <c r="M7" s="101"/>
      <c r="N7" s="87"/>
      <c r="O7" s="87"/>
      <c r="P7" s="197">
        <v>0</v>
      </c>
    </row>
    <row r="8" spans="2:16" ht="20.25" customHeight="1" x14ac:dyDescent="0.15">
      <c r="B8" s="708"/>
      <c r="C8" s="712" t="str">
        <f>'６（参考）水稲資本装備'!C6</f>
        <v>乾燥調製施設</v>
      </c>
      <c r="D8" s="712" t="str">
        <f>'６（参考）水稲資本装備'!D6</f>
        <v>鉄骨　スレート</v>
      </c>
      <c r="E8" s="712">
        <f>'６（参考）水稲資本装備'!E6</f>
        <v>150</v>
      </c>
      <c r="F8" s="712" t="s">
        <v>105</v>
      </c>
      <c r="G8" s="712">
        <f>'６（参考）水稲資本装備'!G6</f>
        <v>8910000</v>
      </c>
      <c r="H8" s="712">
        <f>'６（参考）水稲資本装備'!H6</f>
        <v>0</v>
      </c>
      <c r="I8" s="712">
        <f>G8*(1-H8)</f>
        <v>8910000</v>
      </c>
      <c r="J8" s="386" t="s">
        <v>456</v>
      </c>
      <c r="K8" s="100">
        <f>20/20/20</f>
        <v>0.05</v>
      </c>
      <c r="L8" s="87">
        <f>I8*K8</f>
        <v>445500</v>
      </c>
      <c r="M8" s="101">
        <v>0</v>
      </c>
      <c r="N8" s="87">
        <f t="shared" ref="N8:N12" si="1">L8*M8/100</f>
        <v>0</v>
      </c>
      <c r="O8" s="87">
        <v>25</v>
      </c>
      <c r="P8" s="197">
        <f>IF(O8="","",(L8-N8)/O8)</f>
        <v>17820</v>
      </c>
    </row>
    <row r="9" spans="2:16" ht="20.25" customHeight="1" x14ac:dyDescent="0.15">
      <c r="B9" s="708"/>
      <c r="C9" s="713"/>
      <c r="D9" s="713"/>
      <c r="E9" s="713"/>
      <c r="F9" s="713"/>
      <c r="G9" s="713"/>
      <c r="H9" s="713"/>
      <c r="I9" s="713"/>
      <c r="J9" s="387"/>
      <c r="K9" s="100"/>
      <c r="L9" s="87"/>
      <c r="M9" s="101"/>
      <c r="N9" s="87"/>
      <c r="O9" s="87"/>
      <c r="P9" s="197">
        <v>0</v>
      </c>
    </row>
    <row r="10" spans="2:16" ht="20.25" customHeight="1" x14ac:dyDescent="0.15">
      <c r="B10" s="708"/>
      <c r="C10" s="726"/>
      <c r="D10" s="726"/>
      <c r="E10" s="726"/>
      <c r="F10" s="726"/>
      <c r="G10" s="726"/>
      <c r="H10" s="726"/>
      <c r="I10" s="726"/>
      <c r="J10" s="387"/>
      <c r="K10" s="100"/>
      <c r="L10" s="87"/>
      <c r="M10" s="101"/>
      <c r="N10" s="87"/>
      <c r="O10" s="87"/>
      <c r="P10" s="197">
        <v>0</v>
      </c>
    </row>
    <row r="11" spans="2:16" ht="20.25" customHeight="1" x14ac:dyDescent="0.15">
      <c r="B11" s="708"/>
      <c r="C11" s="712" t="str">
        <f>'６（参考）水稲資本装備'!C7</f>
        <v>育苗ハウス</v>
      </c>
      <c r="D11" s="712" t="str">
        <f>'６（参考）水稲資本装備'!D7</f>
        <v>鉄パイプ</v>
      </c>
      <c r="E11" s="712">
        <v>725</v>
      </c>
      <c r="F11" s="712" t="s">
        <v>105</v>
      </c>
      <c r="G11" s="712">
        <f>'６（参考）水稲資本装備'!G7</f>
        <v>2065500</v>
      </c>
      <c r="H11" s="712">
        <f>'６（参考）水稲資本装備'!H7</f>
        <v>0</v>
      </c>
      <c r="I11" s="712">
        <f>G11*(1-H11)</f>
        <v>2065500</v>
      </c>
      <c r="J11" s="386" t="s">
        <v>456</v>
      </c>
      <c r="K11" s="100">
        <f>20/30/20</f>
        <v>3.3333333333333333E-2</v>
      </c>
      <c r="L11" s="87">
        <f>I11*K11</f>
        <v>68850</v>
      </c>
      <c r="M11" s="101">
        <v>0</v>
      </c>
      <c r="N11" s="87">
        <f t="shared" si="1"/>
        <v>0</v>
      </c>
      <c r="O11" s="87">
        <v>10</v>
      </c>
      <c r="P11" s="197">
        <f t="shared" si="0"/>
        <v>6885</v>
      </c>
    </row>
    <row r="12" spans="2:16" ht="20.25" customHeight="1" x14ac:dyDescent="0.15">
      <c r="B12" s="708"/>
      <c r="C12" s="713"/>
      <c r="D12" s="713"/>
      <c r="E12" s="713"/>
      <c r="F12" s="713"/>
      <c r="G12" s="713"/>
      <c r="H12" s="713"/>
      <c r="I12" s="713"/>
      <c r="J12" s="387" t="s">
        <v>457</v>
      </c>
      <c r="K12" s="100">
        <f>10/30/10</f>
        <v>3.3333333333333333E-2</v>
      </c>
      <c r="L12" s="87">
        <f>I11*K12</f>
        <v>68850</v>
      </c>
      <c r="M12" s="101">
        <v>0</v>
      </c>
      <c r="N12" s="87">
        <f t="shared" si="1"/>
        <v>0</v>
      </c>
      <c r="O12" s="87">
        <v>10</v>
      </c>
      <c r="P12" s="197">
        <f t="shared" si="0"/>
        <v>6885</v>
      </c>
    </row>
    <row r="13" spans="2:16" ht="20.25" customHeight="1" x14ac:dyDescent="0.15">
      <c r="B13" s="708"/>
      <c r="C13" s="726"/>
      <c r="D13" s="726"/>
      <c r="E13" s="726"/>
      <c r="F13" s="726"/>
      <c r="G13" s="726"/>
      <c r="H13" s="726"/>
      <c r="I13" s="726"/>
      <c r="J13" s="387"/>
      <c r="K13" s="100"/>
      <c r="L13" s="87"/>
      <c r="M13" s="101"/>
      <c r="N13" s="87"/>
      <c r="O13" s="87"/>
      <c r="P13" s="197">
        <v>0</v>
      </c>
    </row>
    <row r="14" spans="2:16" ht="20.25" hidden="1" customHeight="1" x14ac:dyDescent="0.15">
      <c r="B14" s="708"/>
      <c r="C14" s="712"/>
      <c r="D14" s="712"/>
      <c r="E14" s="712"/>
      <c r="F14" s="712"/>
      <c r="G14" s="712"/>
      <c r="H14" s="715"/>
      <c r="I14" s="712"/>
      <c r="J14" s="386"/>
      <c r="K14" s="100"/>
      <c r="L14" s="87"/>
      <c r="M14" s="101"/>
      <c r="N14" s="87"/>
      <c r="O14" s="87"/>
      <c r="P14" s="197"/>
    </row>
    <row r="15" spans="2:16" ht="20.25" hidden="1" customHeight="1" x14ac:dyDescent="0.15">
      <c r="B15" s="708"/>
      <c r="C15" s="713"/>
      <c r="D15" s="713"/>
      <c r="E15" s="713"/>
      <c r="F15" s="713"/>
      <c r="G15" s="713"/>
      <c r="H15" s="716"/>
      <c r="I15" s="713"/>
      <c r="J15" s="387"/>
      <c r="K15" s="100"/>
      <c r="L15" s="87"/>
      <c r="M15" s="101"/>
      <c r="N15" s="87"/>
      <c r="O15" s="87"/>
      <c r="P15" s="197"/>
    </row>
    <row r="16" spans="2:16" ht="20.25" hidden="1" customHeight="1" x14ac:dyDescent="0.15">
      <c r="B16" s="708"/>
      <c r="C16" s="726"/>
      <c r="D16" s="726"/>
      <c r="E16" s="726"/>
      <c r="F16" s="726"/>
      <c r="G16" s="726"/>
      <c r="H16" s="725"/>
      <c r="I16" s="726"/>
      <c r="J16" s="387"/>
      <c r="K16" s="100"/>
      <c r="L16" s="87"/>
      <c r="M16" s="101"/>
      <c r="N16" s="87"/>
      <c r="O16" s="87"/>
      <c r="P16" s="197"/>
    </row>
    <row r="17" spans="2:39" ht="20.25" customHeight="1" x14ac:dyDescent="0.15">
      <c r="B17" s="708"/>
      <c r="C17" s="700" t="s">
        <v>46</v>
      </c>
      <c r="D17" s="700"/>
      <c r="E17" s="700"/>
      <c r="F17" s="700"/>
      <c r="G17" s="700">
        <f>SUM(G5:G16)</f>
        <v>16915500</v>
      </c>
      <c r="H17" s="700"/>
      <c r="I17" s="700">
        <f>SUM(I5:I16)</f>
        <v>16915500</v>
      </c>
      <c r="J17" s="102" t="s">
        <v>479</v>
      </c>
      <c r="K17" s="440"/>
      <c r="L17" s="102">
        <f>L5+L8+L11+L14</f>
        <v>712350</v>
      </c>
      <c r="M17" s="441"/>
      <c r="N17" s="102"/>
      <c r="O17" s="102"/>
      <c r="P17" s="442">
        <f>P5+P8+P11+P14</f>
        <v>32625</v>
      </c>
    </row>
    <row r="18" spans="2:39" ht="20.25" customHeight="1" x14ac:dyDescent="0.15">
      <c r="B18" s="708"/>
      <c r="C18" s="701"/>
      <c r="D18" s="701"/>
      <c r="E18" s="701"/>
      <c r="F18" s="701"/>
      <c r="G18" s="701"/>
      <c r="H18" s="701"/>
      <c r="I18" s="701"/>
      <c r="J18" s="102" t="s">
        <v>480</v>
      </c>
      <c r="K18" s="440"/>
      <c r="L18" s="102">
        <f>L6+L9+L12+L15</f>
        <v>266850</v>
      </c>
      <c r="M18" s="441"/>
      <c r="N18" s="102"/>
      <c r="O18" s="102"/>
      <c r="P18" s="354">
        <f>P6+P9+P12+P15</f>
        <v>14805</v>
      </c>
    </row>
    <row r="19" spans="2:39" ht="20.25" customHeight="1" x14ac:dyDescent="0.15">
      <c r="B19" s="709"/>
      <c r="C19" s="702"/>
      <c r="D19" s="702"/>
      <c r="E19" s="702"/>
      <c r="F19" s="702"/>
      <c r="G19" s="702"/>
      <c r="H19" s="702"/>
      <c r="I19" s="702"/>
      <c r="J19" s="102"/>
      <c r="K19" s="103"/>
      <c r="L19" s="102"/>
      <c r="M19" s="102"/>
      <c r="N19" s="102"/>
      <c r="O19" s="102"/>
      <c r="P19" s="354"/>
    </row>
    <row r="20" spans="2:39" ht="20.25" customHeight="1" x14ac:dyDescent="0.15">
      <c r="B20" s="706" t="s">
        <v>212</v>
      </c>
      <c r="C20" s="712" t="str">
        <f>'６（参考）水稲資本装備'!C16</f>
        <v>トラクター</v>
      </c>
      <c r="D20" s="712" t="str">
        <f>'６（参考）水稲資本装備'!D16</f>
        <v>46psキャビン付（ﾛｰﾀﾘｰ）</v>
      </c>
      <c r="E20" s="712">
        <f>'６（参考）水稲資本装備'!E16</f>
        <v>1</v>
      </c>
      <c r="F20" s="712" t="str">
        <f>'６（参考）水稲資本装備'!F16</f>
        <v>台</v>
      </c>
      <c r="G20" s="712">
        <f>'６（参考）水稲資本装備'!G16</f>
        <v>5726160</v>
      </c>
      <c r="H20" s="712">
        <f>'６（参考）水稲資本装備'!H16</f>
        <v>0</v>
      </c>
      <c r="I20" s="712">
        <f>'６（参考）水稲資本装備'!I16</f>
        <v>5726160</v>
      </c>
      <c r="J20" s="386" t="s">
        <v>456</v>
      </c>
      <c r="K20" s="100">
        <f>20/30/20</f>
        <v>3.3333333333333333E-2</v>
      </c>
      <c r="L20" s="87">
        <f>I20*K20</f>
        <v>190872</v>
      </c>
      <c r="M20" s="104">
        <v>0</v>
      </c>
      <c r="N20" s="87">
        <f>L20*M20</f>
        <v>0</v>
      </c>
      <c r="O20" s="105">
        <v>7</v>
      </c>
      <c r="P20" s="197">
        <f>IF(O20="","",(L20-N20)/O20)</f>
        <v>27267.428571428572</v>
      </c>
    </row>
    <row r="21" spans="2:39" ht="20.25" customHeight="1" x14ac:dyDescent="0.15">
      <c r="B21" s="707"/>
      <c r="C21" s="713"/>
      <c r="D21" s="713"/>
      <c r="E21" s="713"/>
      <c r="F21" s="713"/>
      <c r="G21" s="713"/>
      <c r="H21" s="713"/>
      <c r="I21" s="713"/>
      <c r="J21" s="387" t="s">
        <v>457</v>
      </c>
      <c r="K21" s="100">
        <f>10/30/10</f>
        <v>3.3333333333333333E-2</v>
      </c>
      <c r="L21" s="87">
        <f>I20*K21</f>
        <v>190872</v>
      </c>
      <c r="M21" s="104">
        <v>0</v>
      </c>
      <c r="N21" s="87">
        <f t="shared" ref="N21:N57" si="2">L21*M21</f>
        <v>0</v>
      </c>
      <c r="O21" s="105">
        <v>7</v>
      </c>
      <c r="P21" s="197">
        <f>IF(O21="","",(L21-N21)/O21)</f>
        <v>27267.428571428572</v>
      </c>
    </row>
    <row r="22" spans="2:39" ht="20.25" customHeight="1" x14ac:dyDescent="0.15">
      <c r="B22" s="711"/>
      <c r="C22" s="714"/>
      <c r="D22" s="714"/>
      <c r="E22" s="714"/>
      <c r="F22" s="714"/>
      <c r="G22" s="714"/>
      <c r="H22" s="714"/>
      <c r="I22" s="714"/>
      <c r="J22" s="387"/>
      <c r="K22" s="100"/>
      <c r="L22" s="87"/>
      <c r="M22" s="104"/>
      <c r="N22" s="87"/>
      <c r="O22" s="105"/>
      <c r="P22" s="197">
        <v>0</v>
      </c>
    </row>
    <row r="23" spans="2:39" ht="20.25" customHeight="1" x14ac:dyDescent="0.15">
      <c r="B23" s="711"/>
      <c r="C23" s="712" t="str">
        <f>'６（参考）水稲資本装備'!C17</f>
        <v>トラクター</v>
      </c>
      <c r="D23" s="712" t="str">
        <f>'６（参考）水稲資本装備'!D17</f>
        <v>32ｐｓ（ﾛｰﾀﾘｰ）</v>
      </c>
      <c r="E23" s="712">
        <f>'６（参考）水稲資本装備'!E17</f>
        <v>1</v>
      </c>
      <c r="F23" s="712" t="str">
        <f>'６（参考）水稲資本装備'!F17</f>
        <v>台</v>
      </c>
      <c r="G23" s="712">
        <f>'６（参考）水稲資本装備'!G17</f>
        <v>4626720</v>
      </c>
      <c r="H23" s="712">
        <f>'６（参考）水稲資本装備'!H17</f>
        <v>0</v>
      </c>
      <c r="I23" s="712">
        <f>'６（参考）水稲資本装備'!I17</f>
        <v>4626720</v>
      </c>
      <c r="J23" s="386" t="s">
        <v>456</v>
      </c>
      <c r="K23" s="100">
        <f>20/30/20</f>
        <v>3.3333333333333333E-2</v>
      </c>
      <c r="L23" s="87">
        <f>I23*K23</f>
        <v>154224</v>
      </c>
      <c r="M23" s="104">
        <v>0</v>
      </c>
      <c r="N23" s="87">
        <f t="shared" si="2"/>
        <v>0</v>
      </c>
      <c r="O23" s="105">
        <v>7</v>
      </c>
      <c r="P23" s="197">
        <f t="shared" ref="P23:P58" si="3">IF(O23="","",(L23-N23)/O23)</f>
        <v>22032</v>
      </c>
    </row>
    <row r="24" spans="2:39" x14ac:dyDescent="0.15">
      <c r="B24" s="711"/>
      <c r="C24" s="713"/>
      <c r="D24" s="713"/>
      <c r="E24" s="713"/>
      <c r="F24" s="713"/>
      <c r="G24" s="713"/>
      <c r="H24" s="713"/>
      <c r="I24" s="713"/>
      <c r="J24" s="387" t="s">
        <v>457</v>
      </c>
      <c r="K24" s="100">
        <f>10/30/10</f>
        <v>3.3333333333333333E-2</v>
      </c>
      <c r="L24" s="87">
        <f>I23*K24</f>
        <v>154224</v>
      </c>
      <c r="M24" s="104">
        <v>0</v>
      </c>
      <c r="N24" s="87">
        <f t="shared" si="2"/>
        <v>0</v>
      </c>
      <c r="O24" s="105">
        <v>7</v>
      </c>
      <c r="P24" s="197">
        <f t="shared" si="3"/>
        <v>22032</v>
      </c>
    </row>
    <row r="25" spans="2:39" x14ac:dyDescent="0.15">
      <c r="B25" s="711"/>
      <c r="C25" s="714"/>
      <c r="D25" s="714"/>
      <c r="E25" s="714"/>
      <c r="F25" s="714"/>
      <c r="G25" s="714"/>
      <c r="H25" s="714"/>
      <c r="I25" s="714"/>
      <c r="J25" s="387"/>
      <c r="K25" s="100"/>
      <c r="L25" s="87">
        <f>I23*K25</f>
        <v>0</v>
      </c>
      <c r="M25" s="104">
        <v>0</v>
      </c>
      <c r="N25" s="87">
        <f t="shared" si="2"/>
        <v>0</v>
      </c>
      <c r="O25" s="105"/>
      <c r="P25" s="197">
        <v>0</v>
      </c>
    </row>
    <row r="26" spans="2:39" x14ac:dyDescent="0.15">
      <c r="B26" s="711"/>
      <c r="C26" s="712" t="str">
        <f>'６（参考）水稲資本装備'!C18</f>
        <v>ドライブハロー</v>
      </c>
      <c r="D26" s="712" t="str">
        <f>'６（参考）水稲資本装備'!D18</f>
        <v>2.8m幅</v>
      </c>
      <c r="E26" s="712">
        <f>'６（参考）水稲資本装備'!E18</f>
        <v>1</v>
      </c>
      <c r="F26" s="712" t="str">
        <f>'６（参考）水稲資本装備'!F18</f>
        <v>台</v>
      </c>
      <c r="G26" s="712">
        <f>'６（参考）水稲資本装備'!G18</f>
        <v>772200</v>
      </c>
      <c r="H26" s="712">
        <f>'６（参考）水稲資本装備'!H18</f>
        <v>0</v>
      </c>
      <c r="I26" s="712">
        <f>'６（参考）水稲資本装備'!I18</f>
        <v>772200</v>
      </c>
      <c r="J26" s="386" t="s">
        <v>456</v>
      </c>
      <c r="K26" s="100">
        <f>20/30/20</f>
        <v>3.3333333333333333E-2</v>
      </c>
      <c r="L26" s="87">
        <f>I26*K26</f>
        <v>25740</v>
      </c>
      <c r="M26" s="104">
        <v>0</v>
      </c>
      <c r="N26" s="87">
        <f t="shared" si="2"/>
        <v>0</v>
      </c>
      <c r="O26" s="105">
        <v>7</v>
      </c>
      <c r="P26" s="197">
        <f t="shared" si="3"/>
        <v>3677.1428571428573</v>
      </c>
      <c r="AM26" s="88" t="s">
        <v>487</v>
      </c>
    </row>
    <row r="27" spans="2:39" x14ac:dyDescent="0.15">
      <c r="B27" s="711"/>
      <c r="C27" s="713"/>
      <c r="D27" s="713"/>
      <c r="E27" s="713"/>
      <c r="F27" s="713"/>
      <c r="G27" s="713"/>
      <c r="H27" s="713"/>
      <c r="I27" s="713"/>
      <c r="J27" s="387" t="s">
        <v>457</v>
      </c>
      <c r="K27" s="100">
        <f>10/30/10</f>
        <v>3.3333333333333333E-2</v>
      </c>
      <c r="L27" s="87">
        <f>I26*K27</f>
        <v>25740</v>
      </c>
      <c r="M27" s="104">
        <v>0</v>
      </c>
      <c r="N27" s="87">
        <f t="shared" si="2"/>
        <v>0</v>
      </c>
      <c r="O27" s="105">
        <v>7</v>
      </c>
      <c r="P27" s="197">
        <f t="shared" si="3"/>
        <v>3677.1428571428573</v>
      </c>
    </row>
    <row r="28" spans="2:39" x14ac:dyDescent="0.15">
      <c r="B28" s="711"/>
      <c r="C28" s="714"/>
      <c r="D28" s="714"/>
      <c r="E28" s="714"/>
      <c r="F28" s="714"/>
      <c r="G28" s="714"/>
      <c r="H28" s="714"/>
      <c r="I28" s="714"/>
      <c r="J28" s="387"/>
      <c r="K28" s="100"/>
      <c r="L28" s="87"/>
      <c r="M28" s="104"/>
      <c r="N28" s="87"/>
      <c r="O28" s="105"/>
      <c r="P28" s="197">
        <v>0</v>
      </c>
    </row>
    <row r="29" spans="2:39" x14ac:dyDescent="0.15">
      <c r="B29" s="711"/>
      <c r="C29" s="712" t="str">
        <f>'６（参考）水稲資本装備'!C19</f>
        <v>ドライブハロー</v>
      </c>
      <c r="D29" s="712" t="str">
        <f>'６（参考）水稲資本装備'!D19</f>
        <v>2.4m幅</v>
      </c>
      <c r="E29" s="712">
        <f>'６（参考）水稲資本装備'!E19</f>
        <v>1</v>
      </c>
      <c r="F29" s="712" t="str">
        <f>'６（参考）水稲資本装備'!F19</f>
        <v>台</v>
      </c>
      <c r="G29" s="712">
        <f>'６（参考）水稲資本装備'!G19</f>
        <v>583200</v>
      </c>
      <c r="H29" s="712">
        <f>'６（参考）水稲資本装備'!H19</f>
        <v>0</v>
      </c>
      <c r="I29" s="712">
        <f>'６（参考）水稲資本装備'!I19</f>
        <v>583200</v>
      </c>
      <c r="J29" s="386" t="s">
        <v>456</v>
      </c>
      <c r="K29" s="100">
        <f>20/30/20</f>
        <v>3.3333333333333333E-2</v>
      </c>
      <c r="L29" s="87">
        <f>I29*K29</f>
        <v>19440</v>
      </c>
      <c r="M29" s="104">
        <v>0</v>
      </c>
      <c r="N29" s="87">
        <f t="shared" si="2"/>
        <v>0</v>
      </c>
      <c r="O29" s="105">
        <v>7</v>
      </c>
      <c r="P29" s="197">
        <f t="shared" si="3"/>
        <v>2777.1428571428573</v>
      </c>
    </row>
    <row r="30" spans="2:39" x14ac:dyDescent="0.15">
      <c r="B30" s="711"/>
      <c r="C30" s="713"/>
      <c r="D30" s="713"/>
      <c r="E30" s="713"/>
      <c r="F30" s="713"/>
      <c r="G30" s="713"/>
      <c r="H30" s="713"/>
      <c r="I30" s="713"/>
      <c r="J30" s="387" t="s">
        <v>457</v>
      </c>
      <c r="K30" s="100">
        <f>10/30/10</f>
        <v>3.3333333333333333E-2</v>
      </c>
      <c r="L30" s="87">
        <f>I29*K30</f>
        <v>19440</v>
      </c>
      <c r="M30" s="104">
        <v>0</v>
      </c>
      <c r="N30" s="87">
        <f t="shared" si="2"/>
        <v>0</v>
      </c>
      <c r="O30" s="105">
        <v>7</v>
      </c>
      <c r="P30" s="197">
        <f t="shared" si="3"/>
        <v>2777.1428571428573</v>
      </c>
    </row>
    <row r="31" spans="2:39" x14ac:dyDescent="0.15">
      <c r="B31" s="711"/>
      <c r="C31" s="714"/>
      <c r="D31" s="714"/>
      <c r="E31" s="714"/>
      <c r="F31" s="714"/>
      <c r="G31" s="714"/>
      <c r="H31" s="714"/>
      <c r="I31" s="714"/>
      <c r="J31" s="387"/>
      <c r="K31" s="100"/>
      <c r="L31" s="87"/>
      <c r="M31" s="104"/>
      <c r="N31" s="87"/>
      <c r="O31" s="105"/>
      <c r="P31" s="197">
        <v>0</v>
      </c>
    </row>
    <row r="32" spans="2:39" x14ac:dyDescent="0.15">
      <c r="B32" s="711"/>
      <c r="C32" s="712" t="str">
        <f>'６（参考）水稲資本装備'!C20</f>
        <v>乗用田植機</v>
      </c>
      <c r="D32" s="712" t="str">
        <f>'６（参考）水稲資本装備'!D20</f>
        <v>6条側条施肥機付き</v>
      </c>
      <c r="E32" s="712">
        <f>'６（参考）水稲資本装備'!E20</f>
        <v>1</v>
      </c>
      <c r="F32" s="712" t="str">
        <f>'６（参考）水稲資本装備'!F20</f>
        <v>台</v>
      </c>
      <c r="G32" s="712">
        <f>'６（参考）水稲資本装備'!G20</f>
        <v>3078000</v>
      </c>
      <c r="H32" s="718">
        <v>0.5</v>
      </c>
      <c r="I32" s="712">
        <f>'６（参考）水稲資本装備'!I20</f>
        <v>3078000</v>
      </c>
      <c r="J32" s="386" t="s">
        <v>456</v>
      </c>
      <c r="K32" s="100">
        <f>20/30/20</f>
        <v>3.3333333333333333E-2</v>
      </c>
      <c r="L32" s="87">
        <f>I32*K32</f>
        <v>102600</v>
      </c>
      <c r="M32" s="104">
        <v>0</v>
      </c>
      <c r="N32" s="87">
        <f t="shared" si="2"/>
        <v>0</v>
      </c>
      <c r="O32" s="105">
        <v>7</v>
      </c>
      <c r="P32" s="197">
        <f t="shared" si="3"/>
        <v>14657.142857142857</v>
      </c>
    </row>
    <row r="33" spans="2:16" x14ac:dyDescent="0.15">
      <c r="B33" s="711"/>
      <c r="C33" s="713"/>
      <c r="D33" s="713"/>
      <c r="E33" s="713"/>
      <c r="F33" s="713"/>
      <c r="G33" s="713"/>
      <c r="H33" s="719"/>
      <c r="I33" s="713"/>
      <c r="J33" s="387" t="s">
        <v>457</v>
      </c>
      <c r="K33" s="100">
        <f>10/30/10</f>
        <v>3.3333333333333333E-2</v>
      </c>
      <c r="L33" s="87">
        <f>I32*K33</f>
        <v>102600</v>
      </c>
      <c r="M33" s="104">
        <v>0</v>
      </c>
      <c r="N33" s="87">
        <f t="shared" si="2"/>
        <v>0</v>
      </c>
      <c r="O33" s="105">
        <v>7</v>
      </c>
      <c r="P33" s="197">
        <f t="shared" si="3"/>
        <v>14657.142857142857</v>
      </c>
    </row>
    <row r="34" spans="2:16" x14ac:dyDescent="0.15">
      <c r="B34" s="711"/>
      <c r="C34" s="714"/>
      <c r="D34" s="714"/>
      <c r="E34" s="714"/>
      <c r="F34" s="714"/>
      <c r="G34" s="714"/>
      <c r="H34" s="720"/>
      <c r="I34" s="714"/>
      <c r="J34" s="387"/>
      <c r="K34" s="100"/>
      <c r="L34" s="87"/>
      <c r="M34" s="104"/>
      <c r="N34" s="87"/>
      <c r="O34" s="105"/>
      <c r="P34" s="197">
        <v>0</v>
      </c>
    </row>
    <row r="35" spans="2:16" x14ac:dyDescent="0.15">
      <c r="B35" s="711"/>
      <c r="C35" s="712" t="str">
        <f>'６（参考）水稲資本装備'!C21</f>
        <v>コンバイン</v>
      </c>
      <c r="D35" s="712" t="str">
        <f>'６（参考）水稲資本装備'!D21</f>
        <v>4条刈</v>
      </c>
      <c r="E35" s="712">
        <f>'６（参考）水稲資本装備'!E21</f>
        <v>1</v>
      </c>
      <c r="F35" s="712" t="str">
        <f>'６（参考）水稲資本装備'!F21</f>
        <v>台</v>
      </c>
      <c r="G35" s="712">
        <f>'６（参考）水稲資本装備'!G21</f>
        <v>7344000.0000000009</v>
      </c>
      <c r="H35" s="712">
        <f>'６（参考）水稲資本装備'!H21</f>
        <v>0</v>
      </c>
      <c r="I35" s="712">
        <f>'６（参考）水稲資本装備'!I21</f>
        <v>7344000.0000000009</v>
      </c>
      <c r="J35" s="386" t="s">
        <v>456</v>
      </c>
      <c r="K35" s="100">
        <f>20/20/20</f>
        <v>0.05</v>
      </c>
      <c r="L35" s="87">
        <f>I35*K35</f>
        <v>367200.00000000006</v>
      </c>
      <c r="M35" s="104">
        <v>0</v>
      </c>
      <c r="N35" s="87">
        <f t="shared" si="2"/>
        <v>0</v>
      </c>
      <c r="O35" s="105">
        <v>7</v>
      </c>
      <c r="P35" s="197">
        <f t="shared" si="3"/>
        <v>52457.142857142862</v>
      </c>
    </row>
    <row r="36" spans="2:16" x14ac:dyDescent="0.15">
      <c r="B36" s="711"/>
      <c r="C36" s="713"/>
      <c r="D36" s="713"/>
      <c r="E36" s="713"/>
      <c r="F36" s="713"/>
      <c r="G36" s="713"/>
      <c r="H36" s="713"/>
      <c r="I36" s="713"/>
      <c r="J36" s="387"/>
      <c r="K36" s="100"/>
      <c r="L36" s="87"/>
      <c r="M36" s="104"/>
      <c r="N36" s="87"/>
      <c r="O36" s="105"/>
      <c r="P36" s="197">
        <v>0</v>
      </c>
    </row>
    <row r="37" spans="2:16" x14ac:dyDescent="0.15">
      <c r="B37" s="711"/>
      <c r="C37" s="714"/>
      <c r="D37" s="714"/>
      <c r="E37" s="714"/>
      <c r="F37" s="714"/>
      <c r="G37" s="714"/>
      <c r="H37" s="714"/>
      <c r="I37" s="714"/>
      <c r="J37" s="387"/>
      <c r="K37" s="100"/>
      <c r="L37" s="87"/>
      <c r="M37" s="104"/>
      <c r="N37" s="87"/>
      <c r="O37" s="105"/>
      <c r="P37" s="197">
        <v>0</v>
      </c>
    </row>
    <row r="38" spans="2:16" x14ac:dyDescent="0.15">
      <c r="B38" s="711"/>
      <c r="C38" s="712" t="str">
        <f>'６（参考）水稲資本装備'!C22</f>
        <v>乗用管理機</v>
      </c>
      <c r="D38" s="712" t="str">
        <f>'６（参考）水稲資本装備'!D22</f>
        <v>散布巾10ｍ</v>
      </c>
      <c r="E38" s="712">
        <f>'６（参考）水稲資本装備'!E22</f>
        <v>1</v>
      </c>
      <c r="F38" s="712" t="str">
        <f>'６（参考）水稲資本装備'!F22</f>
        <v>台</v>
      </c>
      <c r="G38" s="712">
        <f>'６（参考）水稲資本装備'!G22</f>
        <v>3780000.0000000005</v>
      </c>
      <c r="H38" s="718">
        <f>'６（参考）水稲資本装備'!H22</f>
        <v>0.5</v>
      </c>
      <c r="I38" s="712">
        <f>'６（参考）水稲資本装備'!I22</f>
        <v>1890000.0000000002</v>
      </c>
      <c r="J38" s="386" t="s">
        <v>456</v>
      </c>
      <c r="K38" s="100">
        <f>20/20/20</f>
        <v>0.05</v>
      </c>
      <c r="L38" s="87">
        <f>I38*K38</f>
        <v>94500.000000000015</v>
      </c>
      <c r="M38" s="104">
        <v>0</v>
      </c>
      <c r="N38" s="87">
        <f t="shared" si="2"/>
        <v>0</v>
      </c>
      <c r="O38" s="105">
        <v>7</v>
      </c>
      <c r="P38" s="197">
        <f t="shared" si="3"/>
        <v>13500.000000000002</v>
      </c>
    </row>
    <row r="39" spans="2:16" x14ac:dyDescent="0.15">
      <c r="B39" s="711"/>
      <c r="C39" s="713"/>
      <c r="D39" s="713"/>
      <c r="E39" s="713"/>
      <c r="F39" s="713"/>
      <c r="G39" s="713"/>
      <c r="H39" s="719"/>
      <c r="I39" s="713"/>
      <c r="J39" s="387"/>
      <c r="K39" s="100"/>
      <c r="L39" s="87">
        <f>I38*K39</f>
        <v>0</v>
      </c>
      <c r="M39" s="104">
        <v>0</v>
      </c>
      <c r="N39" s="87">
        <f t="shared" si="2"/>
        <v>0</v>
      </c>
      <c r="O39" s="105">
        <v>7</v>
      </c>
      <c r="P39" s="197">
        <f t="shared" si="3"/>
        <v>0</v>
      </c>
    </row>
    <row r="40" spans="2:16" x14ac:dyDescent="0.15">
      <c r="B40" s="711"/>
      <c r="C40" s="714"/>
      <c r="D40" s="714"/>
      <c r="E40" s="714"/>
      <c r="F40" s="714"/>
      <c r="G40" s="714"/>
      <c r="H40" s="720"/>
      <c r="I40" s="714"/>
      <c r="J40" s="387"/>
      <c r="K40" s="100"/>
      <c r="L40" s="87">
        <f>I38*K40</f>
        <v>0</v>
      </c>
      <c r="M40" s="104">
        <v>0</v>
      </c>
      <c r="N40" s="87">
        <f t="shared" si="2"/>
        <v>0</v>
      </c>
      <c r="O40" s="105"/>
      <c r="P40" s="197">
        <v>0</v>
      </c>
    </row>
    <row r="41" spans="2:16" x14ac:dyDescent="0.15">
      <c r="B41" s="711"/>
      <c r="C41" s="712" t="str">
        <f>'６（参考）水稲資本装備'!C23</f>
        <v>コンポキャスター</v>
      </c>
      <c r="D41" s="712"/>
      <c r="E41" s="712">
        <f>'６（参考）水稲資本装備'!E23</f>
        <v>1</v>
      </c>
      <c r="F41" s="712" t="str">
        <f>'６（参考）水稲資本装備'!F23</f>
        <v>台</v>
      </c>
      <c r="G41" s="712">
        <f>'６（参考）水稲資本装備'!G23</f>
        <v>340200</v>
      </c>
      <c r="H41" s="712">
        <f>'６（参考）水稲資本装備'!H23</f>
        <v>0</v>
      </c>
      <c r="I41" s="712">
        <f>'６（参考）水稲資本装備'!I23</f>
        <v>340200</v>
      </c>
      <c r="J41" s="386" t="s">
        <v>456</v>
      </c>
      <c r="K41" s="100">
        <f>20/30/20</f>
        <v>3.3333333333333333E-2</v>
      </c>
      <c r="L41" s="87">
        <f>I41*K41</f>
        <v>11340</v>
      </c>
      <c r="M41" s="104">
        <v>0</v>
      </c>
      <c r="N41" s="87">
        <f t="shared" si="2"/>
        <v>0</v>
      </c>
      <c r="O41" s="105">
        <v>7</v>
      </c>
      <c r="P41" s="197">
        <f t="shared" si="3"/>
        <v>1620</v>
      </c>
    </row>
    <row r="42" spans="2:16" x14ac:dyDescent="0.15">
      <c r="B42" s="711"/>
      <c r="C42" s="713"/>
      <c r="D42" s="713"/>
      <c r="E42" s="713"/>
      <c r="F42" s="713"/>
      <c r="G42" s="713"/>
      <c r="H42" s="713"/>
      <c r="I42" s="713"/>
      <c r="J42" s="387" t="s">
        <v>457</v>
      </c>
      <c r="K42" s="100">
        <f>10/30/10</f>
        <v>3.3333333333333333E-2</v>
      </c>
      <c r="L42" s="87">
        <f>I41*K42</f>
        <v>11340</v>
      </c>
      <c r="M42" s="104">
        <v>0</v>
      </c>
      <c r="N42" s="87">
        <f t="shared" si="2"/>
        <v>0</v>
      </c>
      <c r="O42" s="105">
        <v>7</v>
      </c>
      <c r="P42" s="197">
        <f t="shared" si="3"/>
        <v>1620</v>
      </c>
    </row>
    <row r="43" spans="2:16" x14ac:dyDescent="0.15">
      <c r="B43" s="711"/>
      <c r="C43" s="714"/>
      <c r="D43" s="714"/>
      <c r="E43" s="714"/>
      <c r="F43" s="714"/>
      <c r="G43" s="714"/>
      <c r="H43" s="714"/>
      <c r="I43" s="714"/>
      <c r="J43" s="387"/>
      <c r="K43" s="100"/>
      <c r="L43" s="87">
        <f>I41*K43</f>
        <v>0</v>
      </c>
      <c r="M43" s="104">
        <v>0</v>
      </c>
      <c r="N43" s="87">
        <f t="shared" si="2"/>
        <v>0</v>
      </c>
      <c r="O43" s="105"/>
      <c r="P43" s="197">
        <v>0</v>
      </c>
    </row>
    <row r="44" spans="2:16" x14ac:dyDescent="0.15">
      <c r="B44" s="711"/>
      <c r="C44" s="712" t="str">
        <f>'６（参考）水稲資本装備'!C24</f>
        <v>ﾏﾆｭｱｽﾌﾟﾚｯﾀﾞ</v>
      </c>
      <c r="D44" s="712" t="str">
        <f>'６（参考）水稲資本装備'!D24</f>
        <v>2トン牽引式</v>
      </c>
      <c r="E44" s="712">
        <f>'６（参考）水稲資本装備'!E24</f>
        <v>1</v>
      </c>
      <c r="F44" s="712" t="str">
        <f>'６（参考）水稲資本装備'!F24</f>
        <v>台</v>
      </c>
      <c r="G44" s="712">
        <f>'６（参考）水稲資本装備'!G24</f>
        <v>986040.00000000012</v>
      </c>
      <c r="H44" s="718">
        <f>'６（参考）水稲資本装備'!H24</f>
        <v>0.5</v>
      </c>
      <c r="I44" s="712">
        <f>'６（参考）水稲資本装備'!I24</f>
        <v>493020.00000000006</v>
      </c>
      <c r="J44" s="386"/>
      <c r="K44" s="100"/>
      <c r="L44" s="87">
        <f>I44*K44</f>
        <v>0</v>
      </c>
      <c r="M44" s="104">
        <v>0</v>
      </c>
      <c r="N44" s="87">
        <f t="shared" si="2"/>
        <v>0</v>
      </c>
      <c r="O44" s="105">
        <v>7</v>
      </c>
      <c r="P44" s="197">
        <v>0</v>
      </c>
    </row>
    <row r="45" spans="2:16" x14ac:dyDescent="0.15">
      <c r="B45" s="711"/>
      <c r="C45" s="713"/>
      <c r="D45" s="713"/>
      <c r="E45" s="713"/>
      <c r="F45" s="713"/>
      <c r="G45" s="713"/>
      <c r="H45" s="719"/>
      <c r="I45" s="713"/>
      <c r="J45" s="387" t="s">
        <v>457</v>
      </c>
      <c r="K45" s="100">
        <f>10/10/10</f>
        <v>0.1</v>
      </c>
      <c r="L45" s="87">
        <f>I44*K45</f>
        <v>49302.000000000007</v>
      </c>
      <c r="M45" s="104">
        <v>0</v>
      </c>
      <c r="N45" s="87">
        <f t="shared" si="2"/>
        <v>0</v>
      </c>
      <c r="O45" s="105">
        <v>7</v>
      </c>
      <c r="P45" s="197">
        <f t="shared" si="3"/>
        <v>7043.1428571428578</v>
      </c>
    </row>
    <row r="46" spans="2:16" x14ac:dyDescent="0.15">
      <c r="B46" s="711"/>
      <c r="C46" s="714"/>
      <c r="D46" s="714"/>
      <c r="E46" s="714"/>
      <c r="F46" s="714"/>
      <c r="G46" s="714"/>
      <c r="H46" s="720"/>
      <c r="I46" s="714"/>
      <c r="J46" s="387"/>
      <c r="K46" s="100"/>
      <c r="L46" s="87">
        <f>I44*K46</f>
        <v>0</v>
      </c>
      <c r="M46" s="104">
        <v>0</v>
      </c>
      <c r="N46" s="87">
        <f t="shared" si="2"/>
        <v>0</v>
      </c>
      <c r="O46" s="105"/>
      <c r="P46" s="197">
        <v>0</v>
      </c>
    </row>
    <row r="47" spans="2:16" x14ac:dyDescent="0.15">
      <c r="B47" s="711"/>
      <c r="C47" s="712" t="s">
        <v>471</v>
      </c>
      <c r="D47" s="712" t="s">
        <v>472</v>
      </c>
      <c r="E47" s="712">
        <v>1</v>
      </c>
      <c r="F47" s="712" t="s">
        <v>473</v>
      </c>
      <c r="G47" s="712">
        <f>SUM('６（参考）水稲資本装備'!G26:G29)</f>
        <v>1711692</v>
      </c>
      <c r="H47" s="721">
        <v>0</v>
      </c>
      <c r="I47" s="712">
        <f>G47*(1-H47)</f>
        <v>1711692</v>
      </c>
      <c r="J47" s="386" t="s">
        <v>456</v>
      </c>
      <c r="K47" s="100">
        <f>20/30/20</f>
        <v>3.3333333333333333E-2</v>
      </c>
      <c r="L47" s="87">
        <f>I47*K47</f>
        <v>57056.4</v>
      </c>
      <c r="M47" s="104">
        <v>0</v>
      </c>
      <c r="N47" s="87">
        <f t="shared" si="2"/>
        <v>0</v>
      </c>
      <c r="O47" s="105">
        <v>7</v>
      </c>
      <c r="P47" s="197">
        <f t="shared" si="3"/>
        <v>8150.9142857142861</v>
      </c>
    </row>
    <row r="48" spans="2:16" x14ac:dyDescent="0.15">
      <c r="B48" s="711"/>
      <c r="C48" s="713"/>
      <c r="D48" s="713"/>
      <c r="E48" s="713"/>
      <c r="F48" s="713"/>
      <c r="G48" s="713"/>
      <c r="H48" s="722"/>
      <c r="I48" s="713"/>
      <c r="J48" s="387" t="s">
        <v>457</v>
      </c>
      <c r="K48" s="100">
        <f>10/30/10</f>
        <v>3.3333333333333333E-2</v>
      </c>
      <c r="L48" s="87">
        <f>I47*K48</f>
        <v>57056.4</v>
      </c>
      <c r="M48" s="104">
        <v>0</v>
      </c>
      <c r="N48" s="87">
        <f t="shared" si="2"/>
        <v>0</v>
      </c>
      <c r="O48" s="105">
        <v>7</v>
      </c>
      <c r="P48" s="197">
        <f t="shared" si="3"/>
        <v>8150.9142857142861</v>
      </c>
    </row>
    <row r="49" spans="2:16" x14ac:dyDescent="0.15">
      <c r="B49" s="711"/>
      <c r="C49" s="714"/>
      <c r="D49" s="714"/>
      <c r="E49" s="714"/>
      <c r="F49" s="714"/>
      <c r="G49" s="714"/>
      <c r="H49" s="723"/>
      <c r="I49" s="714"/>
      <c r="J49" s="387"/>
      <c r="K49" s="100"/>
      <c r="L49" s="87"/>
      <c r="M49" s="104"/>
      <c r="N49" s="87"/>
      <c r="O49" s="105"/>
      <c r="P49" s="197">
        <v>0</v>
      </c>
    </row>
    <row r="50" spans="2:16" x14ac:dyDescent="0.15">
      <c r="B50" s="711"/>
      <c r="C50" s="712" t="str">
        <f>'６（参考）水稲資本装備'!C31</f>
        <v>乾燥調製プラント</v>
      </c>
      <c r="D50" s="712" t="str">
        <f>'６（参考）水稲資本装備'!D31</f>
        <v>一式</v>
      </c>
      <c r="E50" s="712">
        <f>'６（参考）水稲資本装備'!E31</f>
        <v>1</v>
      </c>
      <c r="F50" s="712" t="str">
        <f>'６（参考）水稲資本装備'!F31</f>
        <v>式</v>
      </c>
      <c r="G50" s="712">
        <f>'６（参考）水稲資本装備'!G31</f>
        <v>15000000</v>
      </c>
      <c r="H50" s="712">
        <f>'６（参考）水稲資本装備'!H31</f>
        <v>0</v>
      </c>
      <c r="I50" s="712">
        <f>'６（参考）水稲資本装備'!I31</f>
        <v>15000000</v>
      </c>
      <c r="J50" s="386" t="s">
        <v>456</v>
      </c>
      <c r="K50" s="100">
        <f>20/20/20</f>
        <v>0.05</v>
      </c>
      <c r="L50" s="87">
        <f>I50*K50</f>
        <v>750000</v>
      </c>
      <c r="M50" s="104">
        <v>0</v>
      </c>
      <c r="N50" s="87">
        <f t="shared" si="2"/>
        <v>0</v>
      </c>
      <c r="O50" s="105">
        <v>7</v>
      </c>
      <c r="P50" s="197">
        <f t="shared" si="3"/>
        <v>107142.85714285714</v>
      </c>
    </row>
    <row r="51" spans="2:16" x14ac:dyDescent="0.15">
      <c r="B51" s="711"/>
      <c r="C51" s="713"/>
      <c r="D51" s="713"/>
      <c r="E51" s="713"/>
      <c r="F51" s="713"/>
      <c r="G51" s="713"/>
      <c r="H51" s="713"/>
      <c r="I51" s="713"/>
      <c r="J51" s="387"/>
      <c r="K51" s="100"/>
      <c r="L51" s="87"/>
      <c r="M51" s="104"/>
      <c r="N51" s="87"/>
      <c r="O51" s="105"/>
      <c r="P51" s="197">
        <v>0</v>
      </c>
    </row>
    <row r="52" spans="2:16" x14ac:dyDescent="0.15">
      <c r="B52" s="711"/>
      <c r="C52" s="714"/>
      <c r="D52" s="714"/>
      <c r="E52" s="714"/>
      <c r="F52" s="714"/>
      <c r="G52" s="714"/>
      <c r="H52" s="714"/>
      <c r="I52" s="714"/>
      <c r="J52" s="387"/>
      <c r="K52" s="100"/>
      <c r="L52" s="87"/>
      <c r="M52" s="104"/>
      <c r="N52" s="87"/>
      <c r="O52" s="105"/>
      <c r="P52" s="197">
        <v>0</v>
      </c>
    </row>
    <row r="53" spans="2:16" x14ac:dyDescent="0.15">
      <c r="B53" s="711"/>
      <c r="C53" s="712" t="s">
        <v>474</v>
      </c>
      <c r="D53" s="712" t="s">
        <v>475</v>
      </c>
      <c r="E53" s="712">
        <f>'６（参考）水稲資本装備'!E35</f>
        <v>1</v>
      </c>
      <c r="F53" s="712" t="str">
        <f>'６（参考）水稲資本装備'!F35</f>
        <v>台</v>
      </c>
      <c r="G53" s="712">
        <f>'６（参考）水稲資本装備'!G35+'６（参考）水稲資本装備'!G36</f>
        <v>2420000</v>
      </c>
      <c r="H53" s="712">
        <f>'６（参考）水稲資本装備'!H35+'６（参考）水稲資本装備'!H36</f>
        <v>0</v>
      </c>
      <c r="I53" s="712">
        <f>'６（参考）水稲資本装備'!I35+'６（参考）水稲資本装備'!I36</f>
        <v>2420000</v>
      </c>
      <c r="J53" s="386" t="s">
        <v>456</v>
      </c>
      <c r="K53" s="100">
        <f>20/30/20</f>
        <v>3.3333333333333333E-2</v>
      </c>
      <c r="L53" s="87">
        <f>I53*K53</f>
        <v>80666.666666666672</v>
      </c>
      <c r="M53" s="104">
        <v>0</v>
      </c>
      <c r="N53" s="87">
        <f t="shared" si="2"/>
        <v>0</v>
      </c>
      <c r="O53" s="87">
        <v>4</v>
      </c>
      <c r="P53" s="197">
        <f t="shared" si="3"/>
        <v>20166.666666666668</v>
      </c>
    </row>
    <row r="54" spans="2:16" x14ac:dyDescent="0.15">
      <c r="B54" s="711"/>
      <c r="C54" s="713"/>
      <c r="D54" s="713"/>
      <c r="E54" s="713"/>
      <c r="F54" s="713"/>
      <c r="G54" s="713"/>
      <c r="H54" s="713"/>
      <c r="I54" s="713"/>
      <c r="J54" s="387" t="s">
        <v>457</v>
      </c>
      <c r="K54" s="100">
        <f>10/30/10</f>
        <v>3.3333333333333333E-2</v>
      </c>
      <c r="L54" s="87">
        <f>I53*K54</f>
        <v>80666.666666666672</v>
      </c>
      <c r="M54" s="104">
        <v>0</v>
      </c>
      <c r="N54" s="87">
        <f t="shared" si="2"/>
        <v>0</v>
      </c>
      <c r="O54" s="87">
        <v>4</v>
      </c>
      <c r="P54" s="197">
        <f t="shared" si="3"/>
        <v>20166.666666666668</v>
      </c>
    </row>
    <row r="55" spans="2:16" x14ac:dyDescent="0.15">
      <c r="B55" s="711"/>
      <c r="C55" s="714"/>
      <c r="D55" s="714"/>
      <c r="E55" s="714"/>
      <c r="F55" s="714"/>
      <c r="G55" s="714"/>
      <c r="H55" s="714"/>
      <c r="I55" s="714"/>
      <c r="J55" s="387"/>
      <c r="K55" s="100"/>
      <c r="L55" s="87"/>
      <c r="M55" s="104"/>
      <c r="N55" s="87"/>
      <c r="O55" s="87"/>
      <c r="P55" s="197">
        <v>0</v>
      </c>
    </row>
    <row r="56" spans="2:16" x14ac:dyDescent="0.15">
      <c r="B56" s="711"/>
      <c r="C56" s="712" t="s">
        <v>476</v>
      </c>
      <c r="D56" s="712" t="s">
        <v>477</v>
      </c>
      <c r="E56" s="712">
        <f>'６（参考）水稲資本装備'!E36</f>
        <v>1</v>
      </c>
      <c r="F56" s="712" t="str">
        <f>'６（参考）水稲資本装備'!F36</f>
        <v>台</v>
      </c>
      <c r="G56" s="712">
        <f>+I56</f>
        <v>289440</v>
      </c>
      <c r="H56" s="712">
        <f>'６（参考）水稲資本装備'!H33+'６（参考）水稲資本装備'!H34</f>
        <v>0</v>
      </c>
      <c r="I56" s="712">
        <f>+'６（参考）WCS用稲資本装備'!G33</f>
        <v>289440</v>
      </c>
      <c r="J56" s="386" t="s">
        <v>456</v>
      </c>
      <c r="K56" s="100">
        <f>20/30/20</f>
        <v>3.3333333333333333E-2</v>
      </c>
      <c r="L56" s="87">
        <f>I56*K56</f>
        <v>9648</v>
      </c>
      <c r="M56" s="104">
        <v>0</v>
      </c>
      <c r="N56" s="87">
        <f t="shared" si="2"/>
        <v>0</v>
      </c>
      <c r="O56" s="87">
        <v>7</v>
      </c>
      <c r="P56" s="197">
        <f t="shared" si="3"/>
        <v>1378.2857142857142</v>
      </c>
    </row>
    <row r="57" spans="2:16" x14ac:dyDescent="0.15">
      <c r="B57" s="711"/>
      <c r="C57" s="713"/>
      <c r="D57" s="713"/>
      <c r="E57" s="713"/>
      <c r="F57" s="713"/>
      <c r="G57" s="713"/>
      <c r="H57" s="713"/>
      <c r="I57" s="713"/>
      <c r="J57" s="455" t="s">
        <v>457</v>
      </c>
      <c r="K57" s="100">
        <f>10/30/10</f>
        <v>3.3333333333333333E-2</v>
      </c>
      <c r="L57" s="87">
        <f>I56*K57</f>
        <v>9648</v>
      </c>
      <c r="M57" s="104">
        <v>0</v>
      </c>
      <c r="N57" s="87">
        <f t="shared" si="2"/>
        <v>0</v>
      </c>
      <c r="O57" s="87">
        <v>7</v>
      </c>
      <c r="P57" s="197">
        <f t="shared" si="3"/>
        <v>1378.2857142857142</v>
      </c>
    </row>
    <row r="58" spans="2:16" x14ac:dyDescent="0.15">
      <c r="B58" s="711"/>
      <c r="C58" s="714"/>
      <c r="D58" s="714"/>
      <c r="E58" s="714"/>
      <c r="F58" s="714"/>
      <c r="G58" s="714"/>
      <c r="H58" s="714"/>
      <c r="I58" s="714"/>
      <c r="J58" s="387"/>
      <c r="K58" s="100"/>
      <c r="L58" s="87"/>
      <c r="M58" s="104"/>
      <c r="N58" s="87"/>
      <c r="O58" s="87"/>
      <c r="P58" s="197" t="str">
        <f t="shared" si="3"/>
        <v/>
      </c>
    </row>
    <row r="59" spans="2:16" hidden="1" x14ac:dyDescent="0.15">
      <c r="B59" s="711"/>
      <c r="C59" s="712"/>
      <c r="D59" s="712"/>
      <c r="E59" s="712"/>
      <c r="F59" s="712"/>
      <c r="G59" s="712"/>
      <c r="H59" s="715">
        <v>0</v>
      </c>
      <c r="I59" s="712">
        <f>G59*(1-H59)</f>
        <v>0</v>
      </c>
      <c r="J59" s="87"/>
      <c r="K59" s="100"/>
      <c r="L59" s="87"/>
      <c r="M59" s="104"/>
      <c r="N59" s="87"/>
      <c r="O59" s="87"/>
      <c r="P59" s="196"/>
    </row>
    <row r="60" spans="2:16" hidden="1" x14ac:dyDescent="0.15">
      <c r="B60" s="711"/>
      <c r="C60" s="713"/>
      <c r="D60" s="713"/>
      <c r="E60" s="713"/>
      <c r="F60" s="713"/>
      <c r="G60" s="713"/>
      <c r="H60" s="716"/>
      <c r="I60" s="713"/>
      <c r="J60" s="87"/>
      <c r="K60" s="100"/>
      <c r="L60" s="87"/>
      <c r="M60" s="104"/>
      <c r="N60" s="87"/>
      <c r="O60" s="87"/>
      <c r="P60" s="197"/>
    </row>
    <row r="61" spans="2:16" hidden="1" x14ac:dyDescent="0.15">
      <c r="B61" s="711"/>
      <c r="C61" s="714"/>
      <c r="D61" s="714"/>
      <c r="E61" s="714"/>
      <c r="F61" s="714"/>
      <c r="G61" s="714"/>
      <c r="H61" s="717"/>
      <c r="I61" s="714"/>
      <c r="J61" s="87"/>
      <c r="K61" s="100"/>
      <c r="L61" s="87"/>
      <c r="M61" s="104"/>
      <c r="N61" s="87"/>
      <c r="O61" s="87"/>
      <c r="P61" s="197"/>
    </row>
    <row r="62" spans="2:16" hidden="1" x14ac:dyDescent="0.15">
      <c r="B62" s="711"/>
      <c r="C62" s="712"/>
      <c r="D62" s="712"/>
      <c r="E62" s="712"/>
      <c r="F62" s="712"/>
      <c r="G62" s="712"/>
      <c r="H62" s="715">
        <v>0</v>
      </c>
      <c r="I62" s="712">
        <f>G62*(1-H62)</f>
        <v>0</v>
      </c>
      <c r="J62" s="87"/>
      <c r="K62" s="100"/>
      <c r="L62" s="87"/>
      <c r="M62" s="104"/>
      <c r="N62" s="87"/>
      <c r="O62" s="87"/>
      <c r="P62" s="197"/>
    </row>
    <row r="63" spans="2:16" hidden="1" x14ac:dyDescent="0.15">
      <c r="B63" s="711"/>
      <c r="C63" s="713"/>
      <c r="D63" s="713"/>
      <c r="E63" s="713"/>
      <c r="F63" s="713"/>
      <c r="G63" s="713"/>
      <c r="H63" s="716"/>
      <c r="I63" s="713"/>
      <c r="J63" s="87"/>
      <c r="K63" s="100"/>
      <c r="L63" s="87"/>
      <c r="M63" s="104"/>
      <c r="N63" s="87"/>
      <c r="O63" s="87"/>
      <c r="P63" s="197"/>
    </row>
    <row r="64" spans="2:16" hidden="1" x14ac:dyDescent="0.15">
      <c r="B64" s="711"/>
      <c r="C64" s="714"/>
      <c r="D64" s="714"/>
      <c r="E64" s="714"/>
      <c r="F64" s="714"/>
      <c r="G64" s="714"/>
      <c r="H64" s="717"/>
      <c r="I64" s="714"/>
      <c r="J64" s="87"/>
      <c r="K64" s="100"/>
      <c r="L64" s="87"/>
      <c r="M64" s="104"/>
      <c r="N64" s="87"/>
      <c r="O64" s="87"/>
      <c r="P64" s="197"/>
    </row>
    <row r="65" spans="2:16" hidden="1" x14ac:dyDescent="0.15">
      <c r="B65" s="711"/>
      <c r="C65" s="712"/>
      <c r="D65" s="712"/>
      <c r="E65" s="712"/>
      <c r="F65" s="712"/>
      <c r="G65" s="712"/>
      <c r="H65" s="715">
        <v>0</v>
      </c>
      <c r="I65" s="712">
        <f>G65*(1-H65)</f>
        <v>0</v>
      </c>
      <c r="J65" s="87"/>
      <c r="K65" s="100"/>
      <c r="L65" s="87"/>
      <c r="M65" s="104"/>
      <c r="N65" s="87"/>
      <c r="O65" s="87"/>
      <c r="P65" s="197"/>
    </row>
    <row r="66" spans="2:16" hidden="1" x14ac:dyDescent="0.15">
      <c r="B66" s="711"/>
      <c r="C66" s="713"/>
      <c r="D66" s="713"/>
      <c r="E66" s="713"/>
      <c r="F66" s="713"/>
      <c r="G66" s="713"/>
      <c r="H66" s="716"/>
      <c r="I66" s="713"/>
      <c r="J66" s="87"/>
      <c r="K66" s="100"/>
      <c r="L66" s="87"/>
      <c r="M66" s="104"/>
      <c r="N66" s="87"/>
      <c r="O66" s="87"/>
      <c r="P66" s="197"/>
    </row>
    <row r="67" spans="2:16" hidden="1" x14ac:dyDescent="0.15">
      <c r="B67" s="711"/>
      <c r="C67" s="714"/>
      <c r="D67" s="714"/>
      <c r="E67" s="714"/>
      <c r="F67" s="714"/>
      <c r="G67" s="714"/>
      <c r="H67" s="717"/>
      <c r="I67" s="714"/>
      <c r="J67" s="87"/>
      <c r="K67" s="100"/>
      <c r="L67" s="87"/>
      <c r="M67" s="101"/>
      <c r="N67" s="87"/>
      <c r="O67" s="87"/>
      <c r="P67" s="197"/>
    </row>
    <row r="68" spans="2:16" x14ac:dyDescent="0.15">
      <c r="B68" s="711"/>
      <c r="C68" s="700" t="s">
        <v>46</v>
      </c>
      <c r="D68" s="700"/>
      <c r="E68" s="700"/>
      <c r="F68" s="700"/>
      <c r="G68" s="700">
        <f>SUM(G20:G65)</f>
        <v>46657652</v>
      </c>
      <c r="H68" s="700"/>
      <c r="I68" s="700">
        <f>SUM(I20:I65)</f>
        <v>44274632</v>
      </c>
      <c r="J68" s="102"/>
      <c r="K68" s="440"/>
      <c r="L68" s="102">
        <f>L20+L23+L26+L29+L32+L35+L38+L41+L44+L47+L50+L53+L56+L59+L62+L65</f>
        <v>1863287.0666666667</v>
      </c>
      <c r="M68" s="441"/>
      <c r="N68" s="102"/>
      <c r="O68" s="102"/>
      <c r="P68" s="442">
        <f>P20+P23+P26+P29+P32+P35+P38+P41+P44+P47+P50+P53+P56+P59+P62+P65</f>
        <v>274826.72380952386</v>
      </c>
    </row>
    <row r="69" spans="2:16" x14ac:dyDescent="0.15">
      <c r="B69" s="711"/>
      <c r="C69" s="701"/>
      <c r="D69" s="701"/>
      <c r="E69" s="701"/>
      <c r="F69" s="701"/>
      <c r="G69" s="701"/>
      <c r="H69" s="701"/>
      <c r="I69" s="701"/>
      <c r="J69" s="456"/>
      <c r="K69" s="440"/>
      <c r="L69" s="102">
        <f>L21+L24+L27+L30+L33+L36+L39+L42+L45+L48+L51+L54+L57+L60+L63+L66</f>
        <v>700889.06666666665</v>
      </c>
      <c r="M69" s="441"/>
      <c r="N69" s="102"/>
      <c r="O69" s="102"/>
      <c r="P69" s="354">
        <f>P21+P24+P27+P30+P33+P36+P39+P42+P45+P48+P51+P54+P57+P60</f>
        <v>108769.86666666667</v>
      </c>
    </row>
    <row r="70" spans="2:16" x14ac:dyDescent="0.15">
      <c r="B70" s="724"/>
      <c r="C70" s="702"/>
      <c r="D70" s="702"/>
      <c r="E70" s="702"/>
      <c r="F70" s="702"/>
      <c r="G70" s="702"/>
      <c r="H70" s="702"/>
      <c r="I70" s="702"/>
      <c r="J70" s="102"/>
      <c r="K70" s="103"/>
      <c r="L70" s="102"/>
      <c r="M70" s="102"/>
      <c r="N70" s="102"/>
      <c r="O70" s="102"/>
      <c r="P70" s="354"/>
    </row>
    <row r="71" spans="2:16" hidden="1" x14ac:dyDescent="0.15">
      <c r="B71" s="710" t="s">
        <v>148</v>
      </c>
      <c r="C71" s="87"/>
      <c r="D71" s="87"/>
      <c r="E71" s="87"/>
      <c r="F71" s="87"/>
      <c r="G71" s="87"/>
      <c r="H71" s="106"/>
      <c r="I71" s="87"/>
      <c r="J71" s="87"/>
      <c r="K71" s="100"/>
      <c r="L71" s="87"/>
      <c r="M71" s="106"/>
      <c r="N71" s="87"/>
      <c r="O71" s="87"/>
      <c r="P71" s="197"/>
    </row>
    <row r="72" spans="2:16" hidden="1" x14ac:dyDescent="0.15">
      <c r="B72" s="711"/>
      <c r="C72" s="87"/>
      <c r="D72" s="87"/>
      <c r="E72" s="87"/>
      <c r="F72" s="87"/>
      <c r="G72" s="87"/>
      <c r="H72" s="106"/>
      <c r="I72" s="87"/>
      <c r="J72" s="87"/>
      <c r="K72" s="100"/>
      <c r="L72" s="87"/>
      <c r="M72" s="106"/>
      <c r="N72" s="87"/>
      <c r="O72" s="87"/>
      <c r="P72" s="197"/>
    </row>
    <row r="73" spans="2:16" hidden="1" x14ac:dyDescent="0.15">
      <c r="B73" s="711"/>
      <c r="C73" s="87"/>
      <c r="D73" s="87"/>
      <c r="E73" s="87"/>
      <c r="F73" s="87"/>
      <c r="G73" s="87"/>
      <c r="H73" s="106"/>
      <c r="I73" s="87"/>
      <c r="J73" s="87"/>
      <c r="K73" s="100"/>
      <c r="L73" s="87"/>
      <c r="M73" s="106"/>
      <c r="N73" s="87"/>
      <c r="O73" s="87"/>
      <c r="P73" s="197"/>
    </row>
    <row r="74" spans="2:16" hidden="1" x14ac:dyDescent="0.15">
      <c r="B74" s="711"/>
      <c r="C74" s="87"/>
      <c r="D74" s="87"/>
      <c r="E74" s="87"/>
      <c r="F74" s="87"/>
      <c r="G74" s="87"/>
      <c r="H74" s="106"/>
      <c r="I74" s="87"/>
      <c r="J74" s="87"/>
      <c r="K74" s="100"/>
      <c r="L74" s="87"/>
      <c r="M74" s="106"/>
      <c r="N74" s="87"/>
      <c r="O74" s="87"/>
      <c r="P74" s="197"/>
    </row>
    <row r="75" spans="2:16" hidden="1" x14ac:dyDescent="0.15">
      <c r="B75" s="711"/>
      <c r="C75" s="700" t="s">
        <v>46</v>
      </c>
      <c r="D75" s="700"/>
      <c r="E75" s="700"/>
      <c r="F75" s="700"/>
      <c r="G75" s="700">
        <f>SUM(G71:G74)</f>
        <v>0</v>
      </c>
      <c r="H75" s="700"/>
      <c r="I75" s="700">
        <f>SUM(I71:I74)</f>
        <v>0</v>
      </c>
      <c r="J75" s="102"/>
      <c r="K75" s="440"/>
      <c r="L75" s="102"/>
      <c r="M75" s="441"/>
      <c r="N75" s="102"/>
      <c r="O75" s="102"/>
      <c r="P75" s="442"/>
    </row>
    <row r="76" spans="2:16" hidden="1" x14ac:dyDescent="0.15">
      <c r="B76" s="708"/>
      <c r="C76" s="701"/>
      <c r="D76" s="701"/>
      <c r="E76" s="701"/>
      <c r="F76" s="701"/>
      <c r="G76" s="701"/>
      <c r="H76" s="701"/>
      <c r="I76" s="701"/>
      <c r="J76" s="456"/>
      <c r="K76" s="440"/>
      <c r="L76" s="102"/>
      <c r="M76" s="441"/>
      <c r="N76" s="102"/>
      <c r="O76" s="102"/>
      <c r="P76" s="354"/>
    </row>
    <row r="77" spans="2:16" hidden="1" x14ac:dyDescent="0.15">
      <c r="B77" s="709"/>
      <c r="C77" s="702"/>
      <c r="D77" s="702"/>
      <c r="E77" s="702"/>
      <c r="F77" s="702"/>
      <c r="G77" s="702"/>
      <c r="H77" s="702"/>
      <c r="I77" s="702"/>
      <c r="J77" s="102"/>
      <c r="K77" s="443"/>
      <c r="L77" s="107"/>
      <c r="M77" s="107"/>
      <c r="N77" s="107"/>
      <c r="O77" s="107"/>
      <c r="P77" s="444"/>
    </row>
    <row r="78" spans="2:16" x14ac:dyDescent="0.15">
      <c r="B78" s="445"/>
      <c r="C78" s="446"/>
      <c r="D78" s="447"/>
      <c r="E78" s="447"/>
      <c r="F78" s="447"/>
      <c r="G78" s="703">
        <f>G17+G68+G75</f>
        <v>63573152</v>
      </c>
      <c r="H78" s="447"/>
      <c r="I78" s="703">
        <f>I17+I68+I75</f>
        <v>61190132</v>
      </c>
      <c r="J78" s="457" t="s">
        <v>456</v>
      </c>
      <c r="K78" s="448"/>
      <c r="L78" s="449">
        <f>L17+L68+L75</f>
        <v>2575637.0666666664</v>
      </c>
      <c r="M78" s="449"/>
      <c r="N78" s="449"/>
      <c r="O78" s="449"/>
      <c r="P78" s="450">
        <f>P17+P68+P75</f>
        <v>307451.72380952386</v>
      </c>
    </row>
    <row r="79" spans="2:16" x14ac:dyDescent="0.15">
      <c r="B79" s="445"/>
      <c r="C79" s="446" t="s">
        <v>478</v>
      </c>
      <c r="D79" s="447"/>
      <c r="E79" s="447"/>
      <c r="F79" s="447"/>
      <c r="G79" s="704"/>
      <c r="H79" s="447"/>
      <c r="I79" s="704"/>
      <c r="J79" s="458" t="s">
        <v>457</v>
      </c>
      <c r="K79" s="448"/>
      <c r="L79" s="449">
        <f>L18+L69+L76</f>
        <v>967739.06666666665</v>
      </c>
      <c r="M79" s="449"/>
      <c r="N79" s="449"/>
      <c r="O79" s="449"/>
      <c r="P79" s="450">
        <f>P18+P69+P76</f>
        <v>123574.86666666667</v>
      </c>
    </row>
    <row r="80" spans="2:16" ht="14.25" thickBot="1" x14ac:dyDescent="0.2">
      <c r="B80" s="346"/>
      <c r="C80" s="451"/>
      <c r="D80" s="108"/>
      <c r="E80" s="108"/>
      <c r="F80" s="109"/>
      <c r="G80" s="705"/>
      <c r="H80" s="108"/>
      <c r="I80" s="705"/>
      <c r="J80" s="459"/>
      <c r="K80" s="452"/>
      <c r="L80" s="453">
        <f>L19+L70+L77</f>
        <v>0</v>
      </c>
      <c r="M80" s="453"/>
      <c r="N80" s="453"/>
      <c r="O80" s="453"/>
      <c r="P80" s="454">
        <f>P19+P70+P77</f>
        <v>0</v>
      </c>
    </row>
  </sheetData>
  <mergeCells count="172">
    <mergeCell ref="B3:B4"/>
    <mergeCell ref="G5:G7"/>
    <mergeCell ref="C8:C10"/>
    <mergeCell ref="D8:D10"/>
    <mergeCell ref="C3:C4"/>
    <mergeCell ref="F2:G2"/>
    <mergeCell ref="E3:F3"/>
    <mergeCell ref="E5:E7"/>
    <mergeCell ref="C17:C19"/>
    <mergeCell ref="G17:G19"/>
    <mergeCell ref="F8:F10"/>
    <mergeCell ref="G8:G10"/>
    <mergeCell ref="H8:H10"/>
    <mergeCell ref="C14:C16"/>
    <mergeCell ref="D14:D16"/>
    <mergeCell ref="J3:J4"/>
    <mergeCell ref="H5:H7"/>
    <mergeCell ref="I5:I7"/>
    <mergeCell ref="I8:I10"/>
    <mergeCell ref="C11:C13"/>
    <mergeCell ref="E14:E16"/>
    <mergeCell ref="F14:F16"/>
    <mergeCell ref="F5:F7"/>
    <mergeCell ref="D3:D4"/>
    <mergeCell ref="C5:C7"/>
    <mergeCell ref="D5:D7"/>
    <mergeCell ref="G14:G16"/>
    <mergeCell ref="D11:D13"/>
    <mergeCell ref="E11:E13"/>
    <mergeCell ref="F11:F13"/>
    <mergeCell ref="G11:G13"/>
    <mergeCell ref="H11:H13"/>
    <mergeCell ref="I11:I13"/>
    <mergeCell ref="E8:E10"/>
    <mergeCell ref="H26:H28"/>
    <mergeCell ref="I26:I28"/>
    <mergeCell ref="H29:H31"/>
    <mergeCell ref="I29:I31"/>
    <mergeCell ref="H32:H34"/>
    <mergeCell ref="I32:I34"/>
    <mergeCell ref="F35:F37"/>
    <mergeCell ref="G35:G37"/>
    <mergeCell ref="H14:H16"/>
    <mergeCell ref="I14:I16"/>
    <mergeCell ref="H35:H37"/>
    <mergeCell ref="I35:I37"/>
    <mergeCell ref="E23:E25"/>
    <mergeCell ref="H20:H22"/>
    <mergeCell ref="I20:I22"/>
    <mergeCell ref="D17:D19"/>
    <mergeCell ref="E17:E19"/>
    <mergeCell ref="F17:F19"/>
    <mergeCell ref="H23:H25"/>
    <mergeCell ref="I23:I25"/>
    <mergeCell ref="H17:H19"/>
    <mergeCell ref="I17:I19"/>
    <mergeCell ref="F23:F25"/>
    <mergeCell ref="G23:G25"/>
    <mergeCell ref="D23:D25"/>
    <mergeCell ref="B20:B70"/>
    <mergeCell ref="C20:C22"/>
    <mergeCell ref="D20:D22"/>
    <mergeCell ref="E20:E22"/>
    <mergeCell ref="F20:F22"/>
    <mergeCell ref="G20:G22"/>
    <mergeCell ref="C26:C28"/>
    <mergeCell ref="D26:D28"/>
    <mergeCell ref="E26:E28"/>
    <mergeCell ref="F26:F28"/>
    <mergeCell ref="C44:C46"/>
    <mergeCell ref="C23:C25"/>
    <mergeCell ref="G26:G28"/>
    <mergeCell ref="C29:C31"/>
    <mergeCell ref="D29:D31"/>
    <mergeCell ref="E29:E31"/>
    <mergeCell ref="F29:F31"/>
    <mergeCell ref="G29:G31"/>
    <mergeCell ref="G32:G34"/>
    <mergeCell ref="E32:E34"/>
    <mergeCell ref="F32:F34"/>
    <mergeCell ref="C35:C37"/>
    <mergeCell ref="D35:D37"/>
    <mergeCell ref="E35:E37"/>
    <mergeCell ref="C32:C34"/>
    <mergeCell ref="D32:D34"/>
    <mergeCell ref="G38:G40"/>
    <mergeCell ref="H38:H40"/>
    <mergeCell ref="I38:I40"/>
    <mergeCell ref="I41:I43"/>
    <mergeCell ref="C41:C43"/>
    <mergeCell ref="D41:D43"/>
    <mergeCell ref="E41:E43"/>
    <mergeCell ref="F41:F43"/>
    <mergeCell ref="G41:G43"/>
    <mergeCell ref="H41:H43"/>
    <mergeCell ref="C38:C40"/>
    <mergeCell ref="D38:D40"/>
    <mergeCell ref="E38:E40"/>
    <mergeCell ref="F38:F40"/>
    <mergeCell ref="H44:H46"/>
    <mergeCell ref="I44:I46"/>
    <mergeCell ref="C47:C49"/>
    <mergeCell ref="D47:D49"/>
    <mergeCell ref="E47:E49"/>
    <mergeCell ref="F47:F49"/>
    <mergeCell ref="G47:G49"/>
    <mergeCell ref="H47:H49"/>
    <mergeCell ref="I47:I49"/>
    <mergeCell ref="D44:D46"/>
    <mergeCell ref="E44:E46"/>
    <mergeCell ref="F44:F46"/>
    <mergeCell ref="G44:G46"/>
    <mergeCell ref="I50:I52"/>
    <mergeCell ref="C53:C55"/>
    <mergeCell ref="D53:D55"/>
    <mergeCell ref="E53:E55"/>
    <mergeCell ref="F53:F55"/>
    <mergeCell ref="G53:G55"/>
    <mergeCell ref="H53:H55"/>
    <mergeCell ref="I53:I55"/>
    <mergeCell ref="C50:C52"/>
    <mergeCell ref="D50:D52"/>
    <mergeCell ref="E50:E52"/>
    <mergeCell ref="F50:F52"/>
    <mergeCell ref="G50:G52"/>
    <mergeCell ref="H50:H52"/>
    <mergeCell ref="H65:H67"/>
    <mergeCell ref="I65:I67"/>
    <mergeCell ref="C62:C64"/>
    <mergeCell ref="D62:D64"/>
    <mergeCell ref="E62:E64"/>
    <mergeCell ref="F62:F64"/>
    <mergeCell ref="G56:G58"/>
    <mergeCell ref="H56:H58"/>
    <mergeCell ref="E56:E58"/>
    <mergeCell ref="F56:F58"/>
    <mergeCell ref="G62:G64"/>
    <mergeCell ref="H62:H64"/>
    <mergeCell ref="I56:I58"/>
    <mergeCell ref="C59:C61"/>
    <mergeCell ref="D59:D61"/>
    <mergeCell ref="E59:E61"/>
    <mergeCell ref="F59:F61"/>
    <mergeCell ref="G59:G61"/>
    <mergeCell ref="H59:H61"/>
    <mergeCell ref="I59:I61"/>
    <mergeCell ref="C56:C58"/>
    <mergeCell ref="D56:D58"/>
    <mergeCell ref="I75:I77"/>
    <mergeCell ref="G78:G80"/>
    <mergeCell ref="I78:I80"/>
    <mergeCell ref="B5:B19"/>
    <mergeCell ref="G68:G70"/>
    <mergeCell ref="H68:H70"/>
    <mergeCell ref="I68:I70"/>
    <mergeCell ref="B71:B77"/>
    <mergeCell ref="C75:C77"/>
    <mergeCell ref="D75:D77"/>
    <mergeCell ref="E75:E77"/>
    <mergeCell ref="F75:F77"/>
    <mergeCell ref="G75:G77"/>
    <mergeCell ref="H75:H77"/>
    <mergeCell ref="C68:C70"/>
    <mergeCell ref="D68:D70"/>
    <mergeCell ref="E68:E70"/>
    <mergeCell ref="F68:F70"/>
    <mergeCell ref="I62:I64"/>
    <mergeCell ref="C65:C67"/>
    <mergeCell ref="D65:D67"/>
    <mergeCell ref="E65:E67"/>
    <mergeCell ref="F65:F67"/>
    <mergeCell ref="G65:G67"/>
  </mergeCells>
  <phoneticPr fontId="5"/>
  <pageMargins left="1.1811023622047245" right="0.78740157480314965" top="0.74803149606299213" bottom="0.74803149606299213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B1:AM57"/>
  <sheetViews>
    <sheetView zoomScale="75" zoomScaleNormal="75" zoomScaleSheetLayoutView="100" workbookViewId="0">
      <pane xSplit="6" ySplit="4" topLeftCell="K5" activePane="bottomRight" state="frozen"/>
      <selection activeCell="E37" sqref="E37"/>
      <selection pane="topRight" activeCell="E37" sqref="E37"/>
      <selection pane="bottomLeft" activeCell="E37" sqref="E37"/>
      <selection pane="bottomRight"/>
    </sheetView>
  </sheetViews>
  <sheetFormatPr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customWidth="1"/>
    <col min="19" max="19" width="13.75" style="10" customWidth="1"/>
    <col min="20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536</v>
      </c>
      <c r="C2" s="7"/>
      <c r="D2" s="7"/>
      <c r="E2" s="8"/>
      <c r="F2" s="738"/>
      <c r="G2" s="739"/>
      <c r="H2" s="162" t="s">
        <v>274</v>
      </c>
      <c r="I2" s="131" t="s">
        <v>355</v>
      </c>
      <c r="J2" s="161"/>
      <c r="K2" s="162" t="s">
        <v>275</v>
      </c>
      <c r="L2" s="3" t="s">
        <v>276</v>
      </c>
      <c r="M2" s="9"/>
      <c r="P2" s="14"/>
      <c r="R2" s="88" t="s">
        <v>375</v>
      </c>
      <c r="S2" s="88" t="s">
        <v>366</v>
      </c>
    </row>
    <row r="3" spans="2:26" s="5" customFormat="1" x14ac:dyDescent="0.15">
      <c r="B3" s="740" t="s">
        <v>139</v>
      </c>
      <c r="C3" s="735" t="s">
        <v>38</v>
      </c>
      <c r="D3" s="742" t="s">
        <v>138</v>
      </c>
      <c r="E3" s="744" t="s">
        <v>39</v>
      </c>
      <c r="F3" s="745"/>
      <c r="G3" s="398" t="s">
        <v>40</v>
      </c>
      <c r="H3" s="17" t="s">
        <v>141</v>
      </c>
      <c r="I3" s="400" t="s">
        <v>140</v>
      </c>
      <c r="J3" s="735" t="s">
        <v>99</v>
      </c>
      <c r="K3" s="19" t="s">
        <v>100</v>
      </c>
      <c r="L3" s="18" t="s">
        <v>41</v>
      </c>
      <c r="M3" s="17" t="s">
        <v>145</v>
      </c>
      <c r="N3" s="18" t="s">
        <v>42</v>
      </c>
      <c r="O3" s="18" t="s">
        <v>43</v>
      </c>
      <c r="P3" s="347" t="s">
        <v>44</v>
      </c>
      <c r="S3" s="187" t="s">
        <v>367</v>
      </c>
      <c r="T3" s="187" t="s">
        <v>368</v>
      </c>
      <c r="U3" s="187" t="s">
        <v>369</v>
      </c>
      <c r="V3" s="187" t="s">
        <v>370</v>
      </c>
      <c r="W3" s="187" t="s">
        <v>371</v>
      </c>
      <c r="X3" s="187" t="s">
        <v>372</v>
      </c>
      <c r="Y3" s="187" t="s">
        <v>373</v>
      </c>
      <c r="Z3" s="88" t="s">
        <v>374</v>
      </c>
    </row>
    <row r="4" spans="2:26" x14ac:dyDescent="0.15">
      <c r="B4" s="741"/>
      <c r="C4" s="736"/>
      <c r="D4" s="743"/>
      <c r="E4" s="20" t="s">
        <v>101</v>
      </c>
      <c r="F4" s="20" t="s">
        <v>9</v>
      </c>
      <c r="G4" s="399" t="s">
        <v>143</v>
      </c>
      <c r="H4" s="21" t="s">
        <v>142</v>
      </c>
      <c r="I4" s="399" t="s">
        <v>149</v>
      </c>
      <c r="J4" s="736"/>
      <c r="K4" s="22" t="s">
        <v>144</v>
      </c>
      <c r="L4" s="21" t="s">
        <v>150</v>
      </c>
      <c r="M4" s="21" t="s">
        <v>146</v>
      </c>
      <c r="N4" s="21" t="s">
        <v>151</v>
      </c>
      <c r="O4" s="21" t="s">
        <v>147</v>
      </c>
      <c r="P4" s="348" t="s">
        <v>152</v>
      </c>
      <c r="R4" s="10">
        <f>SUM(S4:Z4)</f>
        <v>30</v>
      </c>
      <c r="S4" s="10">
        <f>'１　対象経営の概要，２　前提条件'!AB26+'１　対象経営の概要，２　前提条件'!AM26+'１　対象経営の概要，２　前提条件'!AB28</f>
        <v>15</v>
      </c>
      <c r="T4" s="10">
        <f>'１　対象経営の概要，２　前提条件'!AB27+'１　対象経営の概要，２　前提条件'!AM27</f>
        <v>5</v>
      </c>
      <c r="U4" s="10">
        <f>'１　対象経営の概要，２　前提条件'!AM28</f>
        <v>0</v>
      </c>
      <c r="V4" s="10">
        <f>'１　対象経営の概要，２　前提条件'!AM29+'１　対象経営の概要，２　前提条件'!AB30</f>
        <v>0</v>
      </c>
      <c r="W4" s="10">
        <f>'１　対象経営の概要，２　前提条件'!AM30</f>
        <v>10</v>
      </c>
      <c r="X4" s="10">
        <f>'１　対象経営の概要，２　前提条件'!F17</f>
        <v>0</v>
      </c>
      <c r="Y4" s="10">
        <f>'１　対象経営の概要，２　前提条件'!F18</f>
        <v>0</v>
      </c>
      <c r="Z4" s="10">
        <f>'１　対象経営の概要，２　前提条件'!F19</f>
        <v>0</v>
      </c>
    </row>
    <row r="5" spans="2:26" x14ac:dyDescent="0.15">
      <c r="B5" s="706" t="s">
        <v>213</v>
      </c>
      <c r="C5" s="345" t="s">
        <v>327</v>
      </c>
      <c r="D5" s="418" t="s">
        <v>104</v>
      </c>
      <c r="E5" s="418">
        <v>100</v>
      </c>
      <c r="F5" s="418" t="s">
        <v>105</v>
      </c>
      <c r="G5" s="418">
        <f>59400*E5</f>
        <v>5940000</v>
      </c>
      <c r="H5" s="420">
        <v>0</v>
      </c>
      <c r="I5" s="418">
        <f>G5*(1-H5)</f>
        <v>5940000</v>
      </c>
      <c r="J5" s="425">
        <f>SUM('１　対象経営の概要，２　前提条件'!$F$13:$F$16)</f>
        <v>30</v>
      </c>
      <c r="K5" s="421">
        <f>30/30/30</f>
        <v>3.3333333333333333E-2</v>
      </c>
      <c r="L5" s="29">
        <f>I5*K5</f>
        <v>198000</v>
      </c>
      <c r="M5" s="36">
        <v>0</v>
      </c>
      <c r="N5" s="29">
        <f>L5*M5/100</f>
        <v>0</v>
      </c>
      <c r="O5" s="29">
        <v>25</v>
      </c>
      <c r="P5" s="349">
        <f>IF(O5="","",(L5-N5)/O5)</f>
        <v>7920</v>
      </c>
    </row>
    <row r="6" spans="2:26" x14ac:dyDescent="0.15">
      <c r="B6" s="707"/>
      <c r="C6" s="39" t="s">
        <v>326</v>
      </c>
      <c r="D6" s="418" t="s">
        <v>104</v>
      </c>
      <c r="E6" s="417">
        <v>150</v>
      </c>
      <c r="F6" s="418" t="s">
        <v>105</v>
      </c>
      <c r="G6" s="418">
        <f>59400*E6</f>
        <v>8910000</v>
      </c>
      <c r="H6" s="420">
        <v>0</v>
      </c>
      <c r="I6" s="418">
        <f>G6*(1-H6)</f>
        <v>8910000</v>
      </c>
      <c r="J6" s="506" t="s">
        <v>469</v>
      </c>
      <c r="K6" s="421">
        <f>20/20/20</f>
        <v>0.05</v>
      </c>
      <c r="L6" s="29">
        <f>I6*K6</f>
        <v>445500</v>
      </c>
      <c r="M6" s="36">
        <v>0</v>
      </c>
      <c r="N6" s="29">
        <f>L6*M6/100</f>
        <v>0</v>
      </c>
      <c r="O6" s="29">
        <v>25</v>
      </c>
      <c r="P6" s="349">
        <f>IF(O6="","",(L6-N6)/O6)</f>
        <v>17820</v>
      </c>
    </row>
    <row r="7" spans="2:26" x14ac:dyDescent="0.15">
      <c r="B7" s="707"/>
      <c r="C7" s="345" t="s">
        <v>293</v>
      </c>
      <c r="D7" s="418" t="s">
        <v>47</v>
      </c>
      <c r="E7" s="507">
        <v>850</v>
      </c>
      <c r="F7" s="508" t="s">
        <v>105</v>
      </c>
      <c r="G7" s="418">
        <f>2430*E7</f>
        <v>2065500</v>
      </c>
      <c r="H7" s="420">
        <v>0</v>
      </c>
      <c r="I7" s="418">
        <f>G7*(1-H7)</f>
        <v>2065500</v>
      </c>
      <c r="J7" s="425">
        <f>SUM('１　対象経営の概要，２　前提条件'!$F$13:$F$16)</f>
        <v>30</v>
      </c>
      <c r="K7" s="421">
        <f>30/30/30</f>
        <v>3.3333333333333333E-2</v>
      </c>
      <c r="L7" s="29">
        <f>I7*K7</f>
        <v>68850</v>
      </c>
      <c r="M7" s="36">
        <v>0</v>
      </c>
      <c r="N7" s="29">
        <f>L7*M7/100</f>
        <v>0</v>
      </c>
      <c r="O7" s="29">
        <v>10</v>
      </c>
      <c r="P7" s="349">
        <f>IF(O7="","",(L7-N7)/O7)</f>
        <v>6885</v>
      </c>
    </row>
    <row r="8" spans="2:26" x14ac:dyDescent="0.15">
      <c r="B8" s="707"/>
      <c r="C8" s="39"/>
      <c r="D8" s="418"/>
      <c r="E8" s="507"/>
      <c r="F8" s="508"/>
      <c r="G8" s="418"/>
      <c r="H8" s="420"/>
      <c r="I8" s="418"/>
      <c r="J8" s="418"/>
      <c r="K8" s="421"/>
      <c r="L8" s="29"/>
      <c r="M8" s="36"/>
      <c r="N8" s="29"/>
      <c r="O8" s="29"/>
      <c r="P8" s="422"/>
    </row>
    <row r="9" spans="2:26" x14ac:dyDescent="0.15">
      <c r="B9" s="707"/>
      <c r="C9" s="345"/>
      <c r="D9" s="418"/>
      <c r="E9" s="507"/>
      <c r="F9" s="508"/>
      <c r="G9" s="418"/>
      <c r="H9" s="420"/>
      <c r="I9" s="418"/>
      <c r="J9" s="419"/>
      <c r="K9" s="421"/>
      <c r="L9" s="29"/>
      <c r="M9" s="36"/>
      <c r="N9" s="29"/>
      <c r="O9" s="29"/>
      <c r="P9" s="422"/>
    </row>
    <row r="10" spans="2:26" x14ac:dyDescent="0.15">
      <c r="B10" s="707"/>
      <c r="C10" s="39"/>
      <c r="D10" s="418"/>
      <c r="E10" s="418"/>
      <c r="F10" s="423"/>
      <c r="G10" s="418"/>
      <c r="H10" s="420"/>
      <c r="I10" s="418"/>
      <c r="J10" s="418"/>
      <c r="K10" s="421"/>
      <c r="L10" s="29"/>
      <c r="M10" s="36"/>
      <c r="N10" s="29"/>
      <c r="O10" s="29"/>
      <c r="P10" s="422"/>
    </row>
    <row r="11" spans="2:26" x14ac:dyDescent="0.15">
      <c r="B11" s="707"/>
      <c r="C11" s="39"/>
      <c r="D11" s="39"/>
      <c r="E11" s="39"/>
      <c r="F11" s="39"/>
      <c r="G11" s="418"/>
      <c r="H11" s="420"/>
      <c r="I11" s="418"/>
      <c r="J11" s="418"/>
      <c r="K11" s="421"/>
      <c r="L11" s="29"/>
      <c r="M11" s="36"/>
      <c r="N11" s="29"/>
      <c r="O11" s="29"/>
      <c r="P11" s="422"/>
    </row>
    <row r="12" spans="2:26" x14ac:dyDescent="0.15">
      <c r="B12" s="707"/>
      <c r="C12" s="39"/>
      <c r="D12" s="39"/>
      <c r="E12" s="39"/>
      <c r="F12" s="42"/>
      <c r="G12" s="418"/>
      <c r="H12" s="420"/>
      <c r="I12" s="418"/>
      <c r="J12" s="423"/>
      <c r="K12" s="421"/>
      <c r="L12" s="29"/>
      <c r="M12" s="36"/>
      <c r="N12" s="29"/>
      <c r="O12" s="29"/>
      <c r="P12" s="422"/>
    </row>
    <row r="13" spans="2:26" x14ac:dyDescent="0.15">
      <c r="B13" s="707"/>
      <c r="C13" s="11"/>
      <c r="D13" s="11"/>
      <c r="E13" s="11"/>
      <c r="F13" s="11"/>
      <c r="G13" s="29"/>
      <c r="H13" s="36"/>
      <c r="I13" s="29"/>
      <c r="J13" s="29"/>
      <c r="K13" s="424"/>
      <c r="L13" s="29"/>
      <c r="M13" s="36"/>
      <c r="N13" s="29"/>
      <c r="O13" s="29"/>
      <c r="P13" s="422"/>
    </row>
    <row r="14" spans="2:26" x14ac:dyDescent="0.15">
      <c r="B14" s="707"/>
      <c r="C14" s="11"/>
      <c r="D14" s="11"/>
      <c r="E14" s="11"/>
      <c r="F14" s="11"/>
      <c r="G14" s="29"/>
      <c r="H14" s="36"/>
      <c r="I14" s="29"/>
      <c r="J14" s="29"/>
      <c r="K14" s="424"/>
      <c r="L14" s="29"/>
      <c r="M14" s="36"/>
      <c r="N14" s="29"/>
      <c r="O14" s="29"/>
      <c r="P14" s="422"/>
    </row>
    <row r="15" spans="2:26" x14ac:dyDescent="0.15">
      <c r="B15" s="737"/>
      <c r="C15" s="25" t="s">
        <v>45</v>
      </c>
      <c r="D15" s="26"/>
      <c r="E15" s="26"/>
      <c r="F15" s="27"/>
      <c r="G15" s="26">
        <f>SUM(G5:G14)</f>
        <v>16915500</v>
      </c>
      <c r="H15" s="26"/>
      <c r="I15" s="26">
        <f>SUM(I5:I14)</f>
        <v>16915500</v>
      </c>
      <c r="J15" s="26"/>
      <c r="K15" s="28"/>
      <c r="L15" s="26">
        <f>SUM(L5:L14)</f>
        <v>712350</v>
      </c>
      <c r="M15" s="26"/>
      <c r="N15" s="26"/>
      <c r="O15" s="26"/>
      <c r="P15" s="350">
        <f>SUM(P5:P14)</f>
        <v>32625</v>
      </c>
      <c r="R15" s="26"/>
    </row>
    <row r="16" spans="2:26" ht="13.5" customHeight="1" x14ac:dyDescent="0.15">
      <c r="B16" s="706" t="s">
        <v>214</v>
      </c>
      <c r="C16" s="417" t="s">
        <v>54</v>
      </c>
      <c r="D16" s="419" t="s">
        <v>400</v>
      </c>
      <c r="E16" s="417">
        <v>1</v>
      </c>
      <c r="F16" s="417" t="s">
        <v>103</v>
      </c>
      <c r="G16" s="417">
        <f>5302000*1.08</f>
        <v>5726160</v>
      </c>
      <c r="H16" s="420">
        <v>0</v>
      </c>
      <c r="I16" s="418">
        <f t="shared" ref="I16:I24" si="0">G16*(1-H16)</f>
        <v>5726160</v>
      </c>
      <c r="J16" s="425">
        <f>SUM('１　対象経営の概要，２　前提条件'!$F$13:$F$16)</f>
        <v>30</v>
      </c>
      <c r="K16" s="421">
        <f>30/30/30</f>
        <v>3.3333333333333333E-2</v>
      </c>
      <c r="L16" s="418">
        <f t="shared" ref="L16:L24" si="1">I16*K16</f>
        <v>190872</v>
      </c>
      <c r="M16" s="36">
        <v>0</v>
      </c>
      <c r="N16" s="29">
        <f t="shared" ref="N16:N24" si="2">L16*M16</f>
        <v>0</v>
      </c>
      <c r="O16" s="29">
        <v>7</v>
      </c>
      <c r="P16" s="422">
        <f t="shared" ref="P16:P24" si="3">IF(O16="","",(L16-N16)/O16)</f>
        <v>27267.428571428572</v>
      </c>
    </row>
    <row r="17" spans="2:39" x14ac:dyDescent="0.15">
      <c r="B17" s="707"/>
      <c r="C17" s="419" t="s">
        <v>401</v>
      </c>
      <c r="D17" s="419" t="s">
        <v>402</v>
      </c>
      <c r="E17" s="417">
        <v>1</v>
      </c>
      <c r="F17" s="419" t="s">
        <v>103</v>
      </c>
      <c r="G17" s="417">
        <f>4284000*1.08</f>
        <v>4626720</v>
      </c>
      <c r="H17" s="420">
        <v>0</v>
      </c>
      <c r="I17" s="418">
        <f t="shared" si="0"/>
        <v>4626720</v>
      </c>
      <c r="J17" s="425">
        <f>SUM('１　対象経営の概要，２　前提条件'!$F$13:$F$16)</f>
        <v>30</v>
      </c>
      <c r="K17" s="421">
        <f>30/30/30</f>
        <v>3.3333333333333333E-2</v>
      </c>
      <c r="L17" s="418">
        <f t="shared" si="1"/>
        <v>154224</v>
      </c>
      <c r="M17" s="36">
        <v>0</v>
      </c>
      <c r="N17" s="29">
        <f t="shared" si="2"/>
        <v>0</v>
      </c>
      <c r="O17" s="29">
        <v>7</v>
      </c>
      <c r="P17" s="422">
        <f t="shared" si="3"/>
        <v>22032</v>
      </c>
    </row>
    <row r="18" spans="2:39" x14ac:dyDescent="0.15">
      <c r="B18" s="707"/>
      <c r="C18" s="417" t="s">
        <v>55</v>
      </c>
      <c r="D18" s="419" t="s">
        <v>403</v>
      </c>
      <c r="E18" s="417">
        <v>1</v>
      </c>
      <c r="F18" s="417" t="s">
        <v>103</v>
      </c>
      <c r="G18" s="417">
        <f>715000*1.08</f>
        <v>772200</v>
      </c>
      <c r="H18" s="420">
        <v>0</v>
      </c>
      <c r="I18" s="418">
        <f t="shared" si="0"/>
        <v>772200</v>
      </c>
      <c r="J18" s="425">
        <f>SUM('１　対象経営の概要，２　前提条件'!$F$13:$F$16)</f>
        <v>30</v>
      </c>
      <c r="K18" s="421">
        <f>30/30/30</f>
        <v>3.3333333333333333E-2</v>
      </c>
      <c r="L18" s="418">
        <f t="shared" si="1"/>
        <v>25740</v>
      </c>
      <c r="M18" s="36">
        <v>0</v>
      </c>
      <c r="N18" s="29">
        <f t="shared" si="2"/>
        <v>0</v>
      </c>
      <c r="O18" s="29">
        <v>7</v>
      </c>
      <c r="P18" s="422">
        <f t="shared" si="3"/>
        <v>3677.1428571428573</v>
      </c>
    </row>
    <row r="19" spans="2:39" x14ac:dyDescent="0.15">
      <c r="B19" s="707"/>
      <c r="C19" s="509" t="s">
        <v>55</v>
      </c>
      <c r="D19" s="505" t="s">
        <v>404</v>
      </c>
      <c r="E19" s="509">
        <v>1</v>
      </c>
      <c r="F19" s="417" t="s">
        <v>103</v>
      </c>
      <c r="G19" s="417">
        <f>540000*1.08</f>
        <v>583200</v>
      </c>
      <c r="H19" s="420">
        <v>0</v>
      </c>
      <c r="I19" s="418">
        <f t="shared" si="0"/>
        <v>583200</v>
      </c>
      <c r="J19" s="425">
        <f>SUM('１　対象経営の概要，２　前提条件'!$F$13:$F$16)</f>
        <v>30</v>
      </c>
      <c r="K19" s="421">
        <f>30/30/30</f>
        <v>3.3333333333333333E-2</v>
      </c>
      <c r="L19" s="418">
        <f t="shared" si="1"/>
        <v>19440</v>
      </c>
      <c r="M19" s="36">
        <v>0</v>
      </c>
      <c r="N19" s="29">
        <f t="shared" si="2"/>
        <v>0</v>
      </c>
      <c r="O19" s="29">
        <v>7</v>
      </c>
      <c r="P19" s="422">
        <f t="shared" si="3"/>
        <v>2777.1428571428573</v>
      </c>
    </row>
    <row r="20" spans="2:39" x14ac:dyDescent="0.15">
      <c r="B20" s="707"/>
      <c r="C20" s="419" t="s">
        <v>294</v>
      </c>
      <c r="D20" s="419" t="s">
        <v>295</v>
      </c>
      <c r="E20" s="417">
        <v>1</v>
      </c>
      <c r="F20" s="417" t="s">
        <v>103</v>
      </c>
      <c r="G20" s="417">
        <f>2850000*1.08</f>
        <v>3078000</v>
      </c>
      <c r="H20" s="420">
        <v>0</v>
      </c>
      <c r="I20" s="418">
        <f t="shared" si="0"/>
        <v>3078000</v>
      </c>
      <c r="J20" s="425">
        <f>SUM('１　対象経営の概要，２　前提条件'!$F$13:$F$16)</f>
        <v>30</v>
      </c>
      <c r="K20" s="421">
        <f>30/30/30</f>
        <v>3.3333333333333333E-2</v>
      </c>
      <c r="L20" s="418">
        <f>I20*K20</f>
        <v>102600</v>
      </c>
      <c r="M20" s="36">
        <v>0</v>
      </c>
      <c r="N20" s="29">
        <f t="shared" si="2"/>
        <v>0</v>
      </c>
      <c r="O20" s="29">
        <v>7</v>
      </c>
      <c r="P20" s="422">
        <f t="shared" si="3"/>
        <v>14657.142857142857</v>
      </c>
    </row>
    <row r="21" spans="2:39" x14ac:dyDescent="0.15">
      <c r="B21" s="707"/>
      <c r="C21" s="417" t="s">
        <v>56</v>
      </c>
      <c r="D21" s="419" t="s">
        <v>482</v>
      </c>
      <c r="E21" s="417">
        <v>1</v>
      </c>
      <c r="F21" s="419" t="s">
        <v>103</v>
      </c>
      <c r="G21" s="417">
        <f>6800000*1.08</f>
        <v>7344000.0000000009</v>
      </c>
      <c r="H21" s="420">
        <v>0</v>
      </c>
      <c r="I21" s="418">
        <f t="shared" si="0"/>
        <v>7344000.0000000009</v>
      </c>
      <c r="J21" s="506" t="s">
        <v>469</v>
      </c>
      <c r="K21" s="421">
        <f>20/20/20</f>
        <v>0.05</v>
      </c>
      <c r="L21" s="418">
        <f t="shared" si="1"/>
        <v>367200.00000000006</v>
      </c>
      <c r="M21" s="36">
        <v>0</v>
      </c>
      <c r="N21" s="29">
        <f t="shared" si="2"/>
        <v>0</v>
      </c>
      <c r="O21" s="29">
        <v>7</v>
      </c>
      <c r="P21" s="422">
        <f t="shared" si="3"/>
        <v>52457.142857142862</v>
      </c>
    </row>
    <row r="22" spans="2:39" x14ac:dyDescent="0.15">
      <c r="B22" s="707"/>
      <c r="C22" s="419" t="s">
        <v>301</v>
      </c>
      <c r="D22" s="419" t="s">
        <v>308</v>
      </c>
      <c r="E22" s="417">
        <v>1</v>
      </c>
      <c r="F22" s="419" t="s">
        <v>103</v>
      </c>
      <c r="G22" s="417">
        <f>3500000*1.08</f>
        <v>3780000.0000000005</v>
      </c>
      <c r="H22" s="420">
        <v>0.5</v>
      </c>
      <c r="I22" s="418">
        <f t="shared" si="0"/>
        <v>1890000.0000000002</v>
      </c>
      <c r="J22" s="506" t="s">
        <v>469</v>
      </c>
      <c r="K22" s="421">
        <f>20/20/20</f>
        <v>0.05</v>
      </c>
      <c r="L22" s="418">
        <f t="shared" si="1"/>
        <v>94500.000000000015</v>
      </c>
      <c r="M22" s="36">
        <v>0</v>
      </c>
      <c r="N22" s="29">
        <f t="shared" si="2"/>
        <v>0</v>
      </c>
      <c r="O22" s="29">
        <v>7</v>
      </c>
      <c r="P22" s="422">
        <f t="shared" si="3"/>
        <v>13500.000000000002</v>
      </c>
    </row>
    <row r="23" spans="2:39" x14ac:dyDescent="0.15">
      <c r="B23" s="707"/>
      <c r="C23" s="419" t="s">
        <v>405</v>
      </c>
      <c r="D23" s="417"/>
      <c r="E23" s="417">
        <v>1</v>
      </c>
      <c r="F23" s="419" t="s">
        <v>103</v>
      </c>
      <c r="G23" s="417">
        <f>315000*1.08</f>
        <v>340200</v>
      </c>
      <c r="H23" s="420">
        <v>0</v>
      </c>
      <c r="I23" s="418">
        <f t="shared" si="0"/>
        <v>340200</v>
      </c>
      <c r="J23" s="425">
        <f>SUM('１　対象経営の概要，２　前提条件'!$F$13:$F$16)</f>
        <v>30</v>
      </c>
      <c r="K23" s="421">
        <f>30/30/30</f>
        <v>3.3333333333333333E-2</v>
      </c>
      <c r="L23" s="418">
        <f t="shared" si="1"/>
        <v>11340</v>
      </c>
      <c r="M23" s="36">
        <v>0</v>
      </c>
      <c r="N23" s="29">
        <f t="shared" si="2"/>
        <v>0</v>
      </c>
      <c r="O23" s="29">
        <v>7</v>
      </c>
      <c r="P23" s="422">
        <f t="shared" si="3"/>
        <v>1620</v>
      </c>
    </row>
    <row r="24" spans="2:39" x14ac:dyDescent="0.15">
      <c r="B24" s="707"/>
      <c r="C24" s="419" t="s">
        <v>397</v>
      </c>
      <c r="D24" s="419" t="s">
        <v>398</v>
      </c>
      <c r="E24" s="510">
        <v>1</v>
      </c>
      <c r="F24" s="419" t="s">
        <v>103</v>
      </c>
      <c r="G24" s="418">
        <f>913000*1.08</f>
        <v>986040.00000000012</v>
      </c>
      <c r="H24" s="420">
        <v>0.5</v>
      </c>
      <c r="I24" s="418">
        <f t="shared" si="0"/>
        <v>493020.00000000006</v>
      </c>
      <c r="J24" s="506" t="s">
        <v>470</v>
      </c>
      <c r="K24" s="421"/>
      <c r="L24" s="418">
        <f t="shared" si="1"/>
        <v>0</v>
      </c>
      <c r="M24" s="36">
        <v>0</v>
      </c>
      <c r="N24" s="29">
        <f t="shared" si="2"/>
        <v>0</v>
      </c>
      <c r="O24" s="29">
        <v>7</v>
      </c>
      <c r="P24" s="422">
        <f t="shared" si="3"/>
        <v>0</v>
      </c>
    </row>
    <row r="25" spans="2:39" x14ac:dyDescent="0.15">
      <c r="B25" s="707"/>
      <c r="C25" s="419"/>
      <c r="D25" s="419"/>
      <c r="E25" s="417"/>
      <c r="F25" s="419"/>
      <c r="G25" s="417"/>
      <c r="H25" s="420"/>
      <c r="I25" s="418"/>
      <c r="J25" s="425"/>
      <c r="K25" s="421"/>
      <c r="L25" s="418"/>
      <c r="M25" s="36"/>
      <c r="N25" s="29"/>
      <c r="O25" s="29"/>
      <c r="P25" s="422"/>
    </row>
    <row r="26" spans="2:39" x14ac:dyDescent="0.15">
      <c r="B26" s="707"/>
      <c r="C26" s="419" t="s">
        <v>303</v>
      </c>
      <c r="D26" s="419" t="s">
        <v>395</v>
      </c>
      <c r="E26" s="417">
        <v>1</v>
      </c>
      <c r="F26" s="419" t="s">
        <v>103</v>
      </c>
      <c r="G26" s="417">
        <f>273000*1.08</f>
        <v>294840</v>
      </c>
      <c r="H26" s="420">
        <v>0</v>
      </c>
      <c r="I26" s="418">
        <f>G26*(1-H26)</f>
        <v>294840</v>
      </c>
      <c r="J26" s="425">
        <f>SUM('１　対象経営の概要，２　前提条件'!$F$13:$F$16)</f>
        <v>30</v>
      </c>
      <c r="K26" s="421">
        <f>30/30/30</f>
        <v>3.3333333333333333E-2</v>
      </c>
      <c r="L26" s="418">
        <f>I26*K26</f>
        <v>9828</v>
      </c>
      <c r="M26" s="36">
        <v>0</v>
      </c>
      <c r="N26" s="29">
        <f>L26*M26</f>
        <v>0</v>
      </c>
      <c r="O26" s="29">
        <v>7</v>
      </c>
      <c r="P26" s="422">
        <f>IF(O26="","",(L26-N26)/O26)</f>
        <v>1404</v>
      </c>
      <c r="AM26" s="10" t="s">
        <v>487</v>
      </c>
    </row>
    <row r="27" spans="2:39" x14ac:dyDescent="0.15">
      <c r="B27" s="707"/>
      <c r="C27" s="419" t="s">
        <v>304</v>
      </c>
      <c r="D27" s="419"/>
      <c r="E27" s="417">
        <v>1</v>
      </c>
      <c r="F27" s="419" t="s">
        <v>103</v>
      </c>
      <c r="G27" s="417">
        <f>521000*1.08</f>
        <v>562680</v>
      </c>
      <c r="H27" s="420">
        <v>0</v>
      </c>
      <c r="I27" s="418">
        <f>G27*(1-H27)</f>
        <v>562680</v>
      </c>
      <c r="J27" s="425">
        <f>SUM('１　対象経営の概要，２　前提条件'!$F$13:$F$16)</f>
        <v>30</v>
      </c>
      <c r="K27" s="421">
        <f>30/30/30</f>
        <v>3.3333333333333333E-2</v>
      </c>
      <c r="L27" s="418">
        <f>I27*K27</f>
        <v>18756</v>
      </c>
      <c r="M27" s="36">
        <v>0</v>
      </c>
      <c r="N27" s="29">
        <f>L27*M27</f>
        <v>0</v>
      </c>
      <c r="O27" s="29">
        <v>7</v>
      </c>
      <c r="P27" s="422">
        <f>IF(O27="","",(L27-N27)/O27)</f>
        <v>2679.4285714285716</v>
      </c>
    </row>
    <row r="28" spans="2:39" x14ac:dyDescent="0.15">
      <c r="B28" s="707"/>
      <c r="C28" s="419" t="s">
        <v>305</v>
      </c>
      <c r="D28" s="419" t="s">
        <v>396</v>
      </c>
      <c r="E28" s="417">
        <v>1</v>
      </c>
      <c r="F28" s="419" t="s">
        <v>103</v>
      </c>
      <c r="G28" s="417">
        <f>583000*1.08</f>
        <v>629640</v>
      </c>
      <c r="H28" s="420">
        <v>0</v>
      </c>
      <c r="I28" s="418">
        <f>G28*(1-H28)</f>
        <v>629640</v>
      </c>
      <c r="J28" s="425">
        <f>SUM('１　対象経営の概要，２　前提条件'!$F$13:$F$16)</f>
        <v>30</v>
      </c>
      <c r="K28" s="421">
        <f>30/30/30</f>
        <v>3.3333333333333333E-2</v>
      </c>
      <c r="L28" s="418">
        <f>I28*K28</f>
        <v>20988</v>
      </c>
      <c r="M28" s="36">
        <v>0</v>
      </c>
      <c r="N28" s="29">
        <f>L28*M28</f>
        <v>0</v>
      </c>
      <c r="O28" s="29">
        <v>7</v>
      </c>
      <c r="P28" s="422">
        <f>IF(O28="","",(L28-N28)/O28)</f>
        <v>2998.2857142857142</v>
      </c>
    </row>
    <row r="29" spans="2:39" x14ac:dyDescent="0.15">
      <c r="B29" s="707"/>
      <c r="C29" s="419" t="s">
        <v>306</v>
      </c>
      <c r="D29" s="417"/>
      <c r="E29" s="417">
        <v>1</v>
      </c>
      <c r="F29" s="419" t="s">
        <v>103</v>
      </c>
      <c r="G29" s="417">
        <f>207900*1.08</f>
        <v>224532.00000000003</v>
      </c>
      <c r="H29" s="420">
        <v>0</v>
      </c>
      <c r="I29" s="418">
        <f>G29*(1-H29)</f>
        <v>224532.00000000003</v>
      </c>
      <c r="J29" s="425">
        <f>SUM('１　対象経営の概要，２　前提条件'!$F$13:$F$16)</f>
        <v>30</v>
      </c>
      <c r="K29" s="421">
        <f>30/30/30</f>
        <v>3.3333333333333333E-2</v>
      </c>
      <c r="L29" s="418">
        <f>I29*K29</f>
        <v>7484.4000000000005</v>
      </c>
      <c r="M29" s="36">
        <v>0</v>
      </c>
      <c r="N29" s="29">
        <f>L29*M29</f>
        <v>0</v>
      </c>
      <c r="O29" s="29">
        <v>7</v>
      </c>
      <c r="P29" s="422">
        <f>IF(O29="","",(L29-N29)/O29)</f>
        <v>1069.2</v>
      </c>
    </row>
    <row r="30" spans="2:39" x14ac:dyDescent="0.15">
      <c r="B30" s="707"/>
      <c r="C30" s="419"/>
      <c r="D30" s="417"/>
      <c r="E30" s="417"/>
      <c r="F30" s="419"/>
      <c r="G30" s="417"/>
      <c r="H30" s="420"/>
      <c r="I30" s="418"/>
      <c r="J30" s="425"/>
      <c r="K30" s="421"/>
      <c r="L30" s="418"/>
      <c r="M30" s="36"/>
      <c r="N30" s="29"/>
      <c r="O30" s="29"/>
      <c r="P30" s="422"/>
    </row>
    <row r="31" spans="2:39" x14ac:dyDescent="0.15">
      <c r="B31" s="707"/>
      <c r="C31" s="419" t="s">
        <v>406</v>
      </c>
      <c r="D31" s="419" t="s">
        <v>377</v>
      </c>
      <c r="E31" s="417">
        <v>1</v>
      </c>
      <c r="F31" s="419" t="s">
        <v>407</v>
      </c>
      <c r="G31" s="417">
        <v>15000000</v>
      </c>
      <c r="H31" s="420">
        <v>0</v>
      </c>
      <c r="I31" s="418">
        <f>G31*(1-H31)</f>
        <v>15000000</v>
      </c>
      <c r="J31" s="506" t="s">
        <v>469</v>
      </c>
      <c r="K31" s="421">
        <f>20/20/20</f>
        <v>0.05</v>
      </c>
      <c r="L31" s="418">
        <f>I31*K31</f>
        <v>750000</v>
      </c>
      <c r="M31" s="36">
        <v>0</v>
      </c>
      <c r="N31" s="29">
        <f>L31*M31</f>
        <v>0</v>
      </c>
      <c r="O31" s="29">
        <v>7</v>
      </c>
      <c r="P31" s="422">
        <f>IF(O31="","",(L31-N31)/O31)</f>
        <v>107142.85714285714</v>
      </c>
    </row>
    <row r="32" spans="2:39" x14ac:dyDescent="0.15">
      <c r="B32" s="707"/>
      <c r="C32" s="418"/>
      <c r="D32" s="418"/>
      <c r="E32" s="418"/>
      <c r="F32" s="418"/>
      <c r="G32" s="418"/>
      <c r="H32" s="420"/>
      <c r="I32" s="418"/>
      <c r="J32" s="425"/>
      <c r="K32" s="421"/>
      <c r="L32" s="418"/>
      <c r="M32" s="36"/>
      <c r="N32" s="29"/>
      <c r="O32" s="29"/>
      <c r="P32" s="422"/>
    </row>
    <row r="33" spans="2:16" x14ac:dyDescent="0.15">
      <c r="B33" s="707"/>
      <c r="C33" s="419" t="s">
        <v>408</v>
      </c>
      <c r="D33" s="417"/>
      <c r="E33" s="417">
        <v>1</v>
      </c>
      <c r="F33" s="419" t="s">
        <v>103</v>
      </c>
      <c r="G33" s="417">
        <f>268000*1.08</f>
        <v>289440</v>
      </c>
      <c r="H33" s="420">
        <v>0</v>
      </c>
      <c r="I33" s="418">
        <f>G33*(1-H33)</f>
        <v>289440</v>
      </c>
      <c r="J33" s="425">
        <f>SUM('１　対象経営の概要，２　前提条件'!$F$13:$F$16)</f>
        <v>30</v>
      </c>
      <c r="K33" s="421">
        <f>30/30/30</f>
        <v>3.3333333333333333E-2</v>
      </c>
      <c r="L33" s="418">
        <f>I33*K33</f>
        <v>9648</v>
      </c>
      <c r="M33" s="36">
        <v>0</v>
      </c>
      <c r="N33" s="29">
        <f>L33*M33</f>
        <v>0</v>
      </c>
      <c r="O33" s="511">
        <v>7</v>
      </c>
      <c r="P33" s="422">
        <f>IF(O33="","",(L33-N33)/O33)</f>
        <v>1378.2857142857142</v>
      </c>
    </row>
    <row r="34" spans="2:16" x14ac:dyDescent="0.15">
      <c r="B34" s="707"/>
      <c r="C34" s="419" t="s">
        <v>325</v>
      </c>
      <c r="D34" s="417"/>
      <c r="E34" s="417">
        <v>1</v>
      </c>
      <c r="F34" s="419" t="s">
        <v>103</v>
      </c>
      <c r="G34" s="417">
        <f>3272000</f>
        <v>3272000</v>
      </c>
      <c r="H34" s="420">
        <v>0</v>
      </c>
      <c r="I34" s="418">
        <f>G34*(1-H34)</f>
        <v>3272000</v>
      </c>
      <c r="J34" s="425">
        <f>SUM('１　対象経営の概要，２　前提条件'!$F$13:$F$16)</f>
        <v>30</v>
      </c>
      <c r="K34" s="421">
        <f>30/30/30</f>
        <v>3.3333333333333333E-2</v>
      </c>
      <c r="L34" s="418">
        <f>I34*K34</f>
        <v>109066.66666666667</v>
      </c>
      <c r="M34" s="36">
        <v>0</v>
      </c>
      <c r="N34" s="29">
        <f>L34*M34</f>
        <v>0</v>
      </c>
      <c r="O34" s="511">
        <v>7</v>
      </c>
      <c r="P34" s="422">
        <f>IF(O34="","",(L34-N34)/O34)</f>
        <v>15580.952380952382</v>
      </c>
    </row>
    <row r="35" spans="2:16" x14ac:dyDescent="0.15">
      <c r="B35" s="707"/>
      <c r="C35" s="419" t="s">
        <v>271</v>
      </c>
      <c r="D35" s="419" t="s">
        <v>409</v>
      </c>
      <c r="E35" s="417">
        <v>1</v>
      </c>
      <c r="F35" s="419" t="s">
        <v>103</v>
      </c>
      <c r="G35" s="417">
        <v>1500000</v>
      </c>
      <c r="H35" s="420">
        <v>0</v>
      </c>
      <c r="I35" s="418">
        <f>G35*(1-H35)</f>
        <v>1500000</v>
      </c>
      <c r="J35" s="425">
        <f>SUM('１　対象経営の概要，２　前提条件'!$F$13:$F$16)</f>
        <v>30</v>
      </c>
      <c r="K35" s="421">
        <f>30/30/30</f>
        <v>3.3333333333333333E-2</v>
      </c>
      <c r="L35" s="418">
        <f>I35*K35</f>
        <v>50000</v>
      </c>
      <c r="M35" s="36">
        <v>0</v>
      </c>
      <c r="N35" s="29">
        <f>L35*M35</f>
        <v>0</v>
      </c>
      <c r="O35" s="511">
        <v>4</v>
      </c>
      <c r="P35" s="422">
        <f>IF(O35="","",(L35-N35)/O35)</f>
        <v>12500</v>
      </c>
    </row>
    <row r="36" spans="2:16" x14ac:dyDescent="0.15">
      <c r="B36" s="707"/>
      <c r="C36" s="419" t="s">
        <v>258</v>
      </c>
      <c r="D36" s="423"/>
      <c r="E36" s="417">
        <v>1</v>
      </c>
      <c r="F36" s="419" t="s">
        <v>103</v>
      </c>
      <c r="G36" s="417">
        <v>920000</v>
      </c>
      <c r="H36" s="420">
        <v>0</v>
      </c>
      <c r="I36" s="418">
        <f>G36*(1-H36)</f>
        <v>920000</v>
      </c>
      <c r="J36" s="425">
        <f>SUM('１　対象経営の概要，２　前提条件'!$F$13:$F$16)</f>
        <v>30</v>
      </c>
      <c r="K36" s="421">
        <f>30/30/30</f>
        <v>3.3333333333333333E-2</v>
      </c>
      <c r="L36" s="418">
        <f>I36*K36</f>
        <v>30666.666666666668</v>
      </c>
      <c r="M36" s="36">
        <v>0</v>
      </c>
      <c r="N36" s="29">
        <f>L36*M36</f>
        <v>0</v>
      </c>
      <c r="O36" s="511">
        <v>4</v>
      </c>
      <c r="P36" s="422">
        <f>IF(O36="","",(L36-N36)/O36)</f>
        <v>7666.666666666667</v>
      </c>
    </row>
    <row r="37" spans="2:16" x14ac:dyDescent="0.15">
      <c r="B37" s="707"/>
      <c r="C37" s="419"/>
      <c r="D37" s="423"/>
      <c r="E37" s="417"/>
      <c r="F37" s="419"/>
      <c r="G37" s="417"/>
      <c r="H37" s="420"/>
      <c r="I37" s="418"/>
      <c r="J37" s="425"/>
      <c r="K37" s="421"/>
      <c r="L37" s="418"/>
      <c r="M37" s="36"/>
      <c r="N37" s="29"/>
      <c r="O37" s="511"/>
      <c r="P37" s="422"/>
    </row>
    <row r="38" spans="2:16" x14ac:dyDescent="0.15">
      <c r="B38" s="707"/>
      <c r="C38" s="345"/>
      <c r="D38" s="39"/>
      <c r="E38" s="383"/>
      <c r="F38" s="345"/>
      <c r="G38" s="417"/>
      <c r="H38" s="40"/>
      <c r="I38" s="39"/>
      <c r="J38" s="386"/>
      <c r="K38" s="421"/>
      <c r="L38" s="39"/>
      <c r="M38" s="24"/>
      <c r="N38" s="11"/>
      <c r="O38" s="11"/>
      <c r="P38" s="349"/>
    </row>
    <row r="39" spans="2:16" x14ac:dyDescent="0.15">
      <c r="B39" s="707"/>
      <c r="C39" s="345"/>
      <c r="D39" s="39"/>
      <c r="E39" s="39"/>
      <c r="F39" s="345"/>
      <c r="G39" s="418"/>
      <c r="H39" s="40"/>
      <c r="I39" s="39"/>
      <c r="J39" s="386"/>
      <c r="K39" s="421"/>
      <c r="L39" s="39"/>
      <c r="M39" s="24"/>
      <c r="N39" s="11"/>
      <c r="O39" s="11"/>
      <c r="P39" s="349"/>
    </row>
    <row r="40" spans="2:16" x14ac:dyDescent="0.15">
      <c r="B40" s="707"/>
      <c r="C40" s="345"/>
      <c r="D40" s="345"/>
      <c r="E40" s="39"/>
      <c r="F40" s="345"/>
      <c r="G40" s="418"/>
      <c r="H40" s="40"/>
      <c r="I40" s="39"/>
      <c r="J40" s="386"/>
      <c r="K40" s="421"/>
      <c r="L40" s="39"/>
      <c r="M40" s="24"/>
      <c r="N40" s="11"/>
      <c r="O40" s="11"/>
      <c r="P40" s="349"/>
    </row>
    <row r="41" spans="2:16" x14ac:dyDescent="0.15">
      <c r="B41" s="707"/>
      <c r="C41" s="345"/>
      <c r="D41" s="39"/>
      <c r="E41" s="39"/>
      <c r="F41" s="345"/>
      <c r="G41" s="418"/>
      <c r="H41" s="420"/>
      <c r="I41" s="418"/>
      <c r="J41" s="419"/>
      <c r="K41" s="421"/>
      <c r="L41" s="418"/>
      <c r="M41" s="36"/>
      <c r="N41" s="29"/>
      <c r="O41" s="29"/>
      <c r="P41" s="422"/>
    </row>
    <row r="42" spans="2:16" x14ac:dyDescent="0.15">
      <c r="B42" s="707"/>
      <c r="C42" s="39"/>
      <c r="D42" s="39"/>
      <c r="E42" s="39"/>
      <c r="F42" s="345"/>
      <c r="G42" s="418"/>
      <c r="H42" s="420"/>
      <c r="I42" s="418"/>
      <c r="J42" s="419"/>
      <c r="K42" s="421"/>
      <c r="L42" s="418"/>
      <c r="M42" s="36"/>
      <c r="N42" s="29"/>
      <c r="O42" s="29"/>
      <c r="P42" s="422"/>
    </row>
    <row r="43" spans="2:16" x14ac:dyDescent="0.15">
      <c r="B43" s="707"/>
      <c r="C43" s="345"/>
      <c r="D43" s="39"/>
      <c r="E43" s="39"/>
      <c r="F43" s="345"/>
      <c r="G43" s="418"/>
      <c r="H43" s="420"/>
      <c r="I43" s="418"/>
      <c r="J43" s="419"/>
      <c r="K43" s="421"/>
      <c r="L43" s="418"/>
      <c r="M43" s="36"/>
      <c r="N43" s="29"/>
      <c r="O43" s="29"/>
      <c r="P43" s="422"/>
    </row>
    <row r="44" spans="2:16" x14ac:dyDescent="0.15">
      <c r="B44" s="707"/>
      <c r="C44" s="345"/>
      <c r="D44" s="39"/>
      <c r="E44" s="39"/>
      <c r="F44" s="345"/>
      <c r="G44" s="418"/>
      <c r="H44" s="420"/>
      <c r="I44" s="418"/>
      <c r="J44" s="419"/>
      <c r="K44" s="421"/>
      <c r="L44" s="418"/>
      <c r="M44" s="36"/>
      <c r="N44" s="29"/>
      <c r="O44" s="29"/>
      <c r="P44" s="422"/>
    </row>
    <row r="45" spans="2:16" x14ac:dyDescent="0.15">
      <c r="B45" s="707"/>
      <c r="C45" s="384"/>
      <c r="D45" s="345"/>
      <c r="E45" s="384"/>
      <c r="F45" s="345"/>
      <c r="G45" s="418"/>
      <c r="H45" s="420"/>
      <c r="I45" s="418"/>
      <c r="J45" s="419"/>
      <c r="K45" s="421"/>
      <c r="L45" s="418"/>
      <c r="M45" s="36"/>
      <c r="N45" s="29"/>
      <c r="O45" s="29"/>
      <c r="P45" s="422"/>
    </row>
    <row r="46" spans="2:16" x14ac:dyDescent="0.15">
      <c r="B46" s="707"/>
      <c r="C46" s="384"/>
      <c r="D46" s="42"/>
      <c r="E46" s="384"/>
      <c r="F46" s="345"/>
      <c r="G46" s="418"/>
      <c r="H46" s="420"/>
      <c r="I46" s="418"/>
      <c r="J46" s="419"/>
      <c r="K46" s="421"/>
      <c r="L46" s="418"/>
      <c r="M46" s="36"/>
      <c r="N46" s="29"/>
      <c r="O46" s="29"/>
      <c r="P46" s="422"/>
    </row>
    <row r="47" spans="2:16" x14ac:dyDescent="0.15">
      <c r="B47" s="707"/>
      <c r="C47" s="384"/>
      <c r="D47" s="42"/>
      <c r="E47" s="384"/>
      <c r="F47" s="345"/>
      <c r="G47" s="418"/>
      <c r="H47" s="420"/>
      <c r="I47" s="418"/>
      <c r="J47" s="419"/>
      <c r="K47" s="421"/>
      <c r="L47" s="418"/>
      <c r="M47" s="36"/>
      <c r="N47" s="29"/>
      <c r="O47" s="29"/>
      <c r="P47" s="422"/>
    </row>
    <row r="48" spans="2:16" x14ac:dyDescent="0.15">
      <c r="B48" s="707"/>
      <c r="C48" s="39"/>
      <c r="D48" s="42"/>
      <c r="E48" s="39"/>
      <c r="F48" s="39"/>
      <c r="G48" s="418"/>
      <c r="H48" s="420"/>
      <c r="I48" s="418"/>
      <c r="J48" s="423"/>
      <c r="K48" s="421"/>
      <c r="L48" s="418"/>
      <c r="M48" s="36"/>
      <c r="N48" s="29"/>
      <c r="O48" s="29"/>
      <c r="P48" s="422"/>
    </row>
    <row r="49" spans="2:16" x14ac:dyDescent="0.15">
      <c r="B49" s="707"/>
      <c r="C49" s="39"/>
      <c r="D49" s="42"/>
      <c r="E49" s="39"/>
      <c r="F49" s="39"/>
      <c r="G49" s="418"/>
      <c r="H49" s="420"/>
      <c r="I49" s="418"/>
      <c r="J49" s="423"/>
      <c r="K49" s="421"/>
      <c r="L49" s="418"/>
      <c r="M49" s="36"/>
      <c r="N49" s="29"/>
      <c r="O49" s="29"/>
      <c r="P49" s="422"/>
    </row>
    <row r="50" spans="2:16" x14ac:dyDescent="0.15">
      <c r="B50" s="737"/>
      <c r="C50" s="45" t="s">
        <v>46</v>
      </c>
      <c r="D50" s="45"/>
      <c r="E50" s="45"/>
      <c r="F50" s="46"/>
      <c r="G50" s="45">
        <f>SUM(G16:G46)</f>
        <v>49929652</v>
      </c>
      <c r="H50" s="45"/>
      <c r="I50" s="45">
        <f>SUM(I16:I46)</f>
        <v>47546632</v>
      </c>
      <c r="J50" s="45"/>
      <c r="K50" s="47"/>
      <c r="L50" s="45">
        <f>SUM(L16:L46)</f>
        <v>1972353.7333333334</v>
      </c>
      <c r="M50" s="26"/>
      <c r="N50" s="26"/>
      <c r="O50" s="26"/>
      <c r="P50" s="350">
        <f>SUM(P16:P46)</f>
        <v>290407.67619047622</v>
      </c>
    </row>
    <row r="51" spans="2:16" ht="13.5" customHeight="1" x14ac:dyDescent="0.15">
      <c r="B51" s="706" t="s">
        <v>148</v>
      </c>
      <c r="C51" s="39"/>
      <c r="D51" s="39"/>
      <c r="E51" s="39"/>
      <c r="F51" s="42"/>
      <c r="G51" s="39"/>
      <c r="H51" s="48"/>
      <c r="I51" s="39"/>
      <c r="J51" s="42"/>
      <c r="K51" s="41"/>
      <c r="L51" s="39"/>
      <c r="M51" s="37"/>
      <c r="N51" s="11"/>
      <c r="O51" s="11"/>
      <c r="P51" s="349" t="str">
        <f>IF(O51="","",(L51-N51)/O51)</f>
        <v/>
      </c>
    </row>
    <row r="52" spans="2:16" ht="13.5" customHeight="1" x14ac:dyDescent="0.15">
      <c r="B52" s="707"/>
      <c r="C52" s="39"/>
      <c r="D52" s="39"/>
      <c r="E52" s="39"/>
      <c r="F52" s="42"/>
      <c r="G52" s="39"/>
      <c r="H52" s="48"/>
      <c r="I52" s="39"/>
      <c r="J52" s="42"/>
      <c r="K52" s="41"/>
      <c r="L52" s="39"/>
      <c r="M52" s="37"/>
      <c r="N52" s="11"/>
      <c r="O52" s="11"/>
      <c r="P52" s="349"/>
    </row>
    <row r="53" spans="2:16" ht="13.5" customHeight="1" x14ac:dyDescent="0.15">
      <c r="B53" s="707"/>
      <c r="C53" s="39"/>
      <c r="D53" s="39"/>
      <c r="E53" s="39"/>
      <c r="F53" s="42"/>
      <c r="G53" s="39"/>
      <c r="H53" s="48"/>
      <c r="I53" s="39"/>
      <c r="J53" s="39"/>
      <c r="K53" s="41"/>
      <c r="L53" s="39"/>
      <c r="M53" s="37"/>
      <c r="N53" s="11"/>
      <c r="O53" s="11"/>
      <c r="P53" s="349" t="str">
        <f>IF(O53="","",(L53-N53)/O53)</f>
        <v/>
      </c>
    </row>
    <row r="54" spans="2:16" ht="13.5" customHeight="1" x14ac:dyDescent="0.15">
      <c r="B54" s="707"/>
      <c r="C54" s="11"/>
      <c r="D54" s="11"/>
      <c r="E54" s="11"/>
      <c r="F54" s="23"/>
      <c r="G54" s="11"/>
      <c r="H54" s="37"/>
      <c r="I54" s="11"/>
      <c r="J54" s="11"/>
      <c r="K54" s="38"/>
      <c r="L54" s="11"/>
      <c r="M54" s="37"/>
      <c r="N54" s="11"/>
      <c r="O54" s="11"/>
      <c r="P54" s="349" t="str">
        <f>IF(O54="","",(L54-N54)/O54)</f>
        <v/>
      </c>
    </row>
    <row r="55" spans="2:16" x14ac:dyDescent="0.15">
      <c r="B55" s="737"/>
      <c r="C55" s="30" t="s">
        <v>46</v>
      </c>
      <c r="D55" s="26"/>
      <c r="E55" s="26"/>
      <c r="F55" s="27"/>
      <c r="G55" s="26">
        <f>SUM(G51:G54)</f>
        <v>0</v>
      </c>
      <c r="H55" s="26"/>
      <c r="I55" s="26">
        <f>SUM(I51:I54)</f>
        <v>0</v>
      </c>
      <c r="J55" s="26"/>
      <c r="K55" s="28"/>
      <c r="L55" s="26">
        <f>SUM(L51:L54)</f>
        <v>0</v>
      </c>
      <c r="M55" s="26"/>
      <c r="N55" s="26"/>
      <c r="O55" s="26"/>
      <c r="P55" s="350">
        <f>SUM(P51:P54)</f>
        <v>0</v>
      </c>
    </row>
    <row r="56" spans="2:16" ht="14.25" thickBot="1" x14ac:dyDescent="0.2">
      <c r="B56" s="31"/>
      <c r="C56" s="32" t="s">
        <v>102</v>
      </c>
      <c r="D56" s="33"/>
      <c r="E56" s="33"/>
      <c r="F56" s="34"/>
      <c r="G56" s="33">
        <f>G15+G50+G55</f>
        <v>66845152</v>
      </c>
      <c r="H56" s="33"/>
      <c r="I56" s="33">
        <f>I15+I50+I55</f>
        <v>64462132</v>
      </c>
      <c r="J56" s="33"/>
      <c r="K56" s="35"/>
      <c r="L56" s="33">
        <f>L15+L50+L55</f>
        <v>2684703.7333333334</v>
      </c>
      <c r="M56" s="33"/>
      <c r="N56" s="33"/>
      <c r="O56" s="33"/>
      <c r="P56" s="351">
        <f>P15+P50+P55</f>
        <v>323032.67619047622</v>
      </c>
    </row>
    <row r="57" spans="2:16" ht="11.25" customHeight="1" x14ac:dyDescent="0.15"/>
  </sheetData>
  <mergeCells count="9">
    <mergeCell ref="J3:J4"/>
    <mergeCell ref="B51:B55"/>
    <mergeCell ref="B16:B50"/>
    <mergeCell ref="B5:B15"/>
    <mergeCell ref="F2:G2"/>
    <mergeCell ref="B3:B4"/>
    <mergeCell ref="C3:C4"/>
    <mergeCell ref="D3:D4"/>
    <mergeCell ref="E3:F3"/>
  </mergeCells>
  <phoneticPr fontId="5"/>
  <pageMargins left="0.78740157480314965" right="0.78740157480314965" top="0.78740157480314965" bottom="0.78740157480314965" header="0.39370078740157483" footer="0.39370078740157483"/>
  <pageSetup paperSize="8" scale="61" orientation="landscape" r:id="rId1"/>
  <headerFooter alignWithMargins="0">
    <oddHeader>&amp;R&amp;A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B1:AM57"/>
  <sheetViews>
    <sheetView zoomScale="75" zoomScaleNormal="75" zoomScaleSheetLayoutView="100" workbookViewId="0">
      <pane xSplit="6" ySplit="4" topLeftCell="G6" activePane="bottomRight" state="frozen"/>
      <selection activeCell="E37" sqref="E37"/>
      <selection pane="topRight" activeCell="E37" sqref="E37"/>
      <selection pane="bottomLeft" activeCell="E37" sqref="E37"/>
      <selection pane="bottomRight"/>
    </sheetView>
  </sheetViews>
  <sheetFormatPr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customWidth="1"/>
    <col min="19" max="19" width="13.75" style="10" customWidth="1"/>
    <col min="20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537</v>
      </c>
      <c r="C2" s="7"/>
      <c r="D2" s="7"/>
      <c r="E2" s="8"/>
      <c r="F2" s="738"/>
      <c r="G2" s="739"/>
      <c r="H2" s="162" t="s">
        <v>274</v>
      </c>
      <c r="I2" s="131" t="s">
        <v>453</v>
      </c>
      <c r="J2" s="161"/>
      <c r="K2" s="162" t="s">
        <v>275</v>
      </c>
      <c r="L2" s="3" t="s">
        <v>276</v>
      </c>
      <c r="M2" s="9"/>
      <c r="P2" s="14"/>
      <c r="R2" s="88" t="s">
        <v>375</v>
      </c>
      <c r="S2" s="88" t="s">
        <v>366</v>
      </c>
    </row>
    <row r="3" spans="2:26" s="5" customFormat="1" x14ac:dyDescent="0.15">
      <c r="B3" s="740" t="s">
        <v>89</v>
      </c>
      <c r="C3" s="735" t="s">
        <v>38</v>
      </c>
      <c r="D3" s="742" t="s">
        <v>138</v>
      </c>
      <c r="E3" s="744" t="s">
        <v>39</v>
      </c>
      <c r="F3" s="745"/>
      <c r="G3" s="398" t="s">
        <v>40</v>
      </c>
      <c r="H3" s="17" t="s">
        <v>141</v>
      </c>
      <c r="I3" s="400" t="s">
        <v>140</v>
      </c>
      <c r="J3" s="735" t="s">
        <v>99</v>
      </c>
      <c r="K3" s="19" t="s">
        <v>100</v>
      </c>
      <c r="L3" s="18" t="s">
        <v>41</v>
      </c>
      <c r="M3" s="17" t="s">
        <v>145</v>
      </c>
      <c r="N3" s="18" t="s">
        <v>42</v>
      </c>
      <c r="O3" s="18" t="s">
        <v>43</v>
      </c>
      <c r="P3" s="347" t="s">
        <v>44</v>
      </c>
      <c r="S3" s="187" t="s">
        <v>367</v>
      </c>
      <c r="T3" s="187" t="s">
        <v>368</v>
      </c>
      <c r="U3" s="187" t="s">
        <v>369</v>
      </c>
      <c r="V3" s="187" t="s">
        <v>370</v>
      </c>
      <c r="W3" s="187" t="s">
        <v>340</v>
      </c>
      <c r="X3" s="187" t="s">
        <v>372</v>
      </c>
      <c r="Y3" s="187" t="s">
        <v>373</v>
      </c>
      <c r="Z3" s="88" t="s">
        <v>374</v>
      </c>
    </row>
    <row r="4" spans="2:26" x14ac:dyDescent="0.15">
      <c r="B4" s="741"/>
      <c r="C4" s="736"/>
      <c r="D4" s="743"/>
      <c r="E4" s="20" t="s">
        <v>101</v>
      </c>
      <c r="F4" s="20" t="s">
        <v>9</v>
      </c>
      <c r="G4" s="399" t="s">
        <v>143</v>
      </c>
      <c r="H4" s="21" t="s">
        <v>142</v>
      </c>
      <c r="I4" s="399" t="s">
        <v>149</v>
      </c>
      <c r="J4" s="736"/>
      <c r="K4" s="22" t="s">
        <v>144</v>
      </c>
      <c r="L4" s="21" t="s">
        <v>150</v>
      </c>
      <c r="M4" s="21" t="s">
        <v>146</v>
      </c>
      <c r="N4" s="21" t="s">
        <v>151</v>
      </c>
      <c r="O4" s="21" t="s">
        <v>147</v>
      </c>
      <c r="P4" s="348" t="s">
        <v>152</v>
      </c>
      <c r="R4" s="10">
        <f>SUM(S4:Z4)</f>
        <v>30</v>
      </c>
      <c r="S4" s="10">
        <f>'１　対象経営の概要，２　前提条件'!AB26+'１　対象経営の概要，２　前提条件'!AM26+'１　対象経営の概要，２　前提条件'!AB28</f>
        <v>15</v>
      </c>
      <c r="T4" s="10">
        <f>'１　対象経営の概要，２　前提条件'!AB27+'１　対象経営の概要，２　前提条件'!AM27</f>
        <v>5</v>
      </c>
      <c r="U4" s="10">
        <f>'１　対象経営の概要，２　前提条件'!AM28</f>
        <v>0</v>
      </c>
      <c r="V4" s="10">
        <f>'１　対象経営の概要，２　前提条件'!AM29+'１　対象経営の概要，２　前提条件'!AB30</f>
        <v>0</v>
      </c>
      <c r="W4" s="10">
        <f>'１　対象経営の概要，２　前提条件'!AM30</f>
        <v>10</v>
      </c>
      <c r="X4" s="10">
        <f>'１　対象経営の概要，２　前提条件'!F17</f>
        <v>0</v>
      </c>
      <c r="Y4" s="10">
        <f>'１　対象経営の概要，２　前提条件'!F18</f>
        <v>0</v>
      </c>
      <c r="Z4" s="10">
        <f>'１　対象経営の概要，２　前提条件'!F19</f>
        <v>0</v>
      </c>
    </row>
    <row r="5" spans="2:26" x14ac:dyDescent="0.15">
      <c r="B5" s="706" t="s">
        <v>211</v>
      </c>
      <c r="C5" s="345" t="s">
        <v>327</v>
      </c>
      <c r="D5" s="418" t="s">
        <v>104</v>
      </c>
      <c r="E5" s="418">
        <v>100</v>
      </c>
      <c r="F5" s="418" t="s">
        <v>105</v>
      </c>
      <c r="G5" s="418">
        <f>59400*E5</f>
        <v>5940000</v>
      </c>
      <c r="H5" s="420">
        <v>0</v>
      </c>
      <c r="I5" s="418">
        <f>G5*(1-H5)</f>
        <v>5940000</v>
      </c>
      <c r="J5" s="425">
        <f>SUM('１　対象経営の概要，２　前提条件'!$F$13:$F$16)</f>
        <v>30</v>
      </c>
      <c r="K5" s="421">
        <f>30/30/30</f>
        <v>3.3333333333333333E-2</v>
      </c>
      <c r="L5" s="29">
        <f>I5*K5</f>
        <v>198000</v>
      </c>
      <c r="M5" s="36">
        <v>0</v>
      </c>
      <c r="N5" s="29">
        <f>L5*M5/100</f>
        <v>0</v>
      </c>
      <c r="O5" s="29">
        <v>25</v>
      </c>
      <c r="P5" s="349">
        <f>IF(O5="","",(L5-N5)/O5)</f>
        <v>7920</v>
      </c>
    </row>
    <row r="6" spans="2:26" x14ac:dyDescent="0.15">
      <c r="B6" s="707"/>
      <c r="C6" s="39" t="s">
        <v>326</v>
      </c>
      <c r="D6" s="418" t="s">
        <v>104</v>
      </c>
      <c r="E6" s="417">
        <v>180</v>
      </c>
      <c r="F6" s="418" t="s">
        <v>105</v>
      </c>
      <c r="G6" s="418">
        <f>59400*E6</f>
        <v>10692000</v>
      </c>
      <c r="H6" s="420">
        <v>0</v>
      </c>
      <c r="I6" s="418">
        <f>G6*(1-H6)</f>
        <v>10692000</v>
      </c>
      <c r="J6" s="506" t="s">
        <v>469</v>
      </c>
      <c r="K6" s="421"/>
      <c r="L6" s="29">
        <f>I6*K6</f>
        <v>0</v>
      </c>
      <c r="M6" s="36">
        <v>0</v>
      </c>
      <c r="N6" s="29">
        <f>L6*M6/100</f>
        <v>0</v>
      </c>
      <c r="O6" s="29">
        <v>25</v>
      </c>
      <c r="P6" s="349">
        <f>IF(O6="","",(L6-N6)/O6)</f>
        <v>0</v>
      </c>
    </row>
    <row r="7" spans="2:26" x14ac:dyDescent="0.15">
      <c r="B7" s="707"/>
      <c r="C7" s="345" t="s">
        <v>293</v>
      </c>
      <c r="D7" s="418" t="s">
        <v>47</v>
      </c>
      <c r="E7" s="507">
        <v>850</v>
      </c>
      <c r="F7" s="508" t="s">
        <v>105</v>
      </c>
      <c r="G7" s="418">
        <f>2430*E7</f>
        <v>2065500</v>
      </c>
      <c r="H7" s="420">
        <v>0</v>
      </c>
      <c r="I7" s="418">
        <f>G7*(1-H7)</f>
        <v>2065500</v>
      </c>
      <c r="J7" s="425">
        <f>SUM('１　対象経営の概要，２　前提条件'!$F$13:$F$16)</f>
        <v>30</v>
      </c>
      <c r="K7" s="421">
        <f>30/30/30</f>
        <v>3.3333333333333333E-2</v>
      </c>
      <c r="L7" s="29">
        <f>I7*K7</f>
        <v>68850</v>
      </c>
      <c r="M7" s="36">
        <v>0</v>
      </c>
      <c r="N7" s="29">
        <f>L7*M7/100</f>
        <v>0</v>
      </c>
      <c r="O7" s="29">
        <v>10</v>
      </c>
      <c r="P7" s="349">
        <f>IF(O7="","",(L7-N7)/O7)</f>
        <v>6885</v>
      </c>
    </row>
    <row r="8" spans="2:26" x14ac:dyDescent="0.15">
      <c r="B8" s="707"/>
      <c r="C8" s="39"/>
      <c r="D8" s="418"/>
      <c r="E8" s="507"/>
      <c r="F8" s="508"/>
      <c r="G8" s="418"/>
      <c r="H8" s="420"/>
      <c r="I8" s="418"/>
      <c r="J8" s="418"/>
      <c r="K8" s="421"/>
      <c r="L8" s="29"/>
      <c r="M8" s="36"/>
      <c r="N8" s="29"/>
      <c r="O8" s="29"/>
      <c r="P8" s="422"/>
    </row>
    <row r="9" spans="2:26" x14ac:dyDescent="0.15">
      <c r="B9" s="707"/>
      <c r="C9" s="345"/>
      <c r="D9" s="39"/>
      <c r="E9" s="43"/>
      <c r="F9" s="44"/>
      <c r="G9" s="418"/>
      <c r="H9" s="420"/>
      <c r="I9" s="418"/>
      <c r="J9" s="419"/>
      <c r="K9" s="421"/>
      <c r="L9" s="29"/>
      <c r="M9" s="36"/>
      <c r="N9" s="29"/>
      <c r="O9" s="29"/>
      <c r="P9" s="422"/>
    </row>
    <row r="10" spans="2:26" x14ac:dyDescent="0.15">
      <c r="B10" s="707"/>
      <c r="C10" s="39"/>
      <c r="D10" s="39"/>
      <c r="E10" s="39"/>
      <c r="F10" s="42"/>
      <c r="G10" s="418"/>
      <c r="H10" s="420"/>
      <c r="I10" s="418"/>
      <c r="J10" s="418"/>
      <c r="K10" s="421"/>
      <c r="L10" s="29"/>
      <c r="M10" s="36"/>
      <c r="N10" s="29"/>
      <c r="O10" s="29"/>
      <c r="P10" s="422"/>
    </row>
    <row r="11" spans="2:26" x14ac:dyDescent="0.15">
      <c r="B11" s="707"/>
      <c r="C11" s="39"/>
      <c r="D11" s="39"/>
      <c r="E11" s="39"/>
      <c r="F11" s="39"/>
      <c r="G11" s="418"/>
      <c r="H11" s="420"/>
      <c r="I11" s="418"/>
      <c r="J11" s="418"/>
      <c r="K11" s="421"/>
      <c r="L11" s="29"/>
      <c r="M11" s="36"/>
      <c r="N11" s="29"/>
      <c r="O11" s="29"/>
      <c r="P11" s="422"/>
    </row>
    <row r="12" spans="2:26" x14ac:dyDescent="0.15">
      <c r="B12" s="707"/>
      <c r="C12" s="39"/>
      <c r="D12" s="39"/>
      <c r="E12" s="39"/>
      <c r="F12" s="42"/>
      <c r="G12" s="418"/>
      <c r="H12" s="420"/>
      <c r="I12" s="418"/>
      <c r="J12" s="423"/>
      <c r="K12" s="421"/>
      <c r="L12" s="29"/>
      <c r="M12" s="36"/>
      <c r="N12" s="29"/>
      <c r="O12" s="29"/>
      <c r="P12" s="422"/>
    </row>
    <row r="13" spans="2:26" x14ac:dyDescent="0.15">
      <c r="B13" s="707"/>
      <c r="C13" s="11"/>
      <c r="D13" s="11"/>
      <c r="E13" s="11"/>
      <c r="F13" s="11"/>
      <c r="G13" s="29"/>
      <c r="H13" s="36"/>
      <c r="I13" s="29"/>
      <c r="J13" s="29"/>
      <c r="K13" s="424"/>
      <c r="L13" s="29"/>
      <c r="M13" s="36"/>
      <c r="N13" s="29"/>
      <c r="O13" s="29"/>
      <c r="P13" s="422"/>
    </row>
    <row r="14" spans="2:26" x14ac:dyDescent="0.15">
      <c r="B14" s="707"/>
      <c r="C14" s="11"/>
      <c r="D14" s="11"/>
      <c r="E14" s="11"/>
      <c r="F14" s="11"/>
      <c r="G14" s="29"/>
      <c r="H14" s="36"/>
      <c r="I14" s="29"/>
      <c r="J14" s="29"/>
      <c r="K14" s="424"/>
      <c r="L14" s="29"/>
      <c r="M14" s="36"/>
      <c r="N14" s="29"/>
      <c r="O14" s="29"/>
      <c r="P14" s="422"/>
    </row>
    <row r="15" spans="2:26" x14ac:dyDescent="0.15">
      <c r="B15" s="737"/>
      <c r="C15" s="25" t="s">
        <v>45</v>
      </c>
      <c r="D15" s="26"/>
      <c r="E15" s="26"/>
      <c r="F15" s="27"/>
      <c r="G15" s="26">
        <f>SUM(G5:G14)</f>
        <v>18697500</v>
      </c>
      <c r="H15" s="26"/>
      <c r="I15" s="26">
        <f>SUM(I5:I14)</f>
        <v>18697500</v>
      </c>
      <c r="J15" s="26"/>
      <c r="K15" s="28"/>
      <c r="L15" s="26">
        <f>SUM(L5:L14)</f>
        <v>266850</v>
      </c>
      <c r="M15" s="26"/>
      <c r="N15" s="26"/>
      <c r="O15" s="26"/>
      <c r="P15" s="350">
        <f>SUM(P5:P14)</f>
        <v>14805</v>
      </c>
      <c r="R15" s="26"/>
    </row>
    <row r="16" spans="2:26" ht="13.5" customHeight="1" x14ac:dyDescent="0.15">
      <c r="B16" s="706" t="s">
        <v>212</v>
      </c>
      <c r="C16" s="417" t="s">
        <v>54</v>
      </c>
      <c r="D16" s="419" t="s">
        <v>400</v>
      </c>
      <c r="E16" s="417">
        <v>1</v>
      </c>
      <c r="F16" s="417" t="s">
        <v>103</v>
      </c>
      <c r="G16" s="417">
        <f>5302000*1.08</f>
        <v>5726160</v>
      </c>
      <c r="H16" s="420">
        <v>0</v>
      </c>
      <c r="I16" s="418">
        <f t="shared" ref="I16:I24" si="0">G16*(1-H16)</f>
        <v>5726160</v>
      </c>
      <c r="J16" s="425">
        <f>SUM('１　対象経営の概要，２　前提条件'!$F$13:$F$16)</f>
        <v>30</v>
      </c>
      <c r="K16" s="421">
        <f>30/30/30</f>
        <v>3.3333333333333333E-2</v>
      </c>
      <c r="L16" s="418">
        <f t="shared" ref="L16:L24" si="1">I16*K16</f>
        <v>190872</v>
      </c>
      <c r="M16" s="36">
        <v>0</v>
      </c>
      <c r="N16" s="11">
        <f t="shared" ref="N16:N24" si="2">L16*M16</f>
        <v>0</v>
      </c>
      <c r="O16" s="29">
        <v>7</v>
      </c>
      <c r="P16" s="349">
        <f t="shared" ref="P16:P24" si="3">IF(O16="","",(L16-N16)/O16)</f>
        <v>27267.428571428572</v>
      </c>
    </row>
    <row r="17" spans="2:39" x14ac:dyDescent="0.15">
      <c r="B17" s="707"/>
      <c r="C17" s="419" t="s">
        <v>300</v>
      </c>
      <c r="D17" s="419" t="s">
        <v>402</v>
      </c>
      <c r="E17" s="417">
        <v>1</v>
      </c>
      <c r="F17" s="419" t="s">
        <v>103</v>
      </c>
      <c r="G17" s="417">
        <f>4284000*1.08</f>
        <v>4626720</v>
      </c>
      <c r="H17" s="420">
        <v>0</v>
      </c>
      <c r="I17" s="418">
        <f t="shared" si="0"/>
        <v>4626720</v>
      </c>
      <c r="J17" s="425">
        <f>SUM('１　対象経営の概要，２　前提条件'!$F$13:$F$16)</f>
        <v>30</v>
      </c>
      <c r="K17" s="421">
        <f>30/30/30</f>
        <v>3.3333333333333333E-2</v>
      </c>
      <c r="L17" s="418">
        <f t="shared" si="1"/>
        <v>154224</v>
      </c>
      <c r="M17" s="36">
        <v>0</v>
      </c>
      <c r="N17" s="11">
        <f t="shared" si="2"/>
        <v>0</v>
      </c>
      <c r="O17" s="29">
        <v>7</v>
      </c>
      <c r="P17" s="349">
        <f t="shared" si="3"/>
        <v>22032</v>
      </c>
    </row>
    <row r="18" spans="2:39" x14ac:dyDescent="0.15">
      <c r="B18" s="707"/>
      <c r="C18" s="417" t="s">
        <v>55</v>
      </c>
      <c r="D18" s="419" t="s">
        <v>296</v>
      </c>
      <c r="E18" s="417">
        <v>1</v>
      </c>
      <c r="F18" s="417" t="s">
        <v>103</v>
      </c>
      <c r="G18" s="417">
        <f>715000*1.08</f>
        <v>772200</v>
      </c>
      <c r="H18" s="420">
        <v>0</v>
      </c>
      <c r="I18" s="418">
        <f t="shared" si="0"/>
        <v>772200</v>
      </c>
      <c r="J18" s="425">
        <f>SUM('１　対象経営の概要，２　前提条件'!$F$13:$F$16)</f>
        <v>30</v>
      </c>
      <c r="K18" s="421">
        <f>30/30/30</f>
        <v>3.3333333333333333E-2</v>
      </c>
      <c r="L18" s="418">
        <f t="shared" si="1"/>
        <v>25740</v>
      </c>
      <c r="M18" s="24">
        <v>0</v>
      </c>
      <c r="N18" s="11">
        <f t="shared" si="2"/>
        <v>0</v>
      </c>
      <c r="O18" s="11">
        <v>7</v>
      </c>
      <c r="P18" s="349">
        <f t="shared" si="3"/>
        <v>3677.1428571428573</v>
      </c>
    </row>
    <row r="19" spans="2:39" x14ac:dyDescent="0.15">
      <c r="B19" s="707"/>
      <c r="C19" s="509" t="s">
        <v>55</v>
      </c>
      <c r="D19" s="505" t="s">
        <v>297</v>
      </c>
      <c r="E19" s="509">
        <v>1</v>
      </c>
      <c r="F19" s="417" t="s">
        <v>103</v>
      </c>
      <c r="G19" s="417">
        <f>540000*1.08</f>
        <v>583200</v>
      </c>
      <c r="H19" s="420">
        <v>0</v>
      </c>
      <c r="I19" s="418">
        <f t="shared" si="0"/>
        <v>583200</v>
      </c>
      <c r="J19" s="425">
        <f>SUM('１　対象経営の概要，２　前提条件'!$F$13:$F$16)</f>
        <v>30</v>
      </c>
      <c r="K19" s="421">
        <f>30/30/30</f>
        <v>3.3333333333333333E-2</v>
      </c>
      <c r="L19" s="418">
        <f t="shared" si="1"/>
        <v>19440</v>
      </c>
      <c r="M19" s="24">
        <v>0</v>
      </c>
      <c r="N19" s="11">
        <f t="shared" si="2"/>
        <v>0</v>
      </c>
      <c r="O19" s="11">
        <v>7</v>
      </c>
      <c r="P19" s="349">
        <f t="shared" si="3"/>
        <v>2777.1428571428573</v>
      </c>
    </row>
    <row r="20" spans="2:39" x14ac:dyDescent="0.15">
      <c r="B20" s="707"/>
      <c r="C20" s="419" t="s">
        <v>294</v>
      </c>
      <c r="D20" s="419" t="s">
        <v>295</v>
      </c>
      <c r="E20" s="417">
        <v>1</v>
      </c>
      <c r="F20" s="417" t="s">
        <v>103</v>
      </c>
      <c r="G20" s="417">
        <f>2850000*1.08</f>
        <v>3078000</v>
      </c>
      <c r="H20" s="420">
        <v>0</v>
      </c>
      <c r="I20" s="418">
        <f t="shared" si="0"/>
        <v>3078000</v>
      </c>
      <c r="J20" s="425">
        <f>SUM('１　対象経営の概要，２　前提条件'!$F$13:$F$16)</f>
        <v>30</v>
      </c>
      <c r="K20" s="421">
        <f>30/30/30</f>
        <v>3.3333333333333333E-2</v>
      </c>
      <c r="L20" s="418">
        <f>I20*K20</f>
        <v>102600</v>
      </c>
      <c r="M20" s="24">
        <v>0</v>
      </c>
      <c r="N20" s="11">
        <f t="shared" si="2"/>
        <v>0</v>
      </c>
      <c r="O20" s="11">
        <v>7</v>
      </c>
      <c r="P20" s="349">
        <f t="shared" si="3"/>
        <v>14657.142857142857</v>
      </c>
    </row>
    <row r="21" spans="2:39" x14ac:dyDescent="0.15">
      <c r="B21" s="707"/>
      <c r="C21" s="417" t="s">
        <v>56</v>
      </c>
      <c r="D21" s="419" t="s">
        <v>482</v>
      </c>
      <c r="E21" s="417">
        <v>1</v>
      </c>
      <c r="F21" s="419" t="s">
        <v>103</v>
      </c>
      <c r="G21" s="417">
        <f>6800000*1.08</f>
        <v>7344000.0000000009</v>
      </c>
      <c r="H21" s="420">
        <v>0</v>
      </c>
      <c r="I21" s="418">
        <f t="shared" si="0"/>
        <v>7344000.0000000009</v>
      </c>
      <c r="J21" s="506" t="s">
        <v>469</v>
      </c>
      <c r="K21" s="421"/>
      <c r="L21" s="418">
        <f t="shared" si="1"/>
        <v>0</v>
      </c>
      <c r="M21" s="24">
        <v>0</v>
      </c>
      <c r="N21" s="11">
        <f t="shared" si="2"/>
        <v>0</v>
      </c>
      <c r="O21" s="11">
        <v>7</v>
      </c>
      <c r="P21" s="349">
        <f t="shared" si="3"/>
        <v>0</v>
      </c>
    </row>
    <row r="22" spans="2:39" x14ac:dyDescent="0.15">
      <c r="B22" s="707"/>
      <c r="C22" s="419" t="s">
        <v>301</v>
      </c>
      <c r="D22" s="419" t="s">
        <v>308</v>
      </c>
      <c r="E22" s="417">
        <v>1</v>
      </c>
      <c r="F22" s="419" t="s">
        <v>103</v>
      </c>
      <c r="G22" s="417">
        <f>3500000*1.08</f>
        <v>3780000.0000000005</v>
      </c>
      <c r="H22" s="420">
        <v>0.5</v>
      </c>
      <c r="I22" s="418">
        <f t="shared" si="0"/>
        <v>1890000.0000000002</v>
      </c>
      <c r="J22" s="506" t="s">
        <v>469</v>
      </c>
      <c r="K22" s="421"/>
      <c r="L22" s="418">
        <f t="shared" si="1"/>
        <v>0</v>
      </c>
      <c r="M22" s="24">
        <v>0</v>
      </c>
      <c r="N22" s="11">
        <f t="shared" si="2"/>
        <v>0</v>
      </c>
      <c r="O22" s="11">
        <v>7</v>
      </c>
      <c r="P22" s="349">
        <f t="shared" si="3"/>
        <v>0</v>
      </c>
    </row>
    <row r="23" spans="2:39" x14ac:dyDescent="0.15">
      <c r="B23" s="707"/>
      <c r="C23" s="419" t="s">
        <v>405</v>
      </c>
      <c r="D23" s="417"/>
      <c r="E23" s="417">
        <v>1</v>
      </c>
      <c r="F23" s="419" t="s">
        <v>103</v>
      </c>
      <c r="G23" s="417">
        <f>315000*1.08</f>
        <v>340200</v>
      </c>
      <c r="H23" s="420">
        <v>0</v>
      </c>
      <c r="I23" s="418">
        <f t="shared" si="0"/>
        <v>340200</v>
      </c>
      <c r="J23" s="425">
        <f>SUM('１　対象経営の概要，２　前提条件'!$F$13:$F$16)</f>
        <v>30</v>
      </c>
      <c r="K23" s="421">
        <f>30/30/30</f>
        <v>3.3333333333333333E-2</v>
      </c>
      <c r="L23" s="418">
        <f t="shared" si="1"/>
        <v>11340</v>
      </c>
      <c r="M23" s="24">
        <v>0</v>
      </c>
      <c r="N23" s="11">
        <f t="shared" si="2"/>
        <v>0</v>
      </c>
      <c r="O23" s="11">
        <v>7</v>
      </c>
      <c r="P23" s="349">
        <f t="shared" si="3"/>
        <v>1620</v>
      </c>
    </row>
    <row r="24" spans="2:39" x14ac:dyDescent="0.15">
      <c r="B24" s="707"/>
      <c r="C24" s="419" t="s">
        <v>397</v>
      </c>
      <c r="D24" s="419" t="s">
        <v>398</v>
      </c>
      <c r="E24" s="510">
        <v>1</v>
      </c>
      <c r="F24" s="419" t="s">
        <v>103</v>
      </c>
      <c r="G24" s="418">
        <f>913000*1.08</f>
        <v>986040.00000000012</v>
      </c>
      <c r="H24" s="420">
        <v>0.5</v>
      </c>
      <c r="I24" s="418">
        <f t="shared" si="0"/>
        <v>493020.00000000006</v>
      </c>
      <c r="J24" s="506" t="s">
        <v>470</v>
      </c>
      <c r="K24" s="421">
        <f>30/30/10</f>
        <v>0.1</v>
      </c>
      <c r="L24" s="418">
        <f t="shared" si="1"/>
        <v>49302.000000000007</v>
      </c>
      <c r="M24" s="24">
        <v>0</v>
      </c>
      <c r="N24" s="11">
        <f t="shared" si="2"/>
        <v>0</v>
      </c>
      <c r="O24" s="11">
        <v>7</v>
      </c>
      <c r="P24" s="349">
        <f t="shared" si="3"/>
        <v>7043.1428571428578</v>
      </c>
    </row>
    <row r="25" spans="2:39" x14ac:dyDescent="0.15">
      <c r="B25" s="707"/>
      <c r="C25" s="419"/>
      <c r="D25" s="419"/>
      <c r="E25" s="417"/>
      <c r="F25" s="419"/>
      <c r="G25" s="417"/>
      <c r="H25" s="420"/>
      <c r="I25" s="418"/>
      <c r="J25" s="425"/>
      <c r="K25" s="421"/>
      <c r="L25" s="418"/>
      <c r="M25" s="24"/>
      <c r="N25" s="11"/>
      <c r="O25" s="11"/>
      <c r="P25" s="349"/>
    </row>
    <row r="26" spans="2:39" x14ac:dyDescent="0.15">
      <c r="B26" s="707"/>
      <c r="C26" s="419" t="s">
        <v>303</v>
      </c>
      <c r="D26" s="419" t="s">
        <v>395</v>
      </c>
      <c r="E26" s="417">
        <v>1</v>
      </c>
      <c r="F26" s="419" t="s">
        <v>103</v>
      </c>
      <c r="G26" s="417">
        <f>273000*1.08</f>
        <v>294840</v>
      </c>
      <c r="H26" s="420">
        <v>0</v>
      </c>
      <c r="I26" s="418">
        <f>G26*(1-H26)</f>
        <v>294840</v>
      </c>
      <c r="J26" s="425">
        <f>SUM('１　対象経営の概要，２　前提条件'!$F$13:$F$16)</f>
        <v>30</v>
      </c>
      <c r="K26" s="421">
        <f>30/30/30</f>
        <v>3.3333333333333333E-2</v>
      </c>
      <c r="L26" s="418">
        <f>I26*K26</f>
        <v>9828</v>
      </c>
      <c r="M26" s="24">
        <v>0</v>
      </c>
      <c r="N26" s="11">
        <f>L26*M26</f>
        <v>0</v>
      </c>
      <c r="O26" s="11">
        <v>7</v>
      </c>
      <c r="P26" s="349">
        <f>IF(O26="","",(L26-N26)/O26)</f>
        <v>1404</v>
      </c>
      <c r="AM26" s="10" t="s">
        <v>487</v>
      </c>
    </row>
    <row r="27" spans="2:39" x14ac:dyDescent="0.15">
      <c r="B27" s="707"/>
      <c r="C27" s="419" t="s">
        <v>304</v>
      </c>
      <c r="D27" s="419"/>
      <c r="E27" s="417">
        <v>1</v>
      </c>
      <c r="F27" s="419" t="s">
        <v>103</v>
      </c>
      <c r="G27" s="417">
        <f>521000*1.08</f>
        <v>562680</v>
      </c>
      <c r="H27" s="420">
        <v>0</v>
      </c>
      <c r="I27" s="418">
        <f>G27*(1-H27)</f>
        <v>562680</v>
      </c>
      <c r="J27" s="425">
        <f>SUM('１　対象経営の概要，２　前提条件'!$F$13:$F$16)</f>
        <v>30</v>
      </c>
      <c r="K27" s="421">
        <f>30/30/30</f>
        <v>3.3333333333333333E-2</v>
      </c>
      <c r="L27" s="418">
        <f>I27*K27</f>
        <v>18756</v>
      </c>
      <c r="M27" s="24">
        <v>0</v>
      </c>
      <c r="N27" s="11">
        <f>L27*M27</f>
        <v>0</v>
      </c>
      <c r="O27" s="11">
        <v>7</v>
      </c>
      <c r="P27" s="349">
        <f>IF(O27="","",(L27-N27)/O27)</f>
        <v>2679.4285714285716</v>
      </c>
    </row>
    <row r="28" spans="2:39" x14ac:dyDescent="0.15">
      <c r="B28" s="707"/>
      <c r="C28" s="419" t="s">
        <v>305</v>
      </c>
      <c r="D28" s="419" t="s">
        <v>396</v>
      </c>
      <c r="E28" s="417">
        <v>1</v>
      </c>
      <c r="F28" s="419" t="s">
        <v>103</v>
      </c>
      <c r="G28" s="417">
        <f>583000*1.08</f>
        <v>629640</v>
      </c>
      <c r="H28" s="420">
        <v>0</v>
      </c>
      <c r="I28" s="418">
        <f>G28*(1-H28)</f>
        <v>629640</v>
      </c>
      <c r="J28" s="425">
        <f>SUM('１　対象経営の概要，２　前提条件'!$F$13:$F$16)</f>
        <v>30</v>
      </c>
      <c r="K28" s="421">
        <f>30/30/30</f>
        <v>3.3333333333333333E-2</v>
      </c>
      <c r="L28" s="418">
        <f>I28*K28</f>
        <v>20988</v>
      </c>
      <c r="M28" s="24">
        <v>0</v>
      </c>
      <c r="N28" s="11">
        <f>L28*M28</f>
        <v>0</v>
      </c>
      <c r="O28" s="11">
        <v>7</v>
      </c>
      <c r="P28" s="349">
        <f>IF(O28="","",(L28-N28)/O28)</f>
        <v>2998.2857142857142</v>
      </c>
    </row>
    <row r="29" spans="2:39" x14ac:dyDescent="0.15">
      <c r="B29" s="707"/>
      <c r="C29" s="419" t="s">
        <v>306</v>
      </c>
      <c r="D29" s="417"/>
      <c r="E29" s="417">
        <v>1</v>
      </c>
      <c r="F29" s="419" t="s">
        <v>103</v>
      </c>
      <c r="G29" s="417">
        <f>207900*1.08</f>
        <v>224532.00000000003</v>
      </c>
      <c r="H29" s="420">
        <v>0</v>
      </c>
      <c r="I29" s="418">
        <f>G29*(1-H29)</f>
        <v>224532.00000000003</v>
      </c>
      <c r="J29" s="425">
        <f>SUM('１　対象経営の概要，２　前提条件'!$F$13:$F$16)</f>
        <v>30</v>
      </c>
      <c r="K29" s="421">
        <f>30/30/30</f>
        <v>3.3333333333333333E-2</v>
      </c>
      <c r="L29" s="418">
        <f>I29*K29</f>
        <v>7484.4000000000005</v>
      </c>
      <c r="M29" s="24">
        <v>0</v>
      </c>
      <c r="N29" s="11">
        <f>L29*M29</f>
        <v>0</v>
      </c>
      <c r="O29" s="11">
        <v>7</v>
      </c>
      <c r="P29" s="349">
        <f>IF(O29="","",(L29-N29)/O29)</f>
        <v>1069.2</v>
      </c>
    </row>
    <row r="30" spans="2:39" x14ac:dyDescent="0.15">
      <c r="B30" s="707"/>
      <c r="C30" s="419"/>
      <c r="D30" s="417"/>
      <c r="E30" s="417"/>
      <c r="F30" s="419"/>
      <c r="G30" s="417"/>
      <c r="H30" s="420"/>
      <c r="I30" s="418"/>
      <c r="J30" s="425"/>
      <c r="K30" s="421"/>
      <c r="L30" s="418"/>
      <c r="M30" s="36"/>
      <c r="N30" s="29"/>
      <c r="O30" s="29"/>
      <c r="P30" s="422"/>
    </row>
    <row r="31" spans="2:39" x14ac:dyDescent="0.15">
      <c r="B31" s="707"/>
      <c r="C31" s="419" t="s">
        <v>406</v>
      </c>
      <c r="D31" s="419" t="s">
        <v>377</v>
      </c>
      <c r="E31" s="417">
        <v>1</v>
      </c>
      <c r="F31" s="419" t="s">
        <v>407</v>
      </c>
      <c r="G31" s="417">
        <v>15000000</v>
      </c>
      <c r="H31" s="420">
        <v>0</v>
      </c>
      <c r="I31" s="418">
        <f>G31*(1-H31)</f>
        <v>15000000</v>
      </c>
      <c r="J31" s="506" t="s">
        <v>469</v>
      </c>
      <c r="K31" s="421"/>
      <c r="L31" s="418">
        <f>I31*K31</f>
        <v>0</v>
      </c>
      <c r="M31" s="24">
        <v>0</v>
      </c>
      <c r="N31" s="11">
        <f>L31*M31</f>
        <v>0</v>
      </c>
      <c r="O31" s="11">
        <v>7</v>
      </c>
      <c r="P31" s="349">
        <f>IF(O31="","",(L31-N31)/O31)</f>
        <v>0</v>
      </c>
    </row>
    <row r="32" spans="2:39" x14ac:dyDescent="0.15">
      <c r="B32" s="707"/>
      <c r="C32" s="418"/>
      <c r="D32" s="418"/>
      <c r="E32" s="418"/>
      <c r="F32" s="418"/>
      <c r="G32" s="418"/>
      <c r="H32" s="420"/>
      <c r="I32" s="418"/>
      <c r="J32" s="425"/>
      <c r="K32" s="421"/>
      <c r="L32" s="418"/>
      <c r="M32" s="36"/>
      <c r="N32" s="29"/>
      <c r="O32" s="29"/>
      <c r="P32" s="422"/>
    </row>
    <row r="33" spans="2:16" x14ac:dyDescent="0.15">
      <c r="B33" s="707"/>
      <c r="C33" s="419" t="s">
        <v>408</v>
      </c>
      <c r="D33" s="417"/>
      <c r="E33" s="417">
        <v>1</v>
      </c>
      <c r="F33" s="419" t="s">
        <v>103</v>
      </c>
      <c r="G33" s="417">
        <f>268000*1.08</f>
        <v>289440</v>
      </c>
      <c r="H33" s="420">
        <v>0</v>
      </c>
      <c r="I33" s="418">
        <f>G33*(1-H33)</f>
        <v>289440</v>
      </c>
      <c r="J33" s="425">
        <f>SUM('１　対象経営の概要，２　前提条件'!$F$13:$F$16)</f>
        <v>30</v>
      </c>
      <c r="K33" s="421">
        <f>30/30/30</f>
        <v>3.3333333333333333E-2</v>
      </c>
      <c r="L33" s="418">
        <f>I33*K33</f>
        <v>9648</v>
      </c>
      <c r="M33" s="24">
        <v>0</v>
      </c>
      <c r="N33" s="11">
        <f>L33*M33</f>
        <v>0</v>
      </c>
      <c r="O33" s="426">
        <v>7</v>
      </c>
      <c r="P33" s="349">
        <f>IF(O33="","",(L33-N33)/O33)</f>
        <v>1378.2857142857142</v>
      </c>
    </row>
    <row r="34" spans="2:16" x14ac:dyDescent="0.15">
      <c r="B34" s="707"/>
      <c r="C34" s="419" t="s">
        <v>325</v>
      </c>
      <c r="D34" s="417"/>
      <c r="E34" s="417">
        <v>1</v>
      </c>
      <c r="F34" s="419" t="s">
        <v>103</v>
      </c>
      <c r="G34" s="417">
        <f>3272000</f>
        <v>3272000</v>
      </c>
      <c r="H34" s="420">
        <v>0</v>
      </c>
      <c r="I34" s="418">
        <f>G34*(1-H34)</f>
        <v>3272000</v>
      </c>
      <c r="J34" s="425">
        <f>SUM('１　対象経営の概要，２　前提条件'!$F$13:$F$16)</f>
        <v>30</v>
      </c>
      <c r="K34" s="421">
        <f>30/30/30</f>
        <v>3.3333333333333333E-2</v>
      </c>
      <c r="L34" s="418">
        <f>I34*K34</f>
        <v>109066.66666666667</v>
      </c>
      <c r="M34" s="24">
        <v>0</v>
      </c>
      <c r="N34" s="11">
        <f>L34*M34</f>
        <v>0</v>
      </c>
      <c r="O34" s="426">
        <v>7</v>
      </c>
      <c r="P34" s="349">
        <f>IF(O34="","",(L34-N34)/O34)</f>
        <v>15580.952380952382</v>
      </c>
    </row>
    <row r="35" spans="2:16" x14ac:dyDescent="0.15">
      <c r="B35" s="707"/>
      <c r="C35" s="419" t="s">
        <v>271</v>
      </c>
      <c r="D35" s="419" t="s">
        <v>409</v>
      </c>
      <c r="E35" s="417">
        <v>1</v>
      </c>
      <c r="F35" s="419" t="s">
        <v>103</v>
      </c>
      <c r="G35" s="417">
        <v>1500000</v>
      </c>
      <c r="H35" s="420">
        <v>0</v>
      </c>
      <c r="I35" s="418">
        <f>G35*(1-H35)</f>
        <v>1500000</v>
      </c>
      <c r="J35" s="425">
        <f>SUM('１　対象経営の概要，２　前提条件'!$F$13:$F$16)</f>
        <v>30</v>
      </c>
      <c r="K35" s="421">
        <f>30/30/30</f>
        <v>3.3333333333333333E-2</v>
      </c>
      <c r="L35" s="418">
        <f>I35*K35</f>
        <v>50000</v>
      </c>
      <c r="M35" s="24">
        <v>0</v>
      </c>
      <c r="N35" s="11">
        <f>L35*M35</f>
        <v>0</v>
      </c>
      <c r="O35" s="426">
        <v>4</v>
      </c>
      <c r="P35" s="349">
        <f>IF(O35="","",(L35-N35)/O35)</f>
        <v>12500</v>
      </c>
    </row>
    <row r="36" spans="2:16" x14ac:dyDescent="0.15">
      <c r="B36" s="707"/>
      <c r="C36" s="419" t="s">
        <v>258</v>
      </c>
      <c r="D36" s="423"/>
      <c r="E36" s="417">
        <v>1</v>
      </c>
      <c r="F36" s="419" t="s">
        <v>103</v>
      </c>
      <c r="G36" s="417">
        <v>920000</v>
      </c>
      <c r="H36" s="420">
        <v>0</v>
      </c>
      <c r="I36" s="418">
        <f>G36*(1-H36)</f>
        <v>920000</v>
      </c>
      <c r="J36" s="425">
        <f>SUM('１　対象経営の概要，２　前提条件'!$F$13:$F$16)</f>
        <v>30</v>
      </c>
      <c r="K36" s="421">
        <f>30/30/30</f>
        <v>3.3333333333333333E-2</v>
      </c>
      <c r="L36" s="418">
        <f>I36*K36</f>
        <v>30666.666666666668</v>
      </c>
      <c r="M36" s="24">
        <v>0</v>
      </c>
      <c r="N36" s="11">
        <f>L36*M36</f>
        <v>0</v>
      </c>
      <c r="O36" s="426">
        <v>4</v>
      </c>
      <c r="P36" s="349">
        <f>IF(O36="","",(L36-N36)/O36)</f>
        <v>7666.666666666667</v>
      </c>
    </row>
    <row r="37" spans="2:16" x14ac:dyDescent="0.15">
      <c r="B37" s="707"/>
      <c r="C37" s="419"/>
      <c r="D37" s="423"/>
      <c r="E37" s="417"/>
      <c r="F37" s="419"/>
      <c r="G37" s="417"/>
      <c r="H37" s="420"/>
      <c r="I37" s="418"/>
      <c r="J37" s="425"/>
      <c r="K37" s="421"/>
      <c r="L37" s="418"/>
      <c r="M37" s="24"/>
      <c r="N37" s="11"/>
      <c r="O37" s="426"/>
      <c r="P37" s="349"/>
    </row>
    <row r="38" spans="2:16" x14ac:dyDescent="0.15">
      <c r="B38" s="707"/>
      <c r="C38" s="419"/>
      <c r="D38" s="418"/>
      <c r="E38" s="510"/>
      <c r="F38" s="419"/>
      <c r="G38" s="417"/>
      <c r="H38" s="420"/>
      <c r="I38" s="418"/>
      <c r="J38" s="425"/>
      <c r="K38" s="421"/>
      <c r="L38" s="418"/>
      <c r="M38" s="24"/>
      <c r="N38" s="11"/>
      <c r="O38" s="11"/>
      <c r="P38" s="349"/>
    </row>
    <row r="39" spans="2:16" x14ac:dyDescent="0.15">
      <c r="B39" s="707"/>
      <c r="C39" s="419"/>
      <c r="D39" s="418"/>
      <c r="E39" s="418"/>
      <c r="F39" s="419"/>
      <c r="G39" s="418"/>
      <c r="H39" s="420"/>
      <c r="I39" s="418"/>
      <c r="J39" s="425"/>
      <c r="K39" s="421"/>
      <c r="L39" s="418"/>
      <c r="M39" s="24"/>
      <c r="N39" s="11"/>
      <c r="O39" s="11"/>
      <c r="P39" s="349"/>
    </row>
    <row r="40" spans="2:16" x14ac:dyDescent="0.15">
      <c r="B40" s="707"/>
      <c r="C40" s="345"/>
      <c r="D40" s="345"/>
      <c r="E40" s="39"/>
      <c r="F40" s="345"/>
      <c r="G40" s="418"/>
      <c r="H40" s="40"/>
      <c r="I40" s="39"/>
      <c r="J40" s="386"/>
      <c r="K40" s="421"/>
      <c r="L40" s="39"/>
      <c r="M40" s="24"/>
      <c r="N40" s="11"/>
      <c r="O40" s="11"/>
      <c r="P40" s="349"/>
    </row>
    <row r="41" spans="2:16" x14ac:dyDescent="0.15">
      <c r="B41" s="707"/>
      <c r="C41" s="345"/>
      <c r="D41" s="39"/>
      <c r="E41" s="39"/>
      <c r="F41" s="345"/>
      <c r="G41" s="418"/>
      <c r="H41" s="420"/>
      <c r="I41" s="418"/>
      <c r="J41" s="419"/>
      <c r="K41" s="421"/>
      <c r="L41" s="418"/>
      <c r="M41" s="36"/>
      <c r="N41" s="29"/>
      <c r="O41" s="29"/>
      <c r="P41" s="422"/>
    </row>
    <row r="42" spans="2:16" x14ac:dyDescent="0.15">
      <c r="B42" s="707"/>
      <c r="C42" s="39"/>
      <c r="D42" s="39"/>
      <c r="E42" s="39"/>
      <c r="F42" s="345"/>
      <c r="G42" s="418"/>
      <c r="H42" s="420"/>
      <c r="I42" s="418"/>
      <c r="J42" s="419"/>
      <c r="K42" s="421"/>
      <c r="L42" s="418"/>
      <c r="M42" s="36"/>
      <c r="N42" s="29"/>
      <c r="O42" s="29"/>
      <c r="P42" s="422"/>
    </row>
    <row r="43" spans="2:16" x14ac:dyDescent="0.15">
      <c r="B43" s="707"/>
      <c r="C43" s="345"/>
      <c r="D43" s="39"/>
      <c r="E43" s="39"/>
      <c r="F43" s="345"/>
      <c r="G43" s="418"/>
      <c r="H43" s="420"/>
      <c r="I43" s="418"/>
      <c r="J43" s="419"/>
      <c r="K43" s="421"/>
      <c r="L43" s="418"/>
      <c r="M43" s="36"/>
      <c r="N43" s="29"/>
      <c r="O43" s="29"/>
      <c r="P43" s="422"/>
    </row>
    <row r="44" spans="2:16" x14ac:dyDescent="0.15">
      <c r="B44" s="707"/>
      <c r="C44" s="345"/>
      <c r="D44" s="39"/>
      <c r="E44" s="39"/>
      <c r="F44" s="345"/>
      <c r="G44" s="418"/>
      <c r="H44" s="420"/>
      <c r="I44" s="418"/>
      <c r="J44" s="419"/>
      <c r="K44" s="421"/>
      <c r="L44" s="418"/>
      <c r="M44" s="36"/>
      <c r="N44" s="29"/>
      <c r="O44" s="29"/>
      <c r="P44" s="422"/>
    </row>
    <row r="45" spans="2:16" x14ac:dyDescent="0.15">
      <c r="B45" s="707"/>
      <c r="C45" s="384"/>
      <c r="D45" s="345"/>
      <c r="E45" s="384"/>
      <c r="F45" s="345"/>
      <c r="G45" s="418"/>
      <c r="H45" s="420"/>
      <c r="I45" s="418"/>
      <c r="J45" s="419"/>
      <c r="K45" s="421"/>
      <c r="L45" s="418"/>
      <c r="M45" s="36"/>
      <c r="N45" s="29"/>
      <c r="O45" s="29"/>
      <c r="P45" s="422"/>
    </row>
    <row r="46" spans="2:16" x14ac:dyDescent="0.15">
      <c r="B46" s="707"/>
      <c r="C46" s="384"/>
      <c r="D46" s="42"/>
      <c r="E46" s="384"/>
      <c r="F46" s="345"/>
      <c r="G46" s="418"/>
      <c r="H46" s="420"/>
      <c r="I46" s="418"/>
      <c r="J46" s="419"/>
      <c r="K46" s="421"/>
      <c r="L46" s="418"/>
      <c r="M46" s="36"/>
      <c r="N46" s="29"/>
      <c r="O46" s="29"/>
      <c r="P46" s="422"/>
    </row>
    <row r="47" spans="2:16" x14ac:dyDescent="0.15">
      <c r="B47" s="707"/>
      <c r="C47" s="384"/>
      <c r="D47" s="42"/>
      <c r="E47" s="384"/>
      <c r="F47" s="345"/>
      <c r="G47" s="418"/>
      <c r="H47" s="420"/>
      <c r="I47" s="418"/>
      <c r="J47" s="419"/>
      <c r="K47" s="421"/>
      <c r="L47" s="418"/>
      <c r="M47" s="36"/>
      <c r="N47" s="29"/>
      <c r="O47" s="29"/>
      <c r="P47" s="422"/>
    </row>
    <row r="48" spans="2:16" x14ac:dyDescent="0.15">
      <c r="B48" s="707"/>
      <c r="C48" s="39"/>
      <c r="D48" s="42"/>
      <c r="E48" s="39"/>
      <c r="F48" s="39"/>
      <c r="G48" s="418"/>
      <c r="H48" s="420"/>
      <c r="I48" s="418"/>
      <c r="J48" s="423"/>
      <c r="K48" s="421"/>
      <c r="L48" s="418"/>
      <c r="M48" s="36"/>
      <c r="N48" s="29"/>
      <c r="O48" s="29"/>
      <c r="P48" s="422"/>
    </row>
    <row r="49" spans="2:18" x14ac:dyDescent="0.15">
      <c r="B49" s="707"/>
      <c r="C49" s="39"/>
      <c r="D49" s="42"/>
      <c r="E49" s="39"/>
      <c r="F49" s="39"/>
      <c r="G49" s="418"/>
      <c r="H49" s="420"/>
      <c r="I49" s="418"/>
      <c r="J49" s="423"/>
      <c r="K49" s="421"/>
      <c r="L49" s="418"/>
      <c r="M49" s="36"/>
      <c r="N49" s="29"/>
      <c r="O49" s="29"/>
      <c r="P49" s="422"/>
    </row>
    <row r="50" spans="2:18" x14ac:dyDescent="0.15">
      <c r="B50" s="737"/>
      <c r="C50" s="45" t="s">
        <v>46</v>
      </c>
      <c r="D50" s="45"/>
      <c r="E50" s="45"/>
      <c r="F50" s="46"/>
      <c r="G50" s="45">
        <f>SUM(G16:G46)</f>
        <v>49929652</v>
      </c>
      <c r="H50" s="45"/>
      <c r="I50" s="45">
        <f>SUM(I16:I46)</f>
        <v>47546632</v>
      </c>
      <c r="J50" s="45"/>
      <c r="K50" s="47"/>
      <c r="L50" s="45">
        <f>SUM(L16:L46)</f>
        <v>809955.73333333328</v>
      </c>
      <c r="M50" s="26"/>
      <c r="N50" s="26"/>
      <c r="O50" s="26"/>
      <c r="P50" s="350">
        <f>SUM(P16:P46)</f>
        <v>124350.81904761904</v>
      </c>
      <c r="R50" s="26"/>
    </row>
    <row r="51" spans="2:18" ht="13.5" customHeight="1" x14ac:dyDescent="0.15">
      <c r="B51" s="706" t="s">
        <v>148</v>
      </c>
      <c r="C51" s="39"/>
      <c r="D51" s="39"/>
      <c r="E51" s="39"/>
      <c r="F51" s="42"/>
      <c r="G51" s="39"/>
      <c r="H51" s="48"/>
      <c r="I51" s="39"/>
      <c r="J51" s="42"/>
      <c r="K51" s="41"/>
      <c r="L51" s="39"/>
      <c r="M51" s="37"/>
      <c r="N51" s="11"/>
      <c r="O51" s="11"/>
      <c r="P51" s="349" t="str">
        <f>IF(O51="","",(L51-N51)/O51)</f>
        <v/>
      </c>
    </row>
    <row r="52" spans="2:18" ht="13.5" customHeight="1" x14ac:dyDescent="0.15">
      <c r="B52" s="707"/>
      <c r="C52" s="39"/>
      <c r="D52" s="39"/>
      <c r="E52" s="39"/>
      <c r="F52" s="42"/>
      <c r="G52" s="39"/>
      <c r="H52" s="48"/>
      <c r="I52" s="39"/>
      <c r="J52" s="42"/>
      <c r="K52" s="41"/>
      <c r="L52" s="39"/>
      <c r="M52" s="37"/>
      <c r="N52" s="11"/>
      <c r="O52" s="11"/>
      <c r="P52" s="349"/>
    </row>
    <row r="53" spans="2:18" ht="13.5" customHeight="1" x14ac:dyDescent="0.15">
      <c r="B53" s="707"/>
      <c r="C53" s="39"/>
      <c r="D53" s="39"/>
      <c r="E53" s="39"/>
      <c r="F53" s="42"/>
      <c r="G53" s="39"/>
      <c r="H53" s="48"/>
      <c r="I53" s="39"/>
      <c r="J53" s="39"/>
      <c r="K53" s="41"/>
      <c r="L53" s="39"/>
      <c r="M53" s="37"/>
      <c r="N53" s="11"/>
      <c r="O53" s="11"/>
      <c r="P53" s="349" t="str">
        <f>IF(O53="","",(L53-N53)/O53)</f>
        <v/>
      </c>
    </row>
    <row r="54" spans="2:18" ht="13.5" customHeight="1" x14ac:dyDescent="0.15">
      <c r="B54" s="707"/>
      <c r="C54" s="11"/>
      <c r="D54" s="11"/>
      <c r="E54" s="11"/>
      <c r="F54" s="23"/>
      <c r="G54" s="11"/>
      <c r="H54" s="37"/>
      <c r="I54" s="11"/>
      <c r="J54" s="11"/>
      <c r="K54" s="38"/>
      <c r="L54" s="11"/>
      <c r="M54" s="37"/>
      <c r="N54" s="11"/>
      <c r="O54" s="11"/>
      <c r="P54" s="349" t="str">
        <f>IF(O54="","",(L54-N54)/O54)</f>
        <v/>
      </c>
    </row>
    <row r="55" spans="2:18" x14ac:dyDescent="0.15">
      <c r="B55" s="737"/>
      <c r="C55" s="30" t="s">
        <v>46</v>
      </c>
      <c r="D55" s="26"/>
      <c r="E55" s="26"/>
      <c r="F55" s="27"/>
      <c r="G55" s="26">
        <f>SUM(G51:G54)</f>
        <v>0</v>
      </c>
      <c r="H55" s="26"/>
      <c r="I55" s="26">
        <f>SUM(I51:I54)</f>
        <v>0</v>
      </c>
      <c r="J55" s="26"/>
      <c r="K55" s="28"/>
      <c r="L55" s="26">
        <f>SUM(L51:L54)</f>
        <v>0</v>
      </c>
      <c r="M55" s="26"/>
      <c r="N55" s="26"/>
      <c r="O55" s="26"/>
      <c r="P55" s="350">
        <f>SUM(P51:P54)</f>
        <v>0</v>
      </c>
      <c r="R55" s="26"/>
    </row>
    <row r="56" spans="2:18" ht="14.25" thickBot="1" x14ac:dyDescent="0.2">
      <c r="B56" s="31"/>
      <c r="C56" s="32" t="s">
        <v>102</v>
      </c>
      <c r="D56" s="33"/>
      <c r="E56" s="33"/>
      <c r="F56" s="34"/>
      <c r="G56" s="33">
        <f>G15+G50+G55</f>
        <v>68627152</v>
      </c>
      <c r="H56" s="33"/>
      <c r="I56" s="33">
        <f>I15+I50+I55</f>
        <v>66244132</v>
      </c>
      <c r="J56" s="33"/>
      <c r="K56" s="35"/>
      <c r="L56" s="33">
        <f>L15+L50+L55</f>
        <v>1076805.7333333334</v>
      </c>
      <c r="M56" s="33"/>
      <c r="N56" s="33"/>
      <c r="O56" s="33"/>
      <c r="P56" s="351">
        <f>P15+P50+P55</f>
        <v>139155.81904761904</v>
      </c>
      <c r="R56" s="26"/>
    </row>
    <row r="57" spans="2:18" ht="11.25" customHeight="1" x14ac:dyDescent="0.15"/>
  </sheetData>
  <mergeCells count="9">
    <mergeCell ref="J3:J4"/>
    <mergeCell ref="B5:B15"/>
    <mergeCell ref="B16:B50"/>
    <mergeCell ref="B51:B55"/>
    <mergeCell ref="F2:G2"/>
    <mergeCell ref="B3:B4"/>
    <mergeCell ref="C3:C4"/>
    <mergeCell ref="D3:D4"/>
    <mergeCell ref="E3:F3"/>
  </mergeCells>
  <phoneticPr fontId="5"/>
  <pageMargins left="0.78740157480314965" right="0.78740157480314965" top="0.78740157480314965" bottom="0.78740157480314965" header="0.39370078740157483" footer="0.39370078740157483"/>
  <pageSetup paperSize="8" scale="61" orientation="landscape" r:id="rId1"/>
  <headerFooter alignWithMargins="0">
    <oddHeader>&amp;R&amp;A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１　対象経営の概要，２　前提条件</vt:lpstr>
      <vt:lpstr>３－１　水稲（食用米）標準技術</vt:lpstr>
      <vt:lpstr>３－２　水稲（ＷＣＳ）標準技術</vt:lpstr>
      <vt:lpstr>４　経営収支</vt:lpstr>
      <vt:lpstr>５－１　水稲（食用米）作業時間</vt:lpstr>
      <vt:lpstr>５－２　水稲（ＷＣＳ）作業時間</vt:lpstr>
      <vt:lpstr>６　固定資本装備と減価償却費</vt:lpstr>
      <vt:lpstr>６（参考）水稲資本装備</vt:lpstr>
      <vt:lpstr>６（参考）WCS用稲資本装備</vt:lpstr>
      <vt:lpstr>７－１　水稲部門（コシヒカリ）収支</vt:lpstr>
      <vt:lpstr>７－２　水稲部門（あきさかり）収支 </vt:lpstr>
      <vt:lpstr>７－３　水稲部門（ＷＣＳ）収支 </vt:lpstr>
      <vt:lpstr>８－１　水稲算出基礎（コシヒカリ）</vt:lpstr>
      <vt:lpstr>８－２　水稲算出基礎（あきさかり） </vt:lpstr>
      <vt:lpstr>８－３　水稲算出基礎（ＷＣＳ）</vt:lpstr>
      <vt:lpstr>Sheet1</vt:lpstr>
      <vt:lpstr>'３－１　水稲（食用米）標準技術'!Print_Area</vt:lpstr>
      <vt:lpstr>'３－２　水稲（ＷＣＳ）標準技術'!Print_Area</vt:lpstr>
      <vt:lpstr>'４　経営収支'!Print_Area</vt:lpstr>
      <vt:lpstr>'５－１　水稲（食用米）作業時間'!Print_Area</vt:lpstr>
      <vt:lpstr>'５－２　水稲（ＷＣＳ）作業時間'!Print_Area</vt:lpstr>
      <vt:lpstr>'６　固定資本装備と減価償却費'!Print_Area</vt:lpstr>
      <vt:lpstr>'６（参考）WCS用稲資本装備'!Print_Area</vt:lpstr>
      <vt:lpstr>'６（参考）水稲資本装備'!Print_Area</vt:lpstr>
      <vt:lpstr>'７－１　水稲部門（コシヒカリ）収支'!Print_Area</vt:lpstr>
      <vt:lpstr>'７－２　水稲部門（あきさかり）収支 '!Print_Area</vt:lpstr>
      <vt:lpstr>'７－３　水稲部門（ＷＣＳ）収支 '!Print_Area</vt:lpstr>
      <vt:lpstr>'８－１　水稲算出基礎（コシヒカリ）'!Print_Area</vt:lpstr>
      <vt:lpstr>'８－２　水稲算出基礎（あきさかり） '!Print_Area</vt:lpstr>
      <vt:lpstr>'８－３　水稲算出基礎（ＷＣＳ）'!Print_Area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2015-03-02T02:19:11Z</cp:lastPrinted>
  <dcterms:created xsi:type="dcterms:W3CDTF">2005-02-26T02:20:11Z</dcterms:created>
  <dcterms:modified xsi:type="dcterms:W3CDTF">2015-03-27T10:03:32Z</dcterms:modified>
</cp:coreProperties>
</file>