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11985" yWindow="-15" windowWidth="12030" windowHeight="9480"/>
  </bookViews>
  <sheets>
    <sheet name="１　対象経営の概要，２　前提条件" sheetId="19" r:id="rId1"/>
    <sheet name="３－１　水稲（食用米）標準技術" sheetId="24" r:id="rId2"/>
    <sheet name="３－２　水稲（加工米）標準技術" sheetId="54" r:id="rId3"/>
    <sheet name="４　経営収支" sheetId="22" r:id="rId4"/>
    <sheet name="５－１　水稲（食用，加工用米，飼料用米）作業時間" sheetId="27" r:id="rId5"/>
    <sheet name="６　固定資本装備と減価償却費" sheetId="23" r:id="rId6"/>
    <sheet name="６（参考）水稲資本装備" sheetId="30" r:id="rId7"/>
    <sheet name="６(参考）作業受委託根拠" sheetId="67" r:id="rId8"/>
    <sheet name="７－１　水稲部門（倒伏しやすい品種）収支" sheetId="35" r:id="rId9"/>
    <sheet name="７－２  水稲部門（加工用）収支" sheetId="37" r:id="rId10"/>
    <sheet name="７－３　水稲部門（作業受託）収支 " sheetId="66" r:id="rId11"/>
    <sheet name="８－１　水稲算出基礎（食用倒伏しやすい品種）" sheetId="36" r:id="rId12"/>
    <sheet name="８－２　水稲算出基礎（加工用品種）" sheetId="60" r:id="rId13"/>
    <sheet name="８－３　水稲算出基礎（作業受託）" sheetId="65" r:id="rId14"/>
    <sheet name="Sheet1" sheetId="68" r:id="rId15"/>
  </sheets>
  <definedNames>
    <definedName name="_1__123Graph_Aｸﾞﾗﾌ_1" localSheetId="10" hidden="1">#REF!</definedName>
    <definedName name="_1__123Graph_Aｸﾞﾗﾌ_1" localSheetId="12" hidden="1">#REF!</definedName>
    <definedName name="_1__123Graph_Aｸﾞﾗﾌ_1" localSheetId="13" hidden="1">#REF!</definedName>
    <definedName name="_1__123Graph_Aｸﾞﾗﾌ_1" hidden="1">#REF!</definedName>
    <definedName name="_2__123Graph_Bｸﾞﾗﾌ_1" localSheetId="10" hidden="1">#REF!</definedName>
    <definedName name="_2__123Graph_Bｸﾞﾗﾌ_1" localSheetId="12" hidden="1">#REF!</definedName>
    <definedName name="_2__123Graph_Bｸﾞﾗﾌ_1" localSheetId="13" hidden="1">#REF!</definedName>
    <definedName name="_2__123Graph_Bｸﾞﾗﾌ_1" hidden="1">#REF!</definedName>
    <definedName name="_3__123Graph_Cｸﾞﾗﾌ_1" localSheetId="10" hidden="1">#REF!</definedName>
    <definedName name="_3__123Graph_Cｸﾞﾗﾌ_1" localSheetId="12" hidden="1">#REF!</definedName>
    <definedName name="_3__123Graph_Cｸﾞﾗﾌ_1" localSheetId="13" hidden="1">#REF!</definedName>
    <definedName name="_3__123Graph_Cｸﾞﾗﾌ_1" hidden="1">#REF!</definedName>
    <definedName name="_4__123Graph_Dｸﾞﾗﾌ_1" localSheetId="10" hidden="1">#REF!</definedName>
    <definedName name="_4__123Graph_Dｸﾞﾗﾌ_1" localSheetId="12" hidden="1">#REF!</definedName>
    <definedName name="_4__123Graph_Dｸﾞﾗﾌ_1" localSheetId="13" hidden="1">#REF!</definedName>
    <definedName name="_4__123Graph_Dｸﾞﾗﾌ_1" hidden="1">#REF!</definedName>
    <definedName name="_5__123Graph_Eｸﾞﾗﾌ_1" localSheetId="10" hidden="1">#REF!</definedName>
    <definedName name="_5__123Graph_Eｸﾞﾗﾌ_1" localSheetId="12" hidden="1">#REF!</definedName>
    <definedName name="_5__123Graph_Eｸﾞﾗﾌ_1" localSheetId="13" hidden="1">#REF!</definedName>
    <definedName name="_5__123Graph_Eｸﾞﾗﾌ_1" hidden="1">#REF!</definedName>
    <definedName name="_6__123Graph_Fｸﾞﾗﾌ_1" localSheetId="10" hidden="1">#REF!</definedName>
    <definedName name="_6__123Graph_Fｸﾞﾗﾌ_1" localSheetId="12" hidden="1">#REF!</definedName>
    <definedName name="_6__123Graph_Fｸﾞﾗﾌ_1" localSheetId="13" hidden="1">#REF!</definedName>
    <definedName name="_6__123Graph_Fｸﾞﾗﾌ_1" hidden="1">#REF!</definedName>
    <definedName name="_a1" localSheetId="2" hidden="1">#REF!</definedName>
    <definedName name="_a1" localSheetId="10" hidden="1">#REF!</definedName>
    <definedName name="_a1" localSheetId="12" hidden="1">#REF!</definedName>
    <definedName name="_a1" localSheetId="13" hidden="1">#REF!</definedName>
    <definedName name="_a1" hidden="1">#REF!</definedName>
    <definedName name="_a2" localSheetId="2" hidden="1">#REF!</definedName>
    <definedName name="_a2" localSheetId="10" hidden="1">#REF!</definedName>
    <definedName name="_a2" localSheetId="12" hidden="1">#REF!</definedName>
    <definedName name="_a2" localSheetId="13" hidden="1">#REF!</definedName>
    <definedName name="_a2" hidden="1">#REF!</definedName>
    <definedName name="_a3" localSheetId="2" hidden="1">#REF!</definedName>
    <definedName name="_a3" localSheetId="10" hidden="1">#REF!</definedName>
    <definedName name="_a3" localSheetId="12" hidden="1">#REF!</definedName>
    <definedName name="_a3" localSheetId="13" hidden="1">#REF!</definedName>
    <definedName name="_a3" hidden="1">#REF!</definedName>
    <definedName name="_a4" localSheetId="2" hidden="1">#REF!</definedName>
    <definedName name="_a4" localSheetId="10" hidden="1">#REF!</definedName>
    <definedName name="_a4" localSheetId="12" hidden="1">#REF!</definedName>
    <definedName name="_a4" localSheetId="13" hidden="1">#REF!</definedName>
    <definedName name="_a4" hidden="1">#REF!</definedName>
    <definedName name="_a5" localSheetId="2" hidden="1">#REF!</definedName>
    <definedName name="_a5" localSheetId="10" hidden="1">#REF!</definedName>
    <definedName name="_a5" localSheetId="12" hidden="1">#REF!</definedName>
    <definedName name="_a5" localSheetId="13" hidden="1">#REF!</definedName>
    <definedName name="_a5" hidden="1">#REF!</definedName>
    <definedName name="_a6" localSheetId="2" hidden="1">#REF!</definedName>
    <definedName name="_a6" localSheetId="10" hidden="1">#REF!</definedName>
    <definedName name="_a6" localSheetId="12" hidden="1">#REF!</definedName>
    <definedName name="_a6" localSheetId="13" hidden="1">#REF!</definedName>
    <definedName name="_a6" hidden="1">#REF!</definedName>
    <definedName name="_a7" localSheetId="2" hidden="1">#REF!</definedName>
    <definedName name="_a7" localSheetId="10" hidden="1">#REF!</definedName>
    <definedName name="_a7" localSheetId="12" hidden="1">#REF!</definedName>
    <definedName name="_a7" localSheetId="13" hidden="1">#REF!</definedName>
    <definedName name="_a7" hidden="1">#REF!</definedName>
    <definedName name="aaa" localSheetId="2" hidden="1">#REF!</definedName>
    <definedName name="aaa" localSheetId="10" hidden="1">#REF!</definedName>
    <definedName name="aaa" localSheetId="12" hidden="1">#REF!</definedName>
    <definedName name="aaa" localSheetId="13" hidden="1">#REF!</definedName>
    <definedName name="aaa" hidden="1">#REF!</definedName>
    <definedName name="bbb" localSheetId="2" hidden="1">#REF!</definedName>
    <definedName name="bbb" localSheetId="10" hidden="1">#REF!</definedName>
    <definedName name="bbb" localSheetId="12" hidden="1">#REF!</definedName>
    <definedName name="bbb" localSheetId="13" hidden="1">#REF!</definedName>
    <definedName name="bbb" hidden="1">#REF!</definedName>
    <definedName name="ccc" localSheetId="2" hidden="1">#REF!</definedName>
    <definedName name="ccc" localSheetId="10" hidden="1">#REF!</definedName>
    <definedName name="ccc" localSheetId="12" hidden="1">#REF!</definedName>
    <definedName name="ccc" localSheetId="13" hidden="1">#REF!</definedName>
    <definedName name="ccc" hidden="1">#REF!</definedName>
    <definedName name="ddd" localSheetId="2" hidden="1">#REF!</definedName>
    <definedName name="ddd" localSheetId="10" hidden="1">#REF!</definedName>
    <definedName name="ddd" localSheetId="12" hidden="1">#REF!</definedName>
    <definedName name="ddd" localSheetId="13" hidden="1">#REF!</definedName>
    <definedName name="ddd" hidden="1">#REF!</definedName>
    <definedName name="eee" localSheetId="2" hidden="1">#REF!</definedName>
    <definedName name="eee" localSheetId="10" hidden="1">#REF!</definedName>
    <definedName name="eee" localSheetId="12" hidden="1">#REF!</definedName>
    <definedName name="eee" localSheetId="13" hidden="1">#REF!</definedName>
    <definedName name="eee" hidden="1">#REF!</definedName>
    <definedName name="fff" localSheetId="2" hidden="1">#REF!</definedName>
    <definedName name="fff" localSheetId="10" hidden="1">#REF!</definedName>
    <definedName name="fff" localSheetId="12" hidden="1">#REF!</definedName>
    <definedName name="fff" localSheetId="13" hidden="1">#REF!</definedName>
    <definedName name="fff" hidden="1">#REF!</definedName>
    <definedName name="ggg" localSheetId="2" hidden="1">#REF!</definedName>
    <definedName name="ggg" localSheetId="10" hidden="1">#REF!</definedName>
    <definedName name="ggg" localSheetId="12" hidden="1">#REF!</definedName>
    <definedName name="ggg" localSheetId="13" hidden="1">#REF!</definedName>
    <definedName name="ggg" hidden="1">#REF!</definedName>
    <definedName name="hhh" localSheetId="2" hidden="1">#REF!</definedName>
    <definedName name="hhh" localSheetId="10" hidden="1">#REF!</definedName>
    <definedName name="hhh" localSheetId="12" hidden="1">#REF!</definedName>
    <definedName name="hhh" localSheetId="13" hidden="1">#REF!</definedName>
    <definedName name="hhh" hidden="1">#REF!</definedName>
    <definedName name="_xlnm.Print_Area" localSheetId="4">'５－１　水稲（食用，加工用米，飼料用米）作業時間'!$A$1:$AM$34</definedName>
    <definedName name="_xlnm.Print_Area" localSheetId="5">'６　固定資本装備と減価償却費'!$1:$40</definedName>
    <definedName name="_xlnm.Print_Area" localSheetId="6">'６（参考）水稲資本装備'!$1:$46</definedName>
    <definedName name="_xlnm.Print_Area" localSheetId="8">'７－１　水稲部門（倒伏しやすい品種）収支'!$A$1:$S$45</definedName>
    <definedName name="_xlnm.Print_Area" localSheetId="9">'７－２  水稲部門（加工用）収支'!$A$1:$S$45</definedName>
    <definedName name="_xlnm.Print_Area" localSheetId="10">'７－３　水稲部門（作業受託）収支 '!$A$1:$S$45</definedName>
    <definedName name="simizu" localSheetId="2" hidden="1">#REF!</definedName>
    <definedName name="simizu" localSheetId="10" hidden="1">#REF!</definedName>
    <definedName name="simizu" localSheetId="12" hidden="1">#REF!</definedName>
    <definedName name="simizu" localSheetId="13" hidden="1">#REF!</definedName>
    <definedName name="simizu" hidden="1">#REF!</definedName>
    <definedName name="受託" localSheetId="10" hidden="1">#REF!</definedName>
    <definedName name="受託" hidden="1">#REF!</definedName>
    <definedName name="受託2" localSheetId="10" hidden="1">#REF!</definedName>
    <definedName name="受託2" hidden="1">#REF!</definedName>
    <definedName name="受託3" localSheetId="10" hidden="1">#REF!</definedName>
    <definedName name="受託3" hidden="1">#REF!</definedName>
    <definedName name="受託4" localSheetId="10" hidden="1">#REF!</definedName>
    <definedName name="受託4" hidden="1">#REF!</definedName>
    <definedName name="受託5" localSheetId="10" hidden="1">#REF!</definedName>
    <definedName name="受託5" hidden="1">#REF!</definedName>
    <definedName name="受託6" localSheetId="10" hidden="1">#REF!</definedName>
    <definedName name="受託6" hidden="1">#REF!</definedName>
    <definedName name="受託7" localSheetId="10" hidden="1">#REF!</definedName>
    <definedName name="受託7" hidden="1">#REF!</definedName>
    <definedName name="新" localSheetId="2" hidden="1">#REF!</definedName>
    <definedName name="新" localSheetId="10" hidden="1">#REF!</definedName>
    <definedName name="新" localSheetId="12" hidden="1">#REF!</definedName>
    <definedName name="新" localSheetId="13" hidden="1">#REF!</definedName>
    <definedName name="新" hidden="1">#REF!</definedName>
  </definedNames>
  <calcPr calcId="145621"/>
</workbook>
</file>

<file path=xl/calcChain.xml><?xml version="1.0" encoding="utf-8"?>
<calcChain xmlns="http://schemas.openxmlformats.org/spreadsheetml/2006/main">
  <c r="G48" i="22" l="1"/>
  <c r="G47" i="22"/>
  <c r="G46" i="22"/>
  <c r="G45" i="22"/>
  <c r="G44" i="22"/>
  <c r="G41" i="22"/>
  <c r="G39" i="22"/>
  <c r="G32" i="22"/>
  <c r="G31" i="22"/>
  <c r="G30" i="22"/>
  <c r="G26" i="22"/>
  <c r="G25" i="22"/>
  <c r="G24" i="22"/>
  <c r="G23" i="22"/>
  <c r="G22" i="22"/>
  <c r="G21" i="22"/>
  <c r="G20" i="22"/>
  <c r="G19" i="22"/>
  <c r="G14" i="22"/>
  <c r="G8" i="22"/>
  <c r="G6" i="22"/>
  <c r="G40" i="22" l="1"/>
  <c r="G38" i="22"/>
  <c r="G13" i="22"/>
  <c r="G12" i="22"/>
  <c r="G11" i="22"/>
  <c r="G10" i="22"/>
  <c r="G9" i="22"/>
  <c r="V52" i="65"/>
  <c r="U52" i="65"/>
  <c r="V46" i="65"/>
  <c r="U46" i="65"/>
  <c r="V52" i="60"/>
  <c r="U52" i="60"/>
  <c r="V46" i="60"/>
  <c r="U46" i="60"/>
  <c r="G43" i="36"/>
  <c r="G44" i="36"/>
  <c r="G45" i="36"/>
  <c r="G46" i="36"/>
  <c r="G31" i="36"/>
  <c r="V52" i="36"/>
  <c r="U52" i="36"/>
  <c r="V46" i="36"/>
  <c r="U46" i="36"/>
  <c r="F14" i="19" l="1"/>
  <c r="N24" i="66"/>
  <c r="N23" i="66"/>
  <c r="J38" i="65"/>
  <c r="M10" i="66" l="1"/>
  <c r="F34" i="67" l="1"/>
  <c r="B34" i="67"/>
  <c r="E33" i="67"/>
  <c r="E32" i="67"/>
  <c r="E31" i="67"/>
  <c r="E30" i="67"/>
  <c r="F26" i="67"/>
  <c r="B26" i="67"/>
  <c r="E25" i="67"/>
  <c r="E24" i="67"/>
  <c r="E23" i="67"/>
  <c r="E22" i="67"/>
  <c r="E26" i="67" s="1"/>
  <c r="H26" i="67" s="1"/>
  <c r="I26" i="67" s="1"/>
  <c r="F18" i="67"/>
  <c r="B18" i="67"/>
  <c r="E17" i="67"/>
  <c r="E16" i="67"/>
  <c r="E15" i="67"/>
  <c r="E14" i="67"/>
  <c r="F10" i="67"/>
  <c r="B10" i="67"/>
  <c r="E9" i="67"/>
  <c r="E8" i="67"/>
  <c r="E7" i="67"/>
  <c r="E6" i="67"/>
  <c r="C8" i="65"/>
  <c r="C5" i="65"/>
  <c r="E18" i="67" l="1"/>
  <c r="H18" i="67" s="1"/>
  <c r="I18" i="67" s="1"/>
  <c r="E10" i="67"/>
  <c r="H10" i="67" s="1"/>
  <c r="I10" i="67" s="1"/>
  <c r="E34" i="67"/>
  <c r="H34" i="67" s="1"/>
  <c r="I34" i="67" s="1"/>
  <c r="N20" i="66"/>
  <c r="N18" i="66"/>
  <c r="N16" i="66"/>
  <c r="N14" i="66"/>
  <c r="N19" i="66"/>
  <c r="N17" i="66"/>
  <c r="N15" i="66"/>
  <c r="N13" i="66"/>
  <c r="L8" i="66"/>
  <c r="L7" i="66"/>
  <c r="L6" i="66"/>
  <c r="L5" i="66"/>
  <c r="I47" i="22" l="1"/>
  <c r="I46" i="22"/>
  <c r="I45" i="22"/>
  <c r="I44" i="22"/>
  <c r="I41" i="22"/>
  <c r="I39" i="22"/>
  <c r="I32" i="22"/>
  <c r="I31" i="22"/>
  <c r="I30" i="22"/>
  <c r="I26" i="22"/>
  <c r="I25" i="22"/>
  <c r="I24" i="22"/>
  <c r="I20" i="22"/>
  <c r="I14" i="22"/>
  <c r="I5" i="22"/>
  <c r="G21" i="65"/>
  <c r="F45" i="66" l="1"/>
  <c r="I48" i="22" s="1"/>
  <c r="N11" i="66"/>
  <c r="N10" i="66"/>
  <c r="R9" i="66"/>
  <c r="R8" i="66"/>
  <c r="R7" i="66"/>
  <c r="R6" i="66"/>
  <c r="R5" i="66"/>
  <c r="N21" i="65"/>
  <c r="N24" i="65" s="1"/>
  <c r="N28" i="65"/>
  <c r="P34" i="66" s="1"/>
  <c r="G17" i="65"/>
  <c r="G15" i="65"/>
  <c r="G14" i="65"/>
  <c r="G13" i="65"/>
  <c r="G10" i="65"/>
  <c r="G9" i="65"/>
  <c r="G6" i="65"/>
  <c r="G12" i="65"/>
  <c r="G8" i="65"/>
  <c r="G5" i="65"/>
  <c r="F30" i="60"/>
  <c r="G30" i="60" s="1"/>
  <c r="F40" i="60"/>
  <c r="G40" i="60"/>
  <c r="G41" i="60"/>
  <c r="G42" i="60"/>
  <c r="F50" i="60"/>
  <c r="G50" i="60" s="1"/>
  <c r="D54" i="60"/>
  <c r="G54" i="60" s="1"/>
  <c r="F54" i="60"/>
  <c r="F55" i="60"/>
  <c r="G55" i="60" s="1"/>
  <c r="G52" i="65"/>
  <c r="G51" i="65"/>
  <c r="G53" i="65"/>
  <c r="G48" i="65"/>
  <c r="G47" i="65"/>
  <c r="G46" i="65"/>
  <c r="V44" i="65"/>
  <c r="G37" i="65"/>
  <c r="J36" i="65"/>
  <c r="G36" i="65"/>
  <c r="G35" i="65"/>
  <c r="G34" i="65"/>
  <c r="G33" i="65"/>
  <c r="K32" i="65"/>
  <c r="N31" i="65"/>
  <c r="L28" i="65"/>
  <c r="K28" i="65"/>
  <c r="L24" i="65"/>
  <c r="K24" i="65"/>
  <c r="N23" i="65"/>
  <c r="N22" i="65"/>
  <c r="V21" i="65"/>
  <c r="G24" i="65"/>
  <c r="L20" i="65"/>
  <c r="K20" i="65"/>
  <c r="N19" i="65"/>
  <c r="G19" i="65"/>
  <c r="N18" i="65"/>
  <c r="G18" i="65"/>
  <c r="L16" i="65"/>
  <c r="K16" i="65"/>
  <c r="N15" i="65"/>
  <c r="N14" i="65"/>
  <c r="N16" i="65" s="1"/>
  <c r="P31" i="66" s="1"/>
  <c r="K12" i="65"/>
  <c r="L12" i="65"/>
  <c r="N6" i="65"/>
  <c r="N12" i="65" s="1"/>
  <c r="P30" i="66" s="1"/>
  <c r="N32" i="65" l="1"/>
  <c r="P35" i="66"/>
  <c r="G49" i="65"/>
  <c r="N20" i="65"/>
  <c r="P32" i="66" s="1"/>
  <c r="P37" i="66" s="1"/>
  <c r="F9" i="66" s="1"/>
  <c r="I11" i="22" s="1"/>
  <c r="P33" i="66"/>
  <c r="G16" i="65"/>
  <c r="M7" i="66" s="1"/>
  <c r="N7" i="66" s="1"/>
  <c r="P11" i="66"/>
  <c r="F10" i="66" s="1"/>
  <c r="I12" i="22" s="1"/>
  <c r="G7" i="65"/>
  <c r="M5" i="66" s="1"/>
  <c r="N5" i="66" s="1"/>
  <c r="G20" i="65"/>
  <c r="M8" i="66" s="1"/>
  <c r="N8" i="66" s="1"/>
  <c r="G11" i="65"/>
  <c r="M6" i="66" s="1"/>
  <c r="N6" i="66" s="1"/>
  <c r="G38" i="65"/>
  <c r="G57" i="65"/>
  <c r="L32" i="65"/>
  <c r="R11" i="66" l="1"/>
  <c r="F5" i="66" s="1"/>
  <c r="I6" i="22" s="1"/>
  <c r="N31" i="60" l="1"/>
  <c r="L28" i="60"/>
  <c r="K28" i="60"/>
  <c r="N27" i="60"/>
  <c r="N26" i="60"/>
  <c r="N25" i="60"/>
  <c r="L24" i="60"/>
  <c r="K24" i="60"/>
  <c r="N23" i="60"/>
  <c r="N22" i="60"/>
  <c r="L20" i="60"/>
  <c r="K20" i="60"/>
  <c r="N19" i="60"/>
  <c r="N18" i="60"/>
  <c r="N17" i="60"/>
  <c r="L16" i="60"/>
  <c r="K16" i="60"/>
  <c r="N15" i="60"/>
  <c r="N14" i="60"/>
  <c r="N13" i="60"/>
  <c r="K12" i="60"/>
  <c r="N11" i="60"/>
  <c r="N9" i="60"/>
  <c r="N8" i="60"/>
  <c r="L7" i="60"/>
  <c r="L12" i="60" s="1"/>
  <c r="N6" i="60"/>
  <c r="N31" i="36"/>
  <c r="L28" i="36"/>
  <c r="K28" i="36"/>
  <c r="N27" i="36"/>
  <c r="N26" i="36"/>
  <c r="N25" i="36"/>
  <c r="L24" i="36"/>
  <c r="K24" i="36"/>
  <c r="N23" i="36"/>
  <c r="N22" i="36"/>
  <c r="N24" i="36" s="1"/>
  <c r="L20" i="36"/>
  <c r="K20" i="36"/>
  <c r="N19" i="36"/>
  <c r="N18" i="36"/>
  <c r="N17" i="36"/>
  <c r="N20" i="36" s="1"/>
  <c r="L16" i="36"/>
  <c r="K16" i="36"/>
  <c r="N15" i="36"/>
  <c r="N14" i="36"/>
  <c r="N13" i="36"/>
  <c r="K12" i="36"/>
  <c r="N11" i="36"/>
  <c r="N9" i="36"/>
  <c r="N8" i="36"/>
  <c r="L7" i="36"/>
  <c r="N7" i="36" s="1"/>
  <c r="N6" i="36"/>
  <c r="AP16" i="27"/>
  <c r="AP12" i="27"/>
  <c r="AP9" i="27"/>
  <c r="AO10" i="27"/>
  <c r="AO11" i="27"/>
  <c r="N16" i="36" l="1"/>
  <c r="L12" i="36"/>
  <c r="N28" i="36"/>
  <c r="N24" i="60"/>
  <c r="N20" i="60"/>
  <c r="N16" i="60"/>
  <c r="N28" i="60"/>
  <c r="N7" i="60"/>
  <c r="N12" i="60" s="1"/>
  <c r="N12" i="36"/>
  <c r="E6" i="30"/>
  <c r="G21" i="30"/>
  <c r="G18" i="30"/>
  <c r="G17" i="30"/>
  <c r="G22" i="30" l="1"/>
  <c r="G23" i="30"/>
  <c r="I33" i="23" l="1"/>
  <c r="I31" i="23"/>
  <c r="I29" i="23"/>
  <c r="I27" i="23"/>
  <c r="I19" i="23"/>
  <c r="I17" i="23"/>
  <c r="I16" i="23"/>
  <c r="I26" i="30"/>
  <c r="I25" i="30"/>
  <c r="I23" i="30"/>
  <c r="I17" i="30"/>
  <c r="N29" i="23" l="1"/>
  <c r="P29" i="23" s="1"/>
  <c r="N16" i="23"/>
  <c r="P16" i="23" s="1"/>
  <c r="G32" i="23"/>
  <c r="I32" i="23" s="1"/>
  <c r="F32" i="23"/>
  <c r="E32" i="23"/>
  <c r="G30" i="23"/>
  <c r="I30" i="23" s="1"/>
  <c r="F30" i="23"/>
  <c r="E30" i="23"/>
  <c r="D30" i="23"/>
  <c r="C32" i="23"/>
  <c r="C30" i="23"/>
  <c r="F28" i="23"/>
  <c r="E28" i="23"/>
  <c r="D28" i="23"/>
  <c r="F26" i="23"/>
  <c r="E26" i="23"/>
  <c r="D26" i="23"/>
  <c r="C28" i="23"/>
  <c r="C26" i="23"/>
  <c r="F25" i="23"/>
  <c r="E25" i="23"/>
  <c r="D25" i="23"/>
  <c r="C25" i="23"/>
  <c r="F24" i="23"/>
  <c r="E24" i="23"/>
  <c r="D24" i="23"/>
  <c r="C24" i="23"/>
  <c r="F23" i="23"/>
  <c r="E23" i="23"/>
  <c r="D23" i="23"/>
  <c r="C23" i="23"/>
  <c r="F22" i="23"/>
  <c r="E22" i="23"/>
  <c r="D22" i="23"/>
  <c r="C22" i="23"/>
  <c r="F21" i="23"/>
  <c r="E21" i="23"/>
  <c r="D21" i="23"/>
  <c r="C21" i="23"/>
  <c r="G20" i="23"/>
  <c r="F20" i="23"/>
  <c r="E20" i="23"/>
  <c r="D20" i="23"/>
  <c r="C20" i="23"/>
  <c r="F18" i="23"/>
  <c r="E18" i="23"/>
  <c r="D18" i="23"/>
  <c r="F15" i="23"/>
  <c r="E15" i="23"/>
  <c r="G24" i="30"/>
  <c r="G24" i="23"/>
  <c r="I21" i="30"/>
  <c r="I24" i="23" l="1"/>
  <c r="G23" i="23"/>
  <c r="I23" i="23" s="1"/>
  <c r="I22" i="30"/>
  <c r="G22" i="23"/>
  <c r="I22" i="23" s="1"/>
  <c r="I20" i="23"/>
  <c r="G25" i="23"/>
  <c r="I25" i="23" s="1"/>
  <c r="I24" i="30"/>
  <c r="G20" i="30"/>
  <c r="G15" i="30"/>
  <c r="G28" i="23" l="1"/>
  <c r="I28" i="23" s="1"/>
  <c r="I20" i="30"/>
  <c r="I15" i="30"/>
  <c r="G15" i="23"/>
  <c r="I15" i="23" s="1"/>
  <c r="G16" i="30" l="1"/>
  <c r="I16" i="30" l="1"/>
  <c r="G18" i="23"/>
  <c r="I18" i="23" s="1"/>
  <c r="L19" i="23" s="1"/>
  <c r="G19" i="30"/>
  <c r="G26" i="23" l="1"/>
  <c r="I26" i="23" s="1"/>
  <c r="I19" i="30"/>
  <c r="G21" i="23"/>
  <c r="I21" i="23" s="1"/>
  <c r="I18" i="30"/>
  <c r="N19" i="23"/>
  <c r="P19" i="23" s="1"/>
  <c r="J38" i="60"/>
  <c r="J36" i="60"/>
  <c r="J38" i="36"/>
  <c r="F13" i="19" l="1"/>
  <c r="J26" i="30" l="1"/>
  <c r="J25" i="30"/>
  <c r="M38" i="65"/>
  <c r="M53" i="65"/>
  <c r="M47" i="65"/>
  <c r="U51" i="65"/>
  <c r="U45" i="65"/>
  <c r="U51" i="60"/>
  <c r="U45" i="60"/>
  <c r="M54" i="60"/>
  <c r="M51" i="60"/>
  <c r="M43" i="60"/>
  <c r="M53" i="36"/>
  <c r="M38" i="36"/>
  <c r="M54" i="36"/>
  <c r="M43" i="36"/>
  <c r="M54" i="65"/>
  <c r="M51" i="65"/>
  <c r="M43" i="65"/>
  <c r="M36" i="65"/>
  <c r="U51" i="36"/>
  <c r="U45" i="36"/>
  <c r="M53" i="60"/>
  <c r="M47" i="60"/>
  <c r="M38" i="60"/>
  <c r="M36" i="60"/>
  <c r="M51" i="36"/>
  <c r="M47" i="36"/>
  <c r="M36" i="36"/>
  <c r="J24" i="30"/>
  <c r="J22" i="30"/>
  <c r="J6" i="30"/>
  <c r="J23" i="30"/>
  <c r="J21" i="30"/>
  <c r="J5" i="30"/>
  <c r="G6" i="30"/>
  <c r="D21" i="60"/>
  <c r="L7" i="35"/>
  <c r="L5" i="35"/>
  <c r="AQ13" i="27" l="1"/>
  <c r="AQ14" i="27"/>
  <c r="AQ15" i="27"/>
  <c r="AQ16" i="27"/>
  <c r="AQ17" i="27"/>
  <c r="AQ19" i="27"/>
  <c r="AQ8" i="27"/>
  <c r="AQ12" i="27"/>
  <c r="AQ9" i="27"/>
  <c r="AQ10" i="27"/>
  <c r="AQ18" i="27"/>
  <c r="AQ11" i="27"/>
  <c r="Z4" i="30" l="1"/>
  <c r="Y4" i="30"/>
  <c r="X4" i="30"/>
  <c r="W4" i="30"/>
  <c r="V4" i="30"/>
  <c r="U4" i="30"/>
  <c r="T4" i="30"/>
  <c r="S4" i="30"/>
  <c r="F40" i="37"/>
  <c r="F40" i="35"/>
  <c r="F23" i="37"/>
  <c r="F22" i="37"/>
  <c r="F23" i="35"/>
  <c r="F22" i="35"/>
  <c r="F24" i="37"/>
  <c r="F24" i="35"/>
  <c r="L5" i="37"/>
  <c r="R4" i="30" l="1"/>
  <c r="AQ20" i="27"/>
  <c r="AQ21" i="27"/>
  <c r="AQ22" i="27"/>
  <c r="AQ23" i="27"/>
  <c r="AQ24" i="27"/>
  <c r="AQ25" i="27"/>
  <c r="AQ26" i="27"/>
  <c r="AQ27" i="27"/>
  <c r="AQ28" i="27"/>
  <c r="AQ29" i="27"/>
  <c r="AQ30" i="27"/>
  <c r="AQ31" i="27"/>
  <c r="AQ32" i="27"/>
  <c r="AQ33" i="27"/>
  <c r="AP34" i="27"/>
  <c r="F20" i="66" s="1"/>
  <c r="I22" i="22" s="1"/>
  <c r="AO34" i="27"/>
  <c r="F19" i="66" s="1"/>
  <c r="I21" i="22" l="1"/>
  <c r="F21" i="66"/>
  <c r="I23" i="22" s="1"/>
  <c r="AQ34" i="27"/>
  <c r="F20" i="37"/>
  <c r="F20" i="35"/>
  <c r="F19" i="37"/>
  <c r="F19" i="35"/>
  <c r="G5" i="30"/>
  <c r="F21" i="37" l="1"/>
  <c r="H23" i="22" s="1"/>
  <c r="I49" i="22"/>
  <c r="F21" i="35"/>
  <c r="H48" i="22"/>
  <c r="H47" i="22"/>
  <c r="H46" i="22"/>
  <c r="H45" i="22"/>
  <c r="H44" i="22"/>
  <c r="H41" i="22"/>
  <c r="H39" i="22"/>
  <c r="H31" i="22"/>
  <c r="H26" i="22"/>
  <c r="H25" i="22"/>
  <c r="H24" i="22"/>
  <c r="H22" i="22"/>
  <c r="H21" i="22"/>
  <c r="H20" i="22"/>
  <c r="H6" i="22"/>
  <c r="G56" i="60"/>
  <c r="G52" i="60"/>
  <c r="G51" i="60"/>
  <c r="G53" i="60"/>
  <c r="P26" i="37" s="1"/>
  <c r="G48" i="60"/>
  <c r="G47" i="60"/>
  <c r="G46" i="60"/>
  <c r="F39" i="60"/>
  <c r="G39" i="60" s="1"/>
  <c r="G37" i="60"/>
  <c r="G36" i="60"/>
  <c r="G35" i="60"/>
  <c r="G34" i="60"/>
  <c r="G33" i="60"/>
  <c r="G32" i="60"/>
  <c r="F29" i="60"/>
  <c r="G29" i="60" s="1"/>
  <c r="F28" i="60"/>
  <c r="G28" i="60" s="1"/>
  <c r="G37" i="36"/>
  <c r="G36" i="36"/>
  <c r="G35" i="36"/>
  <c r="G34" i="36"/>
  <c r="G33" i="36"/>
  <c r="H4" i="22" l="1"/>
  <c r="N7" i="19"/>
  <c r="J18" i="30"/>
  <c r="K18" i="30" s="1"/>
  <c r="K24" i="30"/>
  <c r="J16" i="30"/>
  <c r="K16" i="30" s="1"/>
  <c r="V45" i="65"/>
  <c r="N54" i="65"/>
  <c r="N53" i="65"/>
  <c r="K6" i="30"/>
  <c r="K8" i="23" s="1"/>
  <c r="K21" i="30"/>
  <c r="K26" i="30"/>
  <c r="J15" i="30"/>
  <c r="K15" i="30" s="1"/>
  <c r="N51" i="65"/>
  <c r="V51" i="65"/>
  <c r="K25" i="30"/>
  <c r="K22" i="30"/>
  <c r="J20" i="30"/>
  <c r="K20" i="30" s="1"/>
  <c r="N47" i="65"/>
  <c r="N50" i="65" s="1"/>
  <c r="N43" i="65"/>
  <c r="N46" i="65" s="1"/>
  <c r="K5" i="30"/>
  <c r="K5" i="23" s="1"/>
  <c r="J17" i="30"/>
  <c r="K17" i="30" s="1"/>
  <c r="J19" i="30"/>
  <c r="K19" i="30" s="1"/>
  <c r="K23" i="30"/>
  <c r="H49" i="22"/>
  <c r="J5" i="23"/>
  <c r="J25" i="23"/>
  <c r="J22" i="23"/>
  <c r="J26" i="23"/>
  <c r="J32" i="23"/>
  <c r="J24" i="23"/>
  <c r="J23" i="23"/>
  <c r="G57" i="60"/>
  <c r="P27" i="37" s="1"/>
  <c r="G49" i="60"/>
  <c r="P25" i="37" s="1"/>
  <c r="G38" i="60"/>
  <c r="P24" i="37" s="1"/>
  <c r="J21" i="23" l="1"/>
  <c r="J18" i="23"/>
  <c r="J15" i="23"/>
  <c r="J30" i="23"/>
  <c r="J20" i="23"/>
  <c r="J8" i="23"/>
  <c r="V56" i="65"/>
  <c r="N56" i="65"/>
  <c r="V50" i="65"/>
  <c r="J28" i="23"/>
  <c r="U25" i="65"/>
  <c r="V25" i="65" s="1"/>
  <c r="V34" i="65" s="1"/>
  <c r="F11" i="66" s="1"/>
  <c r="I13" i="22" s="1"/>
  <c r="U25" i="60"/>
  <c r="U25" i="36"/>
  <c r="N53" i="60"/>
  <c r="N51" i="60"/>
  <c r="N47" i="36"/>
  <c r="N54" i="60"/>
  <c r="N47" i="60"/>
  <c r="N50" i="60" s="1"/>
  <c r="N53" i="36"/>
  <c r="N43" i="36"/>
  <c r="N43" i="60"/>
  <c r="N46" i="60" s="1"/>
  <c r="K21" i="23"/>
  <c r="D15" i="23"/>
  <c r="C15" i="23"/>
  <c r="G8" i="23"/>
  <c r="G5" i="23"/>
  <c r="E8" i="23"/>
  <c r="E5" i="23"/>
  <c r="D8" i="23"/>
  <c r="D5" i="23"/>
  <c r="C8" i="23"/>
  <c r="I6" i="30"/>
  <c r="K38" i="65" s="1"/>
  <c r="N38" i="65" s="1"/>
  <c r="C5" i="23"/>
  <c r="F29" i="36"/>
  <c r="V57" i="65" l="1"/>
  <c r="K38" i="60"/>
  <c r="N38" i="60" s="1"/>
  <c r="K38" i="36"/>
  <c r="N38" i="36" s="1"/>
  <c r="G29" i="36"/>
  <c r="D21" i="36"/>
  <c r="D54" i="36"/>
  <c r="V51" i="60"/>
  <c r="V45" i="60"/>
  <c r="L32" i="60"/>
  <c r="V25" i="60"/>
  <c r="G23" i="60"/>
  <c r="G22" i="60"/>
  <c r="F21" i="60"/>
  <c r="G19" i="60"/>
  <c r="G18" i="60"/>
  <c r="G17" i="60"/>
  <c r="G15" i="60"/>
  <c r="G14" i="60"/>
  <c r="G13" i="60"/>
  <c r="F12" i="60"/>
  <c r="G12" i="60" s="1"/>
  <c r="G10" i="60"/>
  <c r="G9" i="60"/>
  <c r="G8" i="60"/>
  <c r="G6" i="60"/>
  <c r="V21" i="60"/>
  <c r="F10" i="37" s="1"/>
  <c r="H12" i="22" s="1"/>
  <c r="G5" i="60"/>
  <c r="V56" i="60" l="1"/>
  <c r="G20" i="60"/>
  <c r="P20" i="37" s="1"/>
  <c r="V34" i="60"/>
  <c r="V44" i="60"/>
  <c r="G11" i="60"/>
  <c r="P18" i="37" s="1"/>
  <c r="G21" i="60"/>
  <c r="G24" i="60" s="1"/>
  <c r="P21" i="37" s="1"/>
  <c r="G7" i="60"/>
  <c r="P17" i="37" s="1"/>
  <c r="P33" i="37"/>
  <c r="P34" i="37"/>
  <c r="P35" i="37"/>
  <c r="N32" i="60"/>
  <c r="P36" i="37" s="1"/>
  <c r="V50" i="60"/>
  <c r="G16" i="60"/>
  <c r="P19" i="37" s="1"/>
  <c r="K32" i="60"/>
  <c r="P31" i="37"/>
  <c r="P30" i="37"/>
  <c r="F11" i="37" l="1"/>
  <c r="H13" i="22" s="1"/>
  <c r="V57" i="60"/>
  <c r="F35" i="66" s="1"/>
  <c r="I38" i="22" s="1"/>
  <c r="F35" i="37" l="1"/>
  <c r="H38" i="22" s="1"/>
  <c r="K25" i="23"/>
  <c r="L25" i="23" s="1"/>
  <c r="K24" i="23"/>
  <c r="K23" i="23"/>
  <c r="K22" i="23"/>
  <c r="K28" i="23"/>
  <c r="L28" i="23" s="1"/>
  <c r="K26" i="23"/>
  <c r="K20" i="23"/>
  <c r="K15" i="23"/>
  <c r="L17" i="30"/>
  <c r="I5" i="30"/>
  <c r="K36" i="65" s="1"/>
  <c r="N36" i="65" s="1"/>
  <c r="J36" i="36"/>
  <c r="N28" i="23" l="1"/>
  <c r="P28" i="23" s="1"/>
  <c r="N25" i="23"/>
  <c r="P25" i="23" s="1"/>
  <c r="K32" i="23"/>
  <c r="L32" i="23" s="1"/>
  <c r="K30" i="23"/>
  <c r="L30" i="23" s="1"/>
  <c r="K36" i="60"/>
  <c r="N36" i="60" s="1"/>
  <c r="N17" i="30"/>
  <c r="P17" i="30" s="1"/>
  <c r="L19" i="30"/>
  <c r="N19" i="30" s="1"/>
  <c r="P19" i="30" s="1"/>
  <c r="K36" i="36"/>
  <c r="N36" i="36" s="1"/>
  <c r="N32" i="23" l="1"/>
  <c r="P32" i="23" s="1"/>
  <c r="N30" i="23"/>
  <c r="P30" i="23" s="1"/>
  <c r="F50" i="36"/>
  <c r="F55" i="36"/>
  <c r="F54" i="36"/>
  <c r="F40" i="36"/>
  <c r="F30" i="36"/>
  <c r="G30" i="36" s="1"/>
  <c r="F39" i="36"/>
  <c r="G39" i="36" s="1"/>
  <c r="F21" i="36" l="1"/>
  <c r="F12" i="36"/>
  <c r="F28" i="36"/>
  <c r="G28" i="36" s="1"/>
  <c r="L23" i="30" l="1"/>
  <c r="N23" i="30" l="1"/>
  <c r="P23" i="30" s="1"/>
  <c r="G55" i="36"/>
  <c r="G54" i="36"/>
  <c r="K18" i="23" l="1"/>
  <c r="L18" i="23" s="1"/>
  <c r="N18" i="23" l="1"/>
  <c r="P18" i="23" s="1"/>
  <c r="L18" i="30"/>
  <c r="L16" i="30"/>
  <c r="N16" i="30" s="1"/>
  <c r="P16" i="30" s="1"/>
  <c r="N18" i="30" l="1"/>
  <c r="P18" i="30" s="1"/>
  <c r="F20" i="22" l="1"/>
  <c r="F6" i="22"/>
  <c r="G42" i="36" l="1"/>
  <c r="G47" i="36"/>
  <c r="G32" i="36"/>
  <c r="G38" i="36" s="1"/>
  <c r="P24" i="35" s="1"/>
  <c r="F39" i="22" l="1"/>
  <c r="F48" i="22"/>
  <c r="F47" i="22"/>
  <c r="F46" i="22"/>
  <c r="F23" i="22"/>
  <c r="F24" i="22"/>
  <c r="P14" i="37"/>
  <c r="P13" i="37"/>
  <c r="P11" i="37"/>
  <c r="F12" i="37" s="1"/>
  <c r="H14" i="22" s="1"/>
  <c r="N11" i="37"/>
  <c r="N10" i="37"/>
  <c r="R9" i="37"/>
  <c r="N9" i="37"/>
  <c r="R8" i="37"/>
  <c r="N8" i="37"/>
  <c r="R7" i="37"/>
  <c r="N7" i="37"/>
  <c r="R6" i="37"/>
  <c r="N6" i="37"/>
  <c r="R5" i="37"/>
  <c r="N5" i="37"/>
  <c r="V51" i="36"/>
  <c r="V45" i="36"/>
  <c r="G19" i="36"/>
  <c r="G18" i="36"/>
  <c r="N54" i="36"/>
  <c r="F45" i="35"/>
  <c r="V25" i="36"/>
  <c r="L32" i="36"/>
  <c r="K32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P11" i="35"/>
  <c r="F12" i="35" s="1"/>
  <c r="G56" i="36"/>
  <c r="G52" i="36"/>
  <c r="G51" i="36"/>
  <c r="G50" i="36"/>
  <c r="G48" i="36"/>
  <c r="G41" i="36"/>
  <c r="G40" i="36"/>
  <c r="N7" i="35"/>
  <c r="N8" i="35"/>
  <c r="N9" i="35"/>
  <c r="N10" i="35"/>
  <c r="N11" i="35"/>
  <c r="R6" i="35"/>
  <c r="R7" i="35"/>
  <c r="R8" i="35"/>
  <c r="R9" i="35"/>
  <c r="P13" i="35"/>
  <c r="R5" i="35"/>
  <c r="N5" i="35"/>
  <c r="L22" i="30"/>
  <c r="L21" i="30"/>
  <c r="L6" i="30"/>
  <c r="N42" i="65"/>
  <c r="N57" i="65" s="1"/>
  <c r="F37" i="66" s="1"/>
  <c r="I40" i="22" s="1"/>
  <c r="G45" i="30"/>
  <c r="P44" i="30"/>
  <c r="I44" i="30"/>
  <c r="L44" i="30" s="1"/>
  <c r="N44" i="30" s="1"/>
  <c r="P43" i="30"/>
  <c r="I43" i="30"/>
  <c r="L43" i="30" s="1"/>
  <c r="N43" i="30" s="1"/>
  <c r="P42" i="30"/>
  <c r="I42" i="30"/>
  <c r="L42" i="30" s="1"/>
  <c r="N42" i="30" s="1"/>
  <c r="I41" i="30"/>
  <c r="G40" i="30"/>
  <c r="L26" i="30"/>
  <c r="L25" i="30"/>
  <c r="L24" i="30"/>
  <c r="N24" i="30" s="1"/>
  <c r="G14" i="30"/>
  <c r="L5" i="30"/>
  <c r="P9" i="23"/>
  <c r="P10" i="23"/>
  <c r="P12" i="23"/>
  <c r="P13" i="23"/>
  <c r="G39" i="23"/>
  <c r="I38" i="23"/>
  <c r="L38" i="23" s="1"/>
  <c r="I37" i="23"/>
  <c r="L37" i="23" s="1"/>
  <c r="I36" i="23"/>
  <c r="L36" i="23" s="1"/>
  <c r="G34" i="23"/>
  <c r="L33" i="23"/>
  <c r="L26" i="23"/>
  <c r="L15" i="23"/>
  <c r="G14" i="23"/>
  <c r="L22" i="23"/>
  <c r="L20" i="23"/>
  <c r="I13" i="23"/>
  <c r="L13" i="23" s="1"/>
  <c r="I12" i="23"/>
  <c r="L12" i="23" s="1"/>
  <c r="I11" i="23"/>
  <c r="L11" i="23" s="1"/>
  <c r="I10" i="23"/>
  <c r="L10" i="23" s="1"/>
  <c r="I9" i="23"/>
  <c r="L9" i="23" s="1"/>
  <c r="I8" i="23"/>
  <c r="L8" i="23" s="1"/>
  <c r="I5" i="23"/>
  <c r="L5" i="23" s="1"/>
  <c r="AM30" i="27"/>
  <c r="AM31" i="27"/>
  <c r="AM32" i="27"/>
  <c r="AM23" i="27"/>
  <c r="AM24" i="27"/>
  <c r="AM25" i="27"/>
  <c r="AM26" i="27"/>
  <c r="AM27" i="27"/>
  <c r="AM28" i="27"/>
  <c r="AM29" i="27"/>
  <c r="AM8" i="27"/>
  <c r="AL33" i="27"/>
  <c r="AK33" i="27"/>
  <c r="AJ33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AM22" i="27"/>
  <c r="AM21" i="27"/>
  <c r="AM20" i="27"/>
  <c r="AM19" i="27"/>
  <c r="AM18" i="27"/>
  <c r="AM17" i="27"/>
  <c r="AM16" i="27"/>
  <c r="AM15" i="27"/>
  <c r="AM14" i="27"/>
  <c r="AM13" i="27"/>
  <c r="AM12" i="27"/>
  <c r="AM11" i="27"/>
  <c r="AM10" i="27"/>
  <c r="AM9" i="27"/>
  <c r="F14" i="22" l="1"/>
  <c r="N15" i="23"/>
  <c r="P15" i="23" s="1"/>
  <c r="N20" i="23"/>
  <c r="P20" i="23" s="1"/>
  <c r="N22" i="23"/>
  <c r="P22" i="23" s="1"/>
  <c r="N26" i="23"/>
  <c r="P26" i="23" s="1"/>
  <c r="N33" i="23"/>
  <c r="P33" i="23" s="1"/>
  <c r="L23" i="23"/>
  <c r="L21" i="23"/>
  <c r="L24" i="23"/>
  <c r="L17" i="23"/>
  <c r="L31" i="23"/>
  <c r="L14" i="30"/>
  <c r="N42" i="60"/>
  <c r="N42" i="36"/>
  <c r="F7" i="66"/>
  <c r="I9" i="22" s="1"/>
  <c r="P24" i="30"/>
  <c r="F29" i="37"/>
  <c r="F27" i="37"/>
  <c r="P15" i="37"/>
  <c r="F6" i="37" s="1"/>
  <c r="H8" i="22" s="1"/>
  <c r="F29" i="35"/>
  <c r="F27" i="35"/>
  <c r="L15" i="30"/>
  <c r="N56" i="60"/>
  <c r="N51" i="36"/>
  <c r="N56" i="36" s="1"/>
  <c r="F44" i="22"/>
  <c r="F25" i="22"/>
  <c r="F26" i="22"/>
  <c r="F31" i="22"/>
  <c r="F22" i="22"/>
  <c r="F21" i="22"/>
  <c r="F6" i="35"/>
  <c r="P15" i="35"/>
  <c r="G49" i="36"/>
  <c r="P25" i="35" s="1"/>
  <c r="I14" i="23"/>
  <c r="L7" i="23"/>
  <c r="L6" i="23"/>
  <c r="N6" i="23" s="1"/>
  <c r="P6" i="23" s="1"/>
  <c r="P35" i="35"/>
  <c r="I45" i="30"/>
  <c r="R11" i="37"/>
  <c r="Q11" i="37" s="1"/>
  <c r="F45" i="37"/>
  <c r="I39" i="23"/>
  <c r="L35" i="23"/>
  <c r="G34" i="27"/>
  <c r="L27" i="23"/>
  <c r="G40" i="23"/>
  <c r="J34" i="27"/>
  <c r="V50" i="36"/>
  <c r="G20" i="36"/>
  <c r="V56" i="36"/>
  <c r="V44" i="36"/>
  <c r="N50" i="36"/>
  <c r="N46" i="36"/>
  <c r="R11" i="35"/>
  <c r="F4" i="35" s="1"/>
  <c r="G5" i="22" s="1"/>
  <c r="V34" i="36"/>
  <c r="N32" i="36"/>
  <c r="G7" i="36"/>
  <c r="G11" i="36"/>
  <c r="G16" i="36"/>
  <c r="G24" i="36"/>
  <c r="G53" i="36"/>
  <c r="V21" i="36"/>
  <c r="G57" i="36"/>
  <c r="L20" i="30"/>
  <c r="N26" i="30"/>
  <c r="P26" i="30" s="1"/>
  <c r="N21" i="30"/>
  <c r="P21" i="30" s="1"/>
  <c r="N22" i="30"/>
  <c r="P22" i="30" s="1"/>
  <c r="I40" i="30"/>
  <c r="G46" i="30"/>
  <c r="I14" i="30"/>
  <c r="N6" i="30"/>
  <c r="P6" i="30" s="1"/>
  <c r="N25" i="30"/>
  <c r="P25" i="30" s="1"/>
  <c r="N5" i="30"/>
  <c r="P5" i="30" s="1"/>
  <c r="L41" i="30"/>
  <c r="N38" i="23"/>
  <c r="P38" i="23" s="1"/>
  <c r="N37" i="23"/>
  <c r="P37" i="23" s="1"/>
  <c r="N36" i="23"/>
  <c r="P36" i="23" s="1"/>
  <c r="I34" i="23"/>
  <c r="AM33" i="27"/>
  <c r="S34" i="27"/>
  <c r="AE34" i="27"/>
  <c r="V34" i="27"/>
  <c r="AH34" i="27"/>
  <c r="AK34" i="27"/>
  <c r="AM34" i="27"/>
  <c r="D34" i="27"/>
  <c r="P34" i="27"/>
  <c r="AB34" i="27"/>
  <c r="M34" i="27"/>
  <c r="Y34" i="27"/>
  <c r="O24" i="66" l="1"/>
  <c r="P24" i="66" s="1"/>
  <c r="O23" i="66"/>
  <c r="P23" i="66" s="1"/>
  <c r="O20" i="66"/>
  <c r="P20" i="66" s="1"/>
  <c r="O18" i="66"/>
  <c r="P18" i="66" s="1"/>
  <c r="O17" i="66"/>
  <c r="P17" i="66" s="1"/>
  <c r="F6" i="66" s="1"/>
  <c r="I8" i="22" s="1"/>
  <c r="O13" i="66"/>
  <c r="P13" i="66" s="1"/>
  <c r="O19" i="66"/>
  <c r="P19" i="66" s="1"/>
  <c r="O15" i="66"/>
  <c r="P15" i="66" s="1"/>
  <c r="N23" i="23"/>
  <c r="P23" i="23" s="1"/>
  <c r="N27" i="23"/>
  <c r="P27" i="23" s="1"/>
  <c r="N17" i="23"/>
  <c r="P17" i="23" s="1"/>
  <c r="N24" i="23"/>
  <c r="P24" i="23" s="1"/>
  <c r="N57" i="60"/>
  <c r="N21" i="23"/>
  <c r="P21" i="23" s="1"/>
  <c r="N31" i="23"/>
  <c r="P31" i="23" s="1"/>
  <c r="I42" i="22"/>
  <c r="F45" i="22"/>
  <c r="H30" i="22"/>
  <c r="H32" i="22"/>
  <c r="N20" i="30"/>
  <c r="P20" i="30" s="1"/>
  <c r="F4" i="37"/>
  <c r="F13" i="37"/>
  <c r="H15" i="22" s="1"/>
  <c r="I40" i="23"/>
  <c r="P34" i="35"/>
  <c r="P31" i="35"/>
  <c r="P33" i="35"/>
  <c r="P17" i="35"/>
  <c r="P36" i="35"/>
  <c r="P30" i="35"/>
  <c r="F11" i="35"/>
  <c r="F13" i="22" s="1"/>
  <c r="F10" i="35"/>
  <c r="F12" i="22" s="1"/>
  <c r="P21" i="35"/>
  <c r="P27" i="35"/>
  <c r="P26" i="35"/>
  <c r="P20" i="35"/>
  <c r="P18" i="35"/>
  <c r="P19" i="35"/>
  <c r="F13" i="35"/>
  <c r="G15" i="22" s="1"/>
  <c r="P32" i="37"/>
  <c r="P37" i="37" s="1"/>
  <c r="F9" i="37" s="1"/>
  <c r="H11" i="22" s="1"/>
  <c r="P22" i="37"/>
  <c r="F7" i="37" s="1"/>
  <c r="P28" i="37"/>
  <c r="F8" i="37" s="1"/>
  <c r="H10" i="22" s="1"/>
  <c r="N35" i="23"/>
  <c r="L39" i="23"/>
  <c r="V57" i="36"/>
  <c r="F35" i="35" s="1"/>
  <c r="N57" i="36"/>
  <c r="F37" i="35" s="1"/>
  <c r="Q11" i="35"/>
  <c r="I46" i="30"/>
  <c r="P14" i="30"/>
  <c r="L40" i="30"/>
  <c r="L45" i="30"/>
  <c r="N41" i="30"/>
  <c r="P41" i="30" s="1"/>
  <c r="P45" i="30" s="1"/>
  <c r="F17" i="66" s="1"/>
  <c r="I19" i="22" s="1"/>
  <c r="N15" i="30"/>
  <c r="P15" i="30" s="1"/>
  <c r="N5" i="23"/>
  <c r="P5" i="23" s="1"/>
  <c r="N13" i="23"/>
  <c r="N12" i="23"/>
  <c r="N11" i="23"/>
  <c r="P11" i="23" s="1"/>
  <c r="N10" i="23"/>
  <c r="N9" i="23"/>
  <c r="N8" i="23"/>
  <c r="P8" i="23" s="1"/>
  <c r="N7" i="23"/>
  <c r="P7" i="23" s="1"/>
  <c r="L34" i="23"/>
  <c r="L14" i="23"/>
  <c r="O16" i="66" l="1"/>
  <c r="P16" i="66" s="1"/>
  <c r="O14" i="66"/>
  <c r="P14" i="66" s="1"/>
  <c r="P27" i="66"/>
  <c r="F15" i="66" s="1"/>
  <c r="F13" i="66" s="1"/>
  <c r="I15" i="22" s="1"/>
  <c r="F37" i="37"/>
  <c r="H40" i="22" s="1"/>
  <c r="H42" i="22" s="1"/>
  <c r="F39" i="66"/>
  <c r="F38" i="22"/>
  <c r="F17" i="37"/>
  <c r="H19" i="22" s="1"/>
  <c r="H9" i="22"/>
  <c r="F30" i="22"/>
  <c r="F32" i="22"/>
  <c r="F14" i="37"/>
  <c r="H16" i="22" s="1"/>
  <c r="I7" i="22"/>
  <c r="H5" i="22"/>
  <c r="H7" i="22" s="1"/>
  <c r="F15" i="37"/>
  <c r="H17" i="22" s="1"/>
  <c r="P32" i="35"/>
  <c r="P37" i="35" s="1"/>
  <c r="F9" i="35" s="1"/>
  <c r="F17" i="35"/>
  <c r="P22" i="35"/>
  <c r="F7" i="35" s="1"/>
  <c r="F15" i="35"/>
  <c r="G17" i="22" s="1"/>
  <c r="L46" i="30"/>
  <c r="F14" i="35"/>
  <c r="G16" i="22" s="1"/>
  <c r="L40" i="23"/>
  <c r="P40" i="30"/>
  <c r="P35" i="23"/>
  <c r="P39" i="23" s="1"/>
  <c r="F39" i="37" l="1"/>
  <c r="I17" i="22"/>
  <c r="P28" i="66"/>
  <c r="F11" i="22"/>
  <c r="F9" i="22"/>
  <c r="F40" i="22"/>
  <c r="F8" i="22"/>
  <c r="F15" i="22"/>
  <c r="F19" i="22"/>
  <c r="F16" i="37"/>
  <c r="F5" i="22"/>
  <c r="F7" i="22" s="1"/>
  <c r="P46" i="30"/>
  <c r="F16" i="35"/>
  <c r="G18" i="22" s="1"/>
  <c r="F39" i="35"/>
  <c r="P14" i="23"/>
  <c r="P34" i="23"/>
  <c r="G7" i="22"/>
  <c r="F14" i="66" l="1"/>
  <c r="I16" i="22" s="1"/>
  <c r="F16" i="22" s="1"/>
  <c r="F16" i="66"/>
  <c r="I18" i="22" s="1"/>
  <c r="I10" i="22"/>
  <c r="F17" i="22"/>
  <c r="H18" i="22"/>
  <c r="F25" i="37"/>
  <c r="F26" i="37" s="1"/>
  <c r="P40" i="23"/>
  <c r="F25" i="66" l="1"/>
  <c r="I27" i="22" s="1"/>
  <c r="I28" i="22" s="1"/>
  <c r="I29" i="22" s="1"/>
  <c r="I43" i="22" s="1"/>
  <c r="I50" i="22" s="1"/>
  <c r="F18" i="22"/>
  <c r="H27" i="22"/>
  <c r="H28" i="22" s="1"/>
  <c r="H29" i="22" s="1"/>
  <c r="H43" i="22" s="1"/>
  <c r="H50" i="22" s="1"/>
  <c r="F26" i="66" l="1"/>
  <c r="P28" i="35"/>
  <c r="F8" i="35" s="1"/>
  <c r="F10" i="22" s="1"/>
  <c r="F25" i="35" l="1"/>
  <c r="G27" i="22" s="1"/>
  <c r="F27" i="22" l="1"/>
  <c r="F28" i="22" s="1"/>
  <c r="F29" i="22" s="1"/>
  <c r="F26" i="35"/>
  <c r="G4" i="22"/>
  <c r="G28" i="22" l="1"/>
  <c r="G49" i="22"/>
  <c r="F49" i="22" s="1"/>
  <c r="G42" i="22"/>
  <c r="G29" i="22" l="1"/>
  <c r="G43" i="22" s="1"/>
  <c r="G50" i="22" l="1"/>
  <c r="F50" i="22" l="1"/>
  <c r="F43" i="22"/>
  <c r="F42" i="22"/>
</calcChain>
</file>

<file path=xl/sharedStrings.xml><?xml version="1.0" encoding="utf-8"?>
<sst xmlns="http://schemas.openxmlformats.org/spreadsheetml/2006/main" count="1355" uniqueCount="530">
  <si>
    <t>交際費等 雑費</t>
    <rPh sb="0" eb="3">
      <t>コウサイヒ</t>
    </rPh>
    <rPh sb="3" eb="4">
      <t>トウ</t>
    </rPh>
    <rPh sb="5" eb="7">
      <t>ザッピ</t>
    </rPh>
    <phoneticPr fontId="6"/>
  </si>
  <si>
    <t>雑損失</t>
    <rPh sb="0" eb="2">
      <t>ザッソン</t>
    </rPh>
    <rPh sb="2" eb="3">
      <t>シツ</t>
    </rPh>
    <phoneticPr fontId="6"/>
  </si>
  <si>
    <t>固定資産税</t>
    <rPh sb="0" eb="2">
      <t>コテイ</t>
    </rPh>
    <rPh sb="2" eb="5">
      <t>シサンゼイ</t>
    </rPh>
    <phoneticPr fontId="8"/>
  </si>
  <si>
    <t>出荷資材費</t>
    <rPh sb="0" eb="2">
      <t>シュッカ</t>
    </rPh>
    <rPh sb="2" eb="5">
      <t>シザイヒ</t>
    </rPh>
    <phoneticPr fontId="6"/>
  </si>
  <si>
    <t>運賃</t>
    <rPh sb="0" eb="2">
      <t>ウンチン</t>
    </rPh>
    <phoneticPr fontId="6"/>
  </si>
  <si>
    <t>内容</t>
    <rPh sb="0" eb="2">
      <t>ナイヨウ</t>
    </rPh>
    <phoneticPr fontId="8"/>
  </si>
  <si>
    <t>小農具費</t>
    <rPh sb="0" eb="1">
      <t>ショウ</t>
    </rPh>
    <rPh sb="1" eb="3">
      <t>ノウグ</t>
    </rPh>
    <rPh sb="3" eb="4">
      <t>ヒ</t>
    </rPh>
    <phoneticPr fontId="6"/>
  </si>
  <si>
    <t>賃料料金</t>
    <rPh sb="0" eb="2">
      <t>チンリョウ</t>
    </rPh>
    <rPh sb="2" eb="4">
      <t>リョウキン</t>
    </rPh>
    <phoneticPr fontId="6"/>
  </si>
  <si>
    <t>販売手数料</t>
    <rPh sb="0" eb="2">
      <t>ハンバイ</t>
    </rPh>
    <rPh sb="2" eb="5">
      <t>テスウリョウ</t>
    </rPh>
    <phoneticPr fontId="6"/>
  </si>
  <si>
    <t>（単位）</t>
    <rPh sb="1" eb="3">
      <t>タンイ</t>
    </rPh>
    <phoneticPr fontId="6"/>
  </si>
  <si>
    <t>水稲</t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</si>
  <si>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</si>
  <si>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</si>
  <si>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</si>
  <si>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</si>
  <si>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</si>
  <si>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</si>
  <si>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</si>
  <si>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</si>
  <si>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</si>
  <si>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</si>
  <si>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</si>
  <si>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</si>
  <si>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</si>
  <si>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</si>
  <si>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6"/>
  </si>
  <si>
    <t>数　　量</t>
  </si>
  <si>
    <t>金　額</t>
  </si>
  <si>
    <t>備　考</t>
  </si>
  <si>
    <t>　計</t>
  </si>
  <si>
    <t>殺菌剤</t>
    <rPh sb="0" eb="3">
      <t>サッキンザイ</t>
    </rPh>
    <phoneticPr fontId="6"/>
  </si>
  <si>
    <t>殺虫剤</t>
    <rPh sb="0" eb="2">
      <t>サッチュウ</t>
    </rPh>
    <rPh sb="2" eb="3">
      <t>ザイ</t>
    </rPh>
    <phoneticPr fontId="6"/>
  </si>
  <si>
    <t>除草剤</t>
    <rPh sb="0" eb="3">
      <t>ジョソウザイ</t>
    </rPh>
    <phoneticPr fontId="6"/>
  </si>
  <si>
    <t>燃料費の</t>
    <phoneticPr fontId="6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</si>
  <si>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</si>
  <si>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</si>
  <si>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</si>
  <si>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</si>
  <si>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</si>
  <si>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</si>
  <si>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</si>
  <si>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</si>
  <si>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</si>
  <si>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</si>
  <si>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</si>
  <si>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</si>
  <si>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</si>
  <si>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鉄パイプ</t>
  </si>
  <si>
    <t>ガソリン</t>
    <phoneticPr fontId="6"/>
  </si>
  <si>
    <t>軽油</t>
    <phoneticPr fontId="6"/>
  </si>
  <si>
    <t>潤滑油</t>
    <phoneticPr fontId="6"/>
  </si>
  <si>
    <t>混合</t>
    <phoneticPr fontId="6"/>
  </si>
  <si>
    <t>灯油</t>
    <phoneticPr fontId="6"/>
  </si>
  <si>
    <t>電気</t>
    <phoneticPr fontId="6"/>
  </si>
  <si>
    <t>トラクター</t>
  </si>
  <si>
    <t>ドライブハロー</t>
  </si>
  <si>
    <t>コンバイン</t>
  </si>
  <si>
    <t>品種</t>
    <rPh sb="0" eb="2">
      <t>ヒンシュ</t>
    </rPh>
    <phoneticPr fontId="6"/>
  </si>
  <si>
    <t>売上高</t>
    <rPh sb="0" eb="2">
      <t>ウリアゲ</t>
    </rPh>
    <rPh sb="2" eb="3">
      <t>ダカ</t>
    </rPh>
    <phoneticPr fontId="6"/>
  </si>
  <si>
    <t>種苗費</t>
    <rPh sb="0" eb="2">
      <t>シュビョウ</t>
    </rPh>
    <rPh sb="2" eb="3">
      <t>ヒ</t>
    </rPh>
    <phoneticPr fontId="6"/>
  </si>
  <si>
    <t>肥料費</t>
    <rPh sb="0" eb="3">
      <t>ヒリョウヒ</t>
    </rPh>
    <phoneticPr fontId="6"/>
  </si>
  <si>
    <t>農薬費</t>
    <rPh sb="0" eb="2">
      <t>ノウヤク</t>
    </rPh>
    <rPh sb="2" eb="3">
      <t>ヒ</t>
    </rPh>
    <phoneticPr fontId="6"/>
  </si>
  <si>
    <t>諸材料費</t>
    <rPh sb="0" eb="1">
      <t>ショ</t>
    </rPh>
    <rPh sb="1" eb="4">
      <t>ザイリョウヒ</t>
    </rPh>
    <phoneticPr fontId="6"/>
  </si>
  <si>
    <t>修繕費</t>
    <rPh sb="0" eb="2">
      <t>シュウゼン</t>
    </rPh>
    <rPh sb="2" eb="3">
      <t>ヒ</t>
    </rPh>
    <phoneticPr fontId="6"/>
  </si>
  <si>
    <t>大動植物</t>
    <rPh sb="0" eb="1">
      <t>ダイ</t>
    </rPh>
    <rPh sb="1" eb="2">
      <t>ドウ</t>
    </rPh>
    <rPh sb="2" eb="4">
      <t>ショクブツ</t>
    </rPh>
    <phoneticPr fontId="6"/>
  </si>
  <si>
    <t>管理
委託料</t>
    <rPh sb="0" eb="2">
      <t>カンリ</t>
    </rPh>
    <rPh sb="3" eb="6">
      <t>イタクリョウ</t>
    </rPh>
    <phoneticPr fontId="6"/>
  </si>
  <si>
    <t>水管理</t>
    <rPh sb="0" eb="1">
      <t>ミズ</t>
    </rPh>
    <rPh sb="1" eb="3">
      <t>カンリ</t>
    </rPh>
    <phoneticPr fontId="6"/>
  </si>
  <si>
    <t>支払地代</t>
    <rPh sb="0" eb="2">
      <t>シハラ</t>
    </rPh>
    <rPh sb="2" eb="4">
      <t>チダイ</t>
    </rPh>
    <phoneticPr fontId="6"/>
  </si>
  <si>
    <t>販売費</t>
    <rPh sb="0" eb="3">
      <t>ハンバイヒ</t>
    </rPh>
    <phoneticPr fontId="6"/>
  </si>
  <si>
    <t>役員報酬</t>
    <rPh sb="0" eb="2">
      <t>ヤクイン</t>
    </rPh>
    <rPh sb="2" eb="4">
      <t>ホウシュウ</t>
    </rPh>
    <phoneticPr fontId="6"/>
  </si>
  <si>
    <t>会議費・旅費・研修費</t>
    <rPh sb="0" eb="3">
      <t>カイギヒ</t>
    </rPh>
    <rPh sb="4" eb="6">
      <t>リョヒ</t>
    </rPh>
    <rPh sb="7" eb="10">
      <t>ケンシュウヒ</t>
    </rPh>
    <phoneticPr fontId="6"/>
  </si>
  <si>
    <t>租税公課</t>
    <rPh sb="0" eb="2">
      <t>ソゼイ</t>
    </rPh>
    <rPh sb="2" eb="4">
      <t>コウカ</t>
    </rPh>
    <phoneticPr fontId="6"/>
  </si>
  <si>
    <t>雑収入</t>
    <rPh sb="0" eb="3">
      <t>ザッシュウニュウ</t>
    </rPh>
    <phoneticPr fontId="6"/>
  </si>
  <si>
    <t>営業外
収益</t>
    <rPh sb="0" eb="3">
      <t>エイギョウガイ</t>
    </rPh>
    <rPh sb="4" eb="6">
      <t>シュウエキ</t>
    </rPh>
    <phoneticPr fontId="6"/>
  </si>
  <si>
    <t>経営類型</t>
    <rPh sb="0" eb="2">
      <t>ケイエイ</t>
    </rPh>
    <rPh sb="2" eb="4">
      <t>ルイケイ</t>
    </rPh>
    <phoneticPr fontId="6"/>
  </si>
  <si>
    <t>作型</t>
    <rPh sb="0" eb="2">
      <t>サクガタ</t>
    </rPh>
    <phoneticPr fontId="6"/>
  </si>
  <si>
    <t>対象地域</t>
    <rPh sb="0" eb="2">
      <t>タイショウ</t>
    </rPh>
    <rPh sb="2" eb="4">
      <t>チイキ</t>
    </rPh>
    <phoneticPr fontId="6"/>
  </si>
  <si>
    <t>作　   物　   別　   作  　付   　規　   模</t>
    <phoneticPr fontId="6"/>
  </si>
  <si>
    <t>経　営　耕　地　面　積</t>
    <phoneticPr fontId="6"/>
  </si>
  <si>
    <t>対 象 作 目</t>
    <phoneticPr fontId="6"/>
  </si>
  <si>
    <t>面    積</t>
    <phoneticPr fontId="6"/>
  </si>
  <si>
    <t>そ の 他 の 作 物</t>
    <phoneticPr fontId="6"/>
  </si>
  <si>
    <t>面   積</t>
    <phoneticPr fontId="6"/>
  </si>
  <si>
    <t>田</t>
    <phoneticPr fontId="6"/>
  </si>
  <si>
    <t>畑</t>
    <phoneticPr fontId="6"/>
  </si>
  <si>
    <t>樹園地</t>
    <phoneticPr fontId="6"/>
  </si>
  <si>
    <t>草  地</t>
    <phoneticPr fontId="6"/>
  </si>
  <si>
    <t>（うち施設）</t>
    <phoneticPr fontId="6"/>
  </si>
  <si>
    <t>対象</t>
    <phoneticPr fontId="6"/>
  </si>
  <si>
    <t>区分</t>
    <rPh sb="0" eb="2">
      <t>クブン</t>
    </rPh>
    <phoneticPr fontId="6"/>
  </si>
  <si>
    <t>営業損益</t>
    <rPh sb="0" eb="2">
      <t>エイギョウ</t>
    </rPh>
    <rPh sb="2" eb="4">
      <t>ソンエキ</t>
    </rPh>
    <phoneticPr fontId="6"/>
  </si>
  <si>
    <t>作業受託収入</t>
    <rPh sb="0" eb="2">
      <t>サギョウ</t>
    </rPh>
    <rPh sb="2" eb="4">
      <t>ジュタク</t>
    </rPh>
    <rPh sb="4" eb="6">
      <t>シュウニュウ</t>
    </rPh>
    <phoneticPr fontId="6"/>
  </si>
  <si>
    <t>動力光熱費</t>
    <rPh sb="0" eb="2">
      <t>ドウリョク</t>
    </rPh>
    <rPh sb="2" eb="5">
      <t>コウネツヒ</t>
    </rPh>
    <phoneticPr fontId="6"/>
  </si>
  <si>
    <t>減価
償却費</t>
    <rPh sb="0" eb="2">
      <t>ゲンカ</t>
    </rPh>
    <rPh sb="3" eb="5">
      <t>ショウキャク</t>
    </rPh>
    <rPh sb="5" eb="6">
      <t>ヒ</t>
    </rPh>
    <phoneticPr fontId="6"/>
  </si>
  <si>
    <t>畦畔管理</t>
    <rPh sb="0" eb="1">
      <t>ケイ</t>
    </rPh>
    <rPh sb="1" eb="2">
      <t>ハン</t>
    </rPh>
    <rPh sb="2" eb="4">
      <t>カンリ</t>
    </rPh>
    <phoneticPr fontId="6"/>
  </si>
  <si>
    <t>事務通信費</t>
    <rPh sb="0" eb="2">
      <t>ジム</t>
    </rPh>
    <rPh sb="2" eb="5">
      <t>ツウシンヒ</t>
    </rPh>
    <phoneticPr fontId="6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</si>
  <si>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6"/>
  </si>
  <si>
    <t>営業外損益</t>
    <rPh sb="0" eb="3">
      <t>エイギョウガイ</t>
    </rPh>
    <rPh sb="3" eb="5">
      <t>ソンエキ</t>
    </rPh>
    <phoneticPr fontId="6"/>
  </si>
  <si>
    <t>営業外損益　計</t>
    <rPh sb="0" eb="3">
      <t>エイギョウガイ</t>
    </rPh>
    <rPh sb="3" eb="5">
      <t>ソンエキ</t>
    </rPh>
    <rPh sb="6" eb="7">
      <t>ケイ</t>
    </rPh>
    <phoneticPr fontId="6"/>
  </si>
  <si>
    <t>負担根拠</t>
    <rPh sb="0" eb="2">
      <t>フタン</t>
    </rPh>
    <rPh sb="2" eb="4">
      <t>コンキョ</t>
    </rPh>
    <phoneticPr fontId="6"/>
  </si>
  <si>
    <t>本作目
負担割合</t>
    <phoneticPr fontId="6"/>
  </si>
  <si>
    <t>（数値）</t>
    <rPh sb="1" eb="3">
      <t>スウチ</t>
    </rPh>
    <phoneticPr fontId="6"/>
  </si>
  <si>
    <t>　　合　　計</t>
    <phoneticPr fontId="6"/>
  </si>
  <si>
    <t>台</t>
    <rPh sb="0" eb="1">
      <t>ダイ</t>
    </rPh>
    <phoneticPr fontId="6"/>
  </si>
  <si>
    <t>鉄骨　スレート</t>
    <rPh sb="0" eb="2">
      <t>テッコツ</t>
    </rPh>
    <phoneticPr fontId="6"/>
  </si>
  <si>
    <t>㎡</t>
    <phoneticPr fontId="6"/>
  </si>
  <si>
    <t>４　経営収支</t>
    <rPh sb="2" eb="4">
      <t>ケイエイ</t>
    </rPh>
    <rPh sb="4" eb="6">
      <t>シュウシ</t>
    </rPh>
    <phoneticPr fontId="6"/>
  </si>
  <si>
    <t>７－１　経営収支（水稲部門，1ha当たり）</t>
    <rPh sb="9" eb="11">
      <t>スイトウ</t>
    </rPh>
    <rPh sb="11" eb="13">
      <t>ブモン</t>
    </rPh>
    <rPh sb="17" eb="18">
      <t>ア</t>
    </rPh>
    <phoneticPr fontId="6"/>
  </si>
  <si>
    <t>３－１　標準技術（水稲）</t>
    <rPh sb="4" eb="6">
      <t>ヒョウジュン</t>
    </rPh>
    <rPh sb="6" eb="8">
      <t>ギジュツ</t>
    </rPh>
    <rPh sb="9" eb="11">
      <t>スイトウ</t>
    </rPh>
    <phoneticPr fontId="6"/>
  </si>
  <si>
    <t>栽培様式</t>
    <rPh sb="0" eb="2">
      <t>サイバイ</t>
    </rPh>
    <rPh sb="2" eb="4">
      <t>ヨウシキ</t>
    </rPh>
    <phoneticPr fontId="6"/>
  </si>
  <si>
    <t>技術内容</t>
    <rPh sb="0" eb="2">
      <t>ギジュツ</t>
    </rPh>
    <rPh sb="2" eb="4">
      <t>ナイヨウ</t>
    </rPh>
    <phoneticPr fontId="6"/>
  </si>
  <si>
    <t>作業時期</t>
    <rPh sb="0" eb="2">
      <t>サギョウ</t>
    </rPh>
    <rPh sb="2" eb="4">
      <t>ジキ</t>
    </rPh>
    <phoneticPr fontId="6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</si>
  <si>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6"/>
  </si>
  <si>
    <t>組作業人員(人）</t>
    <rPh sb="0" eb="1">
      <t>クミ</t>
    </rPh>
    <rPh sb="1" eb="3">
      <t>サギョウ</t>
    </rPh>
    <rPh sb="3" eb="5">
      <t>ジンイン</t>
    </rPh>
    <phoneticPr fontId="6"/>
  </si>
  <si>
    <t>使用施設・機械</t>
    <rPh sb="0" eb="2">
      <t>シヨウ</t>
    </rPh>
    <rPh sb="2" eb="4">
      <t>シセツ</t>
    </rPh>
    <rPh sb="5" eb="7">
      <t>キカイ</t>
    </rPh>
    <phoneticPr fontId="6"/>
  </si>
  <si>
    <t>作業・項目</t>
    <rPh sb="0" eb="2">
      <t>サギョウ</t>
    </rPh>
    <rPh sb="3" eb="5">
      <t>コウモク</t>
    </rPh>
    <phoneticPr fontId="6"/>
  </si>
  <si>
    <t>土地利用体系</t>
    <rPh sb="0" eb="2">
      <t>トチ</t>
    </rPh>
    <rPh sb="2" eb="4">
      <t>リヨウ</t>
    </rPh>
    <rPh sb="4" eb="6">
      <t>タイケイ</t>
    </rPh>
    <phoneticPr fontId="6"/>
  </si>
  <si>
    <t>面　積</t>
    <phoneticPr fontId="5"/>
  </si>
  <si>
    <t>１　対象経営の概要</t>
    <phoneticPr fontId="5"/>
  </si>
  <si>
    <t>保有労働力</t>
    <phoneticPr fontId="6"/>
  </si>
  <si>
    <t>作     　目</t>
    <phoneticPr fontId="5"/>
  </si>
  <si>
    <t>収穫 ：</t>
    <phoneticPr fontId="6"/>
  </si>
  <si>
    <t>２　前提条件</t>
    <phoneticPr fontId="6"/>
  </si>
  <si>
    <t>オペレーター賃金</t>
    <rPh sb="6" eb="8">
      <t>チンギン</t>
    </rPh>
    <phoneticPr fontId="6"/>
  </si>
  <si>
    <t>補助労務賃金</t>
    <rPh sb="0" eb="2">
      <t>ホジョ</t>
    </rPh>
    <rPh sb="2" eb="4">
      <t>ロウム</t>
    </rPh>
    <rPh sb="4" eb="6">
      <t>チンギン</t>
    </rPh>
    <phoneticPr fontId="6"/>
  </si>
  <si>
    <t>法定福利費　等</t>
  </si>
  <si>
    <t>法定福利費　等</t>
    <phoneticPr fontId="6"/>
  </si>
  <si>
    <t>給料手当</t>
    <rPh sb="0" eb="2">
      <t>キュウリョウ</t>
    </rPh>
    <rPh sb="2" eb="4">
      <t>テアテ</t>
    </rPh>
    <phoneticPr fontId="6"/>
  </si>
  <si>
    <t>価格補てん金</t>
    <rPh sb="0" eb="2">
      <t>カカク</t>
    </rPh>
    <rPh sb="2" eb="3">
      <t>ホ</t>
    </rPh>
    <rPh sb="5" eb="6">
      <t>キン</t>
    </rPh>
    <phoneticPr fontId="6"/>
  </si>
  <si>
    <t>助成金・補助金・交付金</t>
    <rPh sb="0" eb="3">
      <t>ジョセイキン</t>
    </rPh>
    <rPh sb="4" eb="7">
      <t>ホジョキン</t>
    </rPh>
    <rPh sb="8" eb="11">
      <t>コウフキン</t>
    </rPh>
    <phoneticPr fontId="6"/>
  </si>
  <si>
    <t>共済掛金　等</t>
    <rPh sb="0" eb="2">
      <t>キョウサイ</t>
    </rPh>
    <rPh sb="2" eb="4">
      <t>カケキン</t>
    </rPh>
    <rPh sb="5" eb="6">
      <t>ナド</t>
    </rPh>
    <phoneticPr fontId="6"/>
  </si>
  <si>
    <t>作　業　別</t>
    <phoneticPr fontId="6"/>
  </si>
  <si>
    <t>作　　　型</t>
    <phoneticPr fontId="6"/>
  </si>
  <si>
    <t>旬　別　計</t>
    <phoneticPr fontId="6"/>
  </si>
  <si>
    <t>月　  　計</t>
    <phoneticPr fontId="6"/>
  </si>
  <si>
    <t>形式・構造　等</t>
    <rPh sb="6" eb="7">
      <t>ナド</t>
    </rPh>
    <phoneticPr fontId="6"/>
  </si>
  <si>
    <t>区分</t>
    <rPh sb="0" eb="2">
      <t>クブン</t>
    </rPh>
    <phoneticPr fontId="6"/>
  </si>
  <si>
    <t>取得価格</t>
    <rPh sb="0" eb="2">
      <t>シュトク</t>
    </rPh>
    <rPh sb="2" eb="4">
      <t>カカク</t>
    </rPh>
    <phoneticPr fontId="6"/>
  </si>
  <si>
    <t>補助率</t>
    <rPh sb="0" eb="3">
      <t>ホジョリツ</t>
    </rPh>
    <phoneticPr fontId="6"/>
  </si>
  <si>
    <t>②（％）</t>
    <phoneticPr fontId="6"/>
  </si>
  <si>
    <t>①（円）</t>
    <phoneticPr fontId="6"/>
  </si>
  <si>
    <t>④ （％）</t>
    <phoneticPr fontId="6"/>
  </si>
  <si>
    <t>残存割合</t>
    <rPh sb="0" eb="2">
      <t>ザンゾン</t>
    </rPh>
    <rPh sb="2" eb="4">
      <t>ワリアイ</t>
    </rPh>
    <phoneticPr fontId="6"/>
  </si>
  <si>
    <t>⑥（％）</t>
    <phoneticPr fontId="6"/>
  </si>
  <si>
    <t>⑧（年）</t>
    <phoneticPr fontId="6"/>
  </si>
  <si>
    <t>大動植物</t>
    <rPh sb="0" eb="1">
      <t>ダイ</t>
    </rPh>
    <rPh sb="1" eb="4">
      <t>ドウショクブツ</t>
    </rPh>
    <phoneticPr fontId="6"/>
  </si>
  <si>
    <t>③=①×（100-②）（円）</t>
    <rPh sb="12" eb="13">
      <t>エン</t>
    </rPh>
    <phoneticPr fontId="6"/>
  </si>
  <si>
    <t>⑤=③×④（円/ha）</t>
    <phoneticPr fontId="6"/>
  </si>
  <si>
    <t>⑦＝⑤×⑥（円/ha）</t>
    <rPh sb="6" eb="7">
      <t>エン</t>
    </rPh>
    <phoneticPr fontId="6"/>
  </si>
  <si>
    <t>⑨＝（⑤－⑦）÷⑧（円/ha）</t>
    <phoneticPr fontId="6"/>
  </si>
  <si>
    <t>コシヒカリ</t>
    <phoneticPr fontId="6"/>
  </si>
  <si>
    <t>農薬名</t>
  </si>
  <si>
    <t>使用量</t>
    <rPh sb="2" eb="3">
      <t>リョウ</t>
    </rPh>
    <phoneticPr fontId="6"/>
  </si>
  <si>
    <t>単位</t>
  </si>
  <si>
    <t>金額</t>
  </si>
  <si>
    <t xml:space="preserve"> 燃料消費量</t>
  </si>
  <si>
    <t>利用時間</t>
  </si>
  <si>
    <t>　小　計</t>
  </si>
  <si>
    <t>小　計</t>
  </si>
  <si>
    <t>小計</t>
  </si>
  <si>
    <t>本作目
負担割合</t>
    <phoneticPr fontId="6"/>
  </si>
  <si>
    <t>①（円）</t>
    <phoneticPr fontId="6"/>
  </si>
  <si>
    <t>②（％）</t>
    <phoneticPr fontId="6"/>
  </si>
  <si>
    <t>④ （％）</t>
    <phoneticPr fontId="6"/>
  </si>
  <si>
    <t>⑤=③×④（円/ha）</t>
    <phoneticPr fontId="6"/>
  </si>
  <si>
    <t>⑥（％）</t>
    <phoneticPr fontId="6"/>
  </si>
  <si>
    <t>⑧（年）</t>
    <phoneticPr fontId="6"/>
  </si>
  <si>
    <t>⑨＝（⑤－⑦）÷⑧（円/ha）</t>
    <phoneticPr fontId="6"/>
  </si>
  <si>
    <t>㎡</t>
    <phoneticPr fontId="6"/>
  </si>
  <si>
    <t>　　合　　計</t>
    <phoneticPr fontId="6"/>
  </si>
  <si>
    <t>コシヒカリ</t>
    <phoneticPr fontId="6"/>
  </si>
  <si>
    <t>（kg）</t>
    <phoneticPr fontId="6"/>
  </si>
  <si>
    <t>軽油</t>
    <phoneticPr fontId="6"/>
  </si>
  <si>
    <t>ガソリン</t>
    <phoneticPr fontId="6"/>
  </si>
  <si>
    <t>燃料費の</t>
    <phoneticPr fontId="6"/>
  </si>
  <si>
    <t>潤滑油</t>
    <phoneticPr fontId="6"/>
  </si>
  <si>
    <t>混合</t>
    <phoneticPr fontId="6"/>
  </si>
  <si>
    <t>灯油</t>
    <phoneticPr fontId="6"/>
  </si>
  <si>
    <t>電気</t>
    <phoneticPr fontId="6"/>
  </si>
  <si>
    <t>（ア）種苗名</t>
    <rPh sb="3" eb="5">
      <t>シュビョウ</t>
    </rPh>
    <rPh sb="5" eb="6">
      <t>メイ</t>
    </rPh>
    <phoneticPr fontId="6"/>
  </si>
  <si>
    <t>（イ）肥料名</t>
    <phoneticPr fontId="6"/>
  </si>
  <si>
    <t>（ウ）農薬名</t>
    <phoneticPr fontId="6"/>
  </si>
  <si>
    <t>（エ）燃料名</t>
    <phoneticPr fontId="6"/>
  </si>
  <si>
    <t>生産雑費</t>
    <rPh sb="0" eb="2">
      <t>セイサン</t>
    </rPh>
    <rPh sb="2" eb="4">
      <t>ザッピ</t>
    </rPh>
    <phoneticPr fontId="6"/>
  </si>
  <si>
    <t>土づくり資材</t>
    <rPh sb="0" eb="1">
      <t>ツチ</t>
    </rPh>
    <rPh sb="4" eb="6">
      <t>シザイ</t>
    </rPh>
    <phoneticPr fontId="6"/>
  </si>
  <si>
    <t>化成肥料</t>
    <rPh sb="0" eb="2">
      <t>カセイ</t>
    </rPh>
    <rPh sb="2" eb="4">
      <t>ヒリョウ</t>
    </rPh>
    <phoneticPr fontId="6"/>
  </si>
  <si>
    <t>有機物資材</t>
    <rPh sb="0" eb="3">
      <t>ユウキブツ</t>
    </rPh>
    <rPh sb="3" eb="5">
      <t>シザイ</t>
    </rPh>
    <phoneticPr fontId="6"/>
  </si>
  <si>
    <t>液肥</t>
    <rPh sb="0" eb="2">
      <t>エキヒ</t>
    </rPh>
    <phoneticPr fontId="6"/>
  </si>
  <si>
    <t>その他</t>
    <rPh sb="2" eb="3">
      <t>タ</t>
    </rPh>
    <phoneticPr fontId="6"/>
  </si>
  <si>
    <t>殺虫剤</t>
    <rPh sb="1" eb="2">
      <t>ムシ</t>
    </rPh>
    <rPh sb="2" eb="3">
      <t>ザイ</t>
    </rPh>
    <phoneticPr fontId="6"/>
  </si>
  <si>
    <t>肥料名</t>
    <rPh sb="0" eb="2">
      <t>ヒリョウ</t>
    </rPh>
    <rPh sb="2" eb="3">
      <t>メイ</t>
    </rPh>
    <phoneticPr fontId="6"/>
  </si>
  <si>
    <t>1ha機械</t>
    <phoneticPr fontId="6"/>
  </si>
  <si>
    <t>電気</t>
    <rPh sb="0" eb="2">
      <t>デンキ</t>
    </rPh>
    <phoneticPr fontId="6"/>
  </si>
  <si>
    <t>軽油</t>
    <rPh sb="0" eb="2">
      <t>ケイユ</t>
    </rPh>
    <phoneticPr fontId="6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</si>
  <si>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6"/>
  </si>
  <si>
    <t>混合</t>
    <rPh sb="0" eb="2">
      <t>コンゴウ</t>
    </rPh>
    <phoneticPr fontId="6"/>
  </si>
  <si>
    <t>灯油</t>
    <rPh sb="0" eb="2">
      <t>トウユ</t>
    </rPh>
    <phoneticPr fontId="6"/>
  </si>
  <si>
    <t>資材名</t>
    <rPh sb="0" eb="2">
      <t>シザイ</t>
    </rPh>
    <rPh sb="2" eb="3">
      <t>メイ</t>
    </rPh>
    <phoneticPr fontId="6"/>
  </si>
  <si>
    <t>使用量</t>
    <rPh sb="0" eb="3">
      <t>シヨウリョウ</t>
    </rPh>
    <phoneticPr fontId="6"/>
  </si>
  <si>
    <t>単位</t>
    <rPh sb="0" eb="2">
      <t>タンイ</t>
    </rPh>
    <phoneticPr fontId="6"/>
  </si>
  <si>
    <t>単価</t>
    <phoneticPr fontId="6"/>
  </si>
  <si>
    <t>使用期間（年）</t>
    <rPh sb="0" eb="2">
      <t>シヨウ</t>
    </rPh>
    <rPh sb="2" eb="4">
      <t>キカン</t>
    </rPh>
    <rPh sb="5" eb="6">
      <t>ネン</t>
    </rPh>
    <phoneticPr fontId="6"/>
  </si>
  <si>
    <t>金額（1年あたり）</t>
    <rPh sb="4" eb="5">
      <t>ネン</t>
    </rPh>
    <phoneticPr fontId="6"/>
  </si>
  <si>
    <t>農具名</t>
    <rPh sb="0" eb="2">
      <t>ノウグ</t>
    </rPh>
    <rPh sb="2" eb="3">
      <t>メイ</t>
    </rPh>
    <phoneticPr fontId="6"/>
  </si>
  <si>
    <t>負担面積（ha）</t>
    <rPh sb="0" eb="2">
      <t>フタン</t>
    </rPh>
    <rPh sb="2" eb="4">
      <t>メンセキ</t>
    </rPh>
    <phoneticPr fontId="6"/>
  </si>
  <si>
    <t>建物・施設</t>
    <rPh sb="0" eb="2">
      <t>タテモノ</t>
    </rPh>
    <rPh sb="3" eb="5">
      <t>シセツ</t>
    </rPh>
    <phoneticPr fontId="6"/>
  </si>
  <si>
    <t>機械・器具</t>
    <rPh sb="0" eb="2">
      <t>キカイ</t>
    </rPh>
    <rPh sb="3" eb="5">
      <t>キグ</t>
    </rPh>
    <phoneticPr fontId="6"/>
  </si>
  <si>
    <t>建物・施設</t>
    <rPh sb="0" eb="2">
      <t>タテモノ</t>
    </rPh>
    <rPh sb="3" eb="5">
      <t>シセツ</t>
    </rPh>
    <phoneticPr fontId="6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</si>
  <si>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6"/>
  </si>
  <si>
    <t>右表（ア）</t>
    <phoneticPr fontId="6"/>
  </si>
  <si>
    <t>負担価格の</t>
    <phoneticPr fontId="6"/>
  </si>
  <si>
    <t>販売費・
一般管理費</t>
    <rPh sb="0" eb="3">
      <t>ハンバイヒ</t>
    </rPh>
    <rPh sb="5" eb="7">
      <t>イッパン</t>
    </rPh>
    <rPh sb="7" eb="10">
      <t>カンリヒ</t>
    </rPh>
    <phoneticPr fontId="6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</si>
  <si>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6"/>
  </si>
  <si>
    <t>売上高　計　①</t>
    <rPh sb="0" eb="2">
      <t>ウリアゲ</t>
    </rPh>
    <rPh sb="2" eb="3">
      <t>ダカ</t>
    </rPh>
    <rPh sb="4" eb="5">
      <t>ケイ</t>
    </rPh>
    <phoneticPr fontId="6"/>
  </si>
  <si>
    <t>売上総利益　③=①-②</t>
    <rPh sb="0" eb="2">
      <t>ウリアゲ</t>
    </rPh>
    <rPh sb="2" eb="5">
      <t>ソウリエキ</t>
    </rPh>
    <phoneticPr fontId="6"/>
  </si>
  <si>
    <t>販売費・一般管理費　計　④</t>
    <rPh sb="0" eb="3">
      <t>ハンバイヒ</t>
    </rPh>
    <rPh sb="4" eb="6">
      <t>イッパン</t>
    </rPh>
    <rPh sb="6" eb="9">
      <t>カンリヒ</t>
    </rPh>
    <rPh sb="10" eb="11">
      <t>ケイ</t>
    </rPh>
    <phoneticPr fontId="6"/>
  </si>
  <si>
    <t>売上原価</t>
    <rPh sb="0" eb="2">
      <t>ウリアゲ</t>
    </rPh>
    <rPh sb="2" eb="4">
      <t>ゲンカ</t>
    </rPh>
    <phoneticPr fontId="6"/>
  </si>
  <si>
    <t>売上原価　計　②</t>
    <rPh sb="0" eb="2">
      <t>ウリアゲ</t>
    </rPh>
    <rPh sb="2" eb="4">
      <t>ゲンカ</t>
    </rPh>
    <rPh sb="5" eb="6">
      <t>ケイ</t>
    </rPh>
    <phoneticPr fontId="6"/>
  </si>
  <si>
    <t>営業利益　⑤=③-④　</t>
    <rPh sb="0" eb="2">
      <t>エイギョウ</t>
    </rPh>
    <rPh sb="2" eb="4">
      <t>リエキ</t>
    </rPh>
    <phoneticPr fontId="6"/>
  </si>
  <si>
    <t>営業外収益　⑥</t>
    <rPh sb="0" eb="3">
      <t>エイギョウガイ</t>
    </rPh>
    <rPh sb="3" eb="5">
      <t>シュウエキ</t>
    </rPh>
    <phoneticPr fontId="6"/>
  </si>
  <si>
    <t>営業外費用　⑦</t>
    <phoneticPr fontId="6"/>
  </si>
  <si>
    <t>営業外損益　計　⑧=⑥-⑦</t>
    <rPh sb="0" eb="3">
      <t>エイギョウガイ</t>
    </rPh>
    <rPh sb="3" eb="5">
      <t>ソンエキ</t>
    </rPh>
    <rPh sb="6" eb="7">
      <t>ケイ</t>
    </rPh>
    <phoneticPr fontId="6"/>
  </si>
  <si>
    <t>経常利益　⑨=⑤+⑧</t>
    <rPh sb="0" eb="2">
      <t>ケイジョウ</t>
    </rPh>
    <rPh sb="2" eb="4">
      <t>リエキ</t>
    </rPh>
    <phoneticPr fontId="6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</si>
  <si>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6"/>
  </si>
  <si>
    <t>売上原価　計</t>
    <phoneticPr fontId="6"/>
  </si>
  <si>
    <t>販売収入</t>
    <rPh sb="0" eb="2">
      <t>ハンバイ</t>
    </rPh>
    <rPh sb="2" eb="4">
      <t>シュウニュウ</t>
    </rPh>
    <phoneticPr fontId="6"/>
  </si>
  <si>
    <t>営業外
費用</t>
    <phoneticPr fontId="6"/>
  </si>
  <si>
    <t>営業外</t>
    <rPh sb="0" eb="3">
      <t>エイギョウガイ</t>
    </rPh>
    <phoneticPr fontId="6"/>
  </si>
  <si>
    <t>（１）肥料費</t>
    <rPh sb="3" eb="5">
      <t>ヒリョウ</t>
    </rPh>
    <rPh sb="5" eb="6">
      <t>ヒ</t>
    </rPh>
    <phoneticPr fontId="6"/>
  </si>
  <si>
    <t>（３）動力光熱費</t>
    <rPh sb="3" eb="5">
      <t>ドウリョク</t>
    </rPh>
    <rPh sb="5" eb="8">
      <t>コウネツヒ</t>
    </rPh>
    <phoneticPr fontId="6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</si>
  <si>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6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</si>
  <si>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6"/>
  </si>
  <si>
    <t>粗　　　収　　　益　　　の　　　算　　　出</t>
    <phoneticPr fontId="6"/>
  </si>
  <si>
    <t>売上原価の</t>
    <rPh sb="0" eb="2">
      <t>ウリアゲ</t>
    </rPh>
    <rPh sb="2" eb="4">
      <t>ゲンカ</t>
    </rPh>
    <phoneticPr fontId="6"/>
  </si>
  <si>
    <t>水稲共済</t>
    <rPh sb="0" eb="2">
      <t>スイトウ</t>
    </rPh>
    <rPh sb="2" eb="4">
      <t>キョウサイ</t>
    </rPh>
    <phoneticPr fontId="6"/>
  </si>
  <si>
    <t>区　分</t>
    <rPh sb="0" eb="1">
      <t>ク</t>
    </rPh>
    <rPh sb="2" eb="3">
      <t>ブン</t>
    </rPh>
    <phoneticPr fontId="8"/>
  </si>
  <si>
    <t>区分</t>
    <rPh sb="0" eb="1">
      <t>ク</t>
    </rPh>
    <rPh sb="1" eb="2">
      <t>ブン</t>
    </rPh>
    <phoneticPr fontId="8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</si>
  <si>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8"/>
  </si>
  <si>
    <t>自動車重量税</t>
    <rPh sb="0" eb="3">
      <t>ジドウシャ</t>
    </rPh>
    <rPh sb="3" eb="6">
      <t>ジュウリョウゼイ</t>
    </rPh>
    <phoneticPr fontId="8"/>
  </si>
  <si>
    <t>自動車税</t>
    <rPh sb="0" eb="3">
      <t>ジドウシャ</t>
    </rPh>
    <rPh sb="3" eb="4">
      <t>ゼイ</t>
    </rPh>
    <phoneticPr fontId="8"/>
  </si>
  <si>
    <t>軽自動車税</t>
    <rPh sb="0" eb="1">
      <t>ケイ</t>
    </rPh>
    <rPh sb="1" eb="5">
      <t>ジドウシャゼイ</t>
    </rPh>
    <phoneticPr fontId="8"/>
  </si>
  <si>
    <t>合　　計</t>
    <rPh sb="0" eb="1">
      <t>ア</t>
    </rPh>
    <rPh sb="3" eb="4">
      <t>ケイ</t>
    </rPh>
    <phoneticPr fontId="6"/>
  </si>
  <si>
    <t>（７）共済掛金　等</t>
    <rPh sb="3" eb="5">
      <t>キョウサイ</t>
    </rPh>
    <rPh sb="5" eb="7">
      <t>カケキン</t>
    </rPh>
    <rPh sb="8" eb="9">
      <t>ナド</t>
    </rPh>
    <phoneticPr fontId="8"/>
  </si>
  <si>
    <t>内　容</t>
    <rPh sb="0" eb="1">
      <t>ウチ</t>
    </rPh>
    <rPh sb="2" eb="3">
      <t>カタチ</t>
    </rPh>
    <phoneticPr fontId="8"/>
  </si>
  <si>
    <t>共済掛金</t>
    <rPh sb="0" eb="2">
      <t>キョウサイ</t>
    </rPh>
    <rPh sb="2" eb="4">
      <t>カケキン</t>
    </rPh>
    <phoneticPr fontId="8"/>
  </si>
  <si>
    <t>負担率</t>
    <rPh sb="0" eb="2">
      <t>フタン</t>
    </rPh>
    <rPh sb="2" eb="3">
      <t>リツ</t>
    </rPh>
    <phoneticPr fontId="8"/>
  </si>
  <si>
    <t>評価額・負担額</t>
    <rPh sb="0" eb="3">
      <t>ヒョウカガク</t>
    </rPh>
    <rPh sb="4" eb="6">
      <t>フタン</t>
    </rPh>
    <rPh sb="6" eb="7">
      <t>ガク</t>
    </rPh>
    <phoneticPr fontId="8"/>
  </si>
  <si>
    <t>小計</t>
    <rPh sb="0" eb="2">
      <t>ショウケイ</t>
    </rPh>
    <phoneticPr fontId="8"/>
  </si>
  <si>
    <t>（４）租税公課</t>
    <rPh sb="3" eb="5">
      <t>ソゼイ</t>
    </rPh>
    <rPh sb="5" eb="7">
      <t>コウカ</t>
    </rPh>
    <phoneticPr fontId="8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</si>
  <si>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6"/>
  </si>
  <si>
    <t>（６）小農具費（使用可能期間を想定して算出）</t>
    <rPh sb="3" eb="6">
      <t>ショウノウグ</t>
    </rPh>
    <rPh sb="6" eb="7">
      <t>ヒ</t>
    </rPh>
    <phoneticPr fontId="6"/>
  </si>
  <si>
    <t>軽トラック</t>
    <rPh sb="0" eb="1">
      <t>ケイ</t>
    </rPh>
    <phoneticPr fontId="6"/>
  </si>
  <si>
    <t>保険料</t>
    <rPh sb="0" eb="3">
      <t>ホケンリョウ</t>
    </rPh>
    <phoneticPr fontId="6"/>
  </si>
  <si>
    <t>本</t>
    <phoneticPr fontId="6"/>
  </si>
  <si>
    <t>小　計</t>
    <phoneticPr fontId="6"/>
  </si>
  <si>
    <t>ガソリン</t>
    <phoneticPr fontId="6"/>
  </si>
  <si>
    <t>小　計</t>
    <phoneticPr fontId="6"/>
  </si>
  <si>
    <t>単価</t>
    <phoneticPr fontId="6"/>
  </si>
  <si>
    <t>（２）農薬費</t>
    <phoneticPr fontId="6"/>
  </si>
  <si>
    <t>小　計</t>
    <phoneticPr fontId="6"/>
  </si>
  <si>
    <t>金額</t>
    <phoneticPr fontId="6"/>
  </si>
  <si>
    <t>普通トラック</t>
    <phoneticPr fontId="6"/>
  </si>
  <si>
    <t>普通トラック</t>
    <phoneticPr fontId="6"/>
  </si>
  <si>
    <t>自賠責保険</t>
    <rPh sb="0" eb="3">
      <t>ジバイセキ</t>
    </rPh>
    <rPh sb="3" eb="5">
      <t>ホケン</t>
    </rPh>
    <phoneticPr fontId="6"/>
  </si>
  <si>
    <t>普通トラック</t>
    <rPh sb="0" eb="2">
      <t>フツウ</t>
    </rPh>
    <phoneticPr fontId="6"/>
  </si>
  <si>
    <t>任意保険</t>
    <rPh sb="0" eb="2">
      <t>ニンイ</t>
    </rPh>
    <rPh sb="2" eb="4">
      <t>ホケン</t>
    </rPh>
    <phoneticPr fontId="6"/>
  </si>
  <si>
    <t>毎年更新</t>
    <rPh sb="0" eb="2">
      <t>マイトシ</t>
    </rPh>
    <rPh sb="2" eb="4">
      <t>コウシン</t>
    </rPh>
    <phoneticPr fontId="6"/>
  </si>
  <si>
    <t>作目：</t>
  </si>
  <si>
    <t>作型：</t>
  </si>
  <si>
    <t>水稲</t>
    <rPh sb="0" eb="2">
      <t>スイトウ</t>
    </rPh>
    <phoneticPr fontId="6"/>
  </si>
  <si>
    <t>普通</t>
    <rPh sb="0" eb="2">
      <t>フツウ</t>
    </rPh>
    <phoneticPr fontId="6"/>
  </si>
  <si>
    <t>６　固定資本装備と減価償却費（1ha当たり・1年当たり）</t>
    <rPh sb="18" eb="19">
      <t>ア</t>
    </rPh>
    <rPh sb="23" eb="24">
      <t>ネン</t>
    </rPh>
    <rPh sb="24" eb="25">
      <t>ア</t>
    </rPh>
    <phoneticPr fontId="6"/>
  </si>
  <si>
    <t>数量</t>
    <phoneticPr fontId="6"/>
  </si>
  <si>
    <t>販売量</t>
    <phoneticPr fontId="6"/>
  </si>
  <si>
    <t>販売量</t>
    <phoneticPr fontId="6"/>
  </si>
  <si>
    <t>重油</t>
    <rPh sb="0" eb="2">
      <t>ジュウユ</t>
    </rPh>
    <phoneticPr fontId="6"/>
  </si>
  <si>
    <t>重油</t>
    <rPh sb="0" eb="2">
      <t>ジュウユ</t>
    </rPh>
    <phoneticPr fontId="6"/>
  </si>
  <si>
    <t>労務費Ⅰ</t>
    <rPh sb="0" eb="3">
      <t>ロウムヒ</t>
    </rPh>
    <phoneticPr fontId="6"/>
  </si>
  <si>
    <t>労務費Ⅱ</t>
    <rPh sb="0" eb="3">
      <t>ロウムヒ</t>
    </rPh>
    <phoneticPr fontId="6"/>
  </si>
  <si>
    <t>営業外費用Ⅰ</t>
    <rPh sb="0" eb="3">
      <t>エイギョウガイ</t>
    </rPh>
    <rPh sb="3" eb="5">
      <t>ヒヨウ</t>
    </rPh>
    <phoneticPr fontId="6"/>
  </si>
  <si>
    <t>備　　　　　　　　　　　　　　　　　　　　考</t>
    <rPh sb="0" eb="1">
      <t>ソナエ</t>
    </rPh>
    <rPh sb="21" eb="22">
      <t>コウ</t>
    </rPh>
    <phoneticPr fontId="6"/>
  </si>
  <si>
    <t>区　　　　　　　　　　　　　　　　　　　　分</t>
    <rPh sb="0" eb="1">
      <t>ク</t>
    </rPh>
    <rPh sb="21" eb="22">
      <t>ブン</t>
    </rPh>
    <phoneticPr fontId="6"/>
  </si>
  <si>
    <t>合　　　　計</t>
    <rPh sb="0" eb="1">
      <t>ア</t>
    </rPh>
    <rPh sb="5" eb="6">
      <t>ケイ</t>
    </rPh>
    <phoneticPr fontId="6"/>
  </si>
  <si>
    <t>水稲(加工用米）</t>
    <rPh sb="3" eb="6">
      <t>カコウヨウ</t>
    </rPh>
    <rPh sb="6" eb="7">
      <t>マイ</t>
    </rPh>
    <phoneticPr fontId="6"/>
  </si>
  <si>
    <t>水稲(食用米）</t>
    <rPh sb="3" eb="5">
      <t>ショクヨウ</t>
    </rPh>
    <rPh sb="5" eb="6">
      <t>マイ</t>
    </rPh>
    <phoneticPr fontId="6"/>
  </si>
  <si>
    <t>育苗ハウス</t>
    <rPh sb="0" eb="2">
      <t>イクビョウ</t>
    </rPh>
    <phoneticPr fontId="6"/>
  </si>
  <si>
    <t>台</t>
    <rPh sb="0" eb="1">
      <t>ダイ</t>
    </rPh>
    <phoneticPr fontId="6"/>
  </si>
  <si>
    <t>乗用田植機</t>
    <rPh sb="0" eb="2">
      <t>ジョウヨウ</t>
    </rPh>
    <rPh sb="2" eb="4">
      <t>タウエ</t>
    </rPh>
    <rPh sb="4" eb="5">
      <t>キ</t>
    </rPh>
    <phoneticPr fontId="6"/>
  </si>
  <si>
    <r>
      <t>2.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m幅</t>
    </r>
    <phoneticPr fontId="6"/>
  </si>
  <si>
    <t>１種類</t>
    <phoneticPr fontId="6"/>
  </si>
  <si>
    <t>フレコン</t>
    <phoneticPr fontId="6"/>
  </si>
  <si>
    <t>トラクター</t>
    <phoneticPr fontId="6"/>
  </si>
  <si>
    <t>台</t>
    <rPh sb="0" eb="1">
      <t>ダイ</t>
    </rPh>
    <phoneticPr fontId="6"/>
  </si>
  <si>
    <t>乗用管理機</t>
    <rPh sb="0" eb="2">
      <t>ジョウヨウ</t>
    </rPh>
    <rPh sb="2" eb="4">
      <t>カンリ</t>
    </rPh>
    <rPh sb="4" eb="5">
      <t>キ</t>
    </rPh>
    <phoneticPr fontId="6"/>
  </si>
  <si>
    <t>㎏</t>
    <phoneticPr fontId="6"/>
  </si>
  <si>
    <t>催芽機</t>
    <rPh sb="0" eb="1">
      <t>サイ</t>
    </rPh>
    <rPh sb="1" eb="2">
      <t>ガ</t>
    </rPh>
    <rPh sb="2" eb="3">
      <t>キ</t>
    </rPh>
    <phoneticPr fontId="6"/>
  </si>
  <si>
    <t>播種覆土一連機械</t>
    <rPh sb="0" eb="2">
      <t>ハシュ</t>
    </rPh>
    <rPh sb="2" eb="4">
      <t>フクド</t>
    </rPh>
    <rPh sb="4" eb="6">
      <t>イチレン</t>
    </rPh>
    <rPh sb="6" eb="8">
      <t>キカイ</t>
    </rPh>
    <phoneticPr fontId="6"/>
  </si>
  <si>
    <t>育苗器</t>
    <rPh sb="0" eb="2">
      <t>イクビョウ</t>
    </rPh>
    <rPh sb="2" eb="3">
      <t>キ</t>
    </rPh>
    <phoneticPr fontId="6"/>
  </si>
  <si>
    <t>代かき</t>
    <rPh sb="0" eb="1">
      <t>シロ</t>
    </rPh>
    <phoneticPr fontId="6"/>
  </si>
  <si>
    <t>散布巾10ｍ</t>
    <rPh sb="0" eb="2">
      <t>サンプ</t>
    </rPh>
    <rPh sb="2" eb="3">
      <t>ハバ</t>
    </rPh>
    <phoneticPr fontId="6"/>
  </si>
  <si>
    <t>ｍｌ</t>
    <phoneticPr fontId="6"/>
  </si>
  <si>
    <t>㎏</t>
    <phoneticPr fontId="6"/>
  </si>
  <si>
    <t>㎏</t>
    <phoneticPr fontId="6"/>
  </si>
  <si>
    <t>耕起作業（トラクター）</t>
    <rPh sb="0" eb="2">
      <t>コウキ</t>
    </rPh>
    <rPh sb="2" eb="4">
      <t>サギョウ</t>
    </rPh>
    <phoneticPr fontId="6"/>
  </si>
  <si>
    <t>代かき作業（トラクター）</t>
    <rPh sb="0" eb="1">
      <t>シロ</t>
    </rPh>
    <rPh sb="3" eb="5">
      <t>サギョウ</t>
    </rPh>
    <phoneticPr fontId="6"/>
  </si>
  <si>
    <t>田植作業（田植機）</t>
    <rPh sb="0" eb="2">
      <t>タウエ</t>
    </rPh>
    <rPh sb="2" eb="4">
      <t>サギョウ</t>
    </rPh>
    <rPh sb="5" eb="7">
      <t>タウ</t>
    </rPh>
    <rPh sb="7" eb="8">
      <t>キ</t>
    </rPh>
    <phoneticPr fontId="6"/>
  </si>
  <si>
    <t>ℓ・kw／時</t>
    <rPh sb="5" eb="6">
      <t>ジ</t>
    </rPh>
    <phoneticPr fontId="6"/>
  </si>
  <si>
    <t>収穫作業（コンバイン）</t>
    <rPh sb="0" eb="2">
      <t>シュウカク</t>
    </rPh>
    <rPh sb="2" eb="4">
      <t>サギョウ</t>
    </rPh>
    <phoneticPr fontId="6"/>
  </si>
  <si>
    <t>防除作業（管理ビーグル）</t>
    <rPh sb="0" eb="2">
      <t>ボウジョ</t>
    </rPh>
    <rPh sb="2" eb="4">
      <t>サギョウ</t>
    </rPh>
    <rPh sb="5" eb="7">
      <t>カンリ</t>
    </rPh>
    <phoneticPr fontId="6"/>
  </si>
  <si>
    <t>育苗作業（育苗関連機器）</t>
    <rPh sb="0" eb="2">
      <t>イクビョウ</t>
    </rPh>
    <rPh sb="2" eb="4">
      <t>サギョウ</t>
    </rPh>
    <rPh sb="5" eb="7">
      <t>イクビョウ</t>
    </rPh>
    <rPh sb="7" eb="9">
      <t>カンレン</t>
    </rPh>
    <rPh sb="9" eb="11">
      <t>キキ</t>
    </rPh>
    <phoneticPr fontId="6"/>
  </si>
  <si>
    <t>改良資材散布（トラクター，ｺﾝﾎﾟｷｬｽﾀｰ）</t>
    <rPh sb="0" eb="2">
      <t>カイリョウ</t>
    </rPh>
    <rPh sb="2" eb="4">
      <t>シザイ</t>
    </rPh>
    <rPh sb="4" eb="6">
      <t>サンプ</t>
    </rPh>
    <phoneticPr fontId="6"/>
  </si>
  <si>
    <t>ｍｌ</t>
  </si>
  <si>
    <t>農機具庫</t>
    <rPh sb="3" eb="4">
      <t>コ</t>
    </rPh>
    <phoneticPr fontId="6"/>
  </si>
  <si>
    <t>種子予措</t>
    <rPh sb="0" eb="2">
      <t>シュシ</t>
    </rPh>
    <rPh sb="2" eb="3">
      <t>ヨ</t>
    </rPh>
    <rPh sb="3" eb="4">
      <t>ソ</t>
    </rPh>
    <phoneticPr fontId="6"/>
  </si>
  <si>
    <t>育苗管理</t>
    <rPh sb="0" eb="2">
      <t>イクビョウ</t>
    </rPh>
    <rPh sb="2" eb="4">
      <t>カンリ</t>
    </rPh>
    <phoneticPr fontId="6"/>
  </si>
  <si>
    <t>耕起</t>
    <rPh sb="0" eb="2">
      <t>コウキ</t>
    </rPh>
    <phoneticPr fontId="6"/>
  </si>
  <si>
    <t>田植</t>
    <rPh sb="0" eb="2">
      <t>タウエ</t>
    </rPh>
    <phoneticPr fontId="6"/>
  </si>
  <si>
    <t>除草</t>
    <rPh sb="0" eb="2">
      <t>ジョソウ</t>
    </rPh>
    <phoneticPr fontId="6"/>
  </si>
  <si>
    <t>追肥</t>
    <rPh sb="0" eb="2">
      <t>ツイヒ</t>
    </rPh>
    <phoneticPr fontId="6"/>
  </si>
  <si>
    <t>防除</t>
    <rPh sb="0" eb="2">
      <t>ボウジョ</t>
    </rPh>
    <phoneticPr fontId="6"/>
  </si>
  <si>
    <t>刈取，脱穀</t>
    <rPh sb="0" eb="2">
      <t>カリト</t>
    </rPh>
    <rPh sb="3" eb="5">
      <t>ダッコク</t>
    </rPh>
    <phoneticPr fontId="6"/>
  </si>
  <si>
    <t>乾燥調製出荷</t>
    <rPh sb="0" eb="2">
      <t>カンソウ</t>
    </rPh>
    <rPh sb="2" eb="4">
      <t>チョウセイ</t>
    </rPh>
    <rPh sb="4" eb="6">
      <t>シュッカ</t>
    </rPh>
    <phoneticPr fontId="6"/>
  </si>
  <si>
    <t>乾燥調製</t>
    <rPh sb="0" eb="2">
      <t>カンソウ</t>
    </rPh>
    <rPh sb="2" eb="4">
      <t>チョウセイ</t>
    </rPh>
    <phoneticPr fontId="6"/>
  </si>
  <si>
    <t>改良資材散布</t>
    <rPh sb="0" eb="2">
      <t>カイリョウ</t>
    </rPh>
    <rPh sb="2" eb="4">
      <t>シザイ</t>
    </rPh>
    <rPh sb="4" eb="6">
      <t>サンプ</t>
    </rPh>
    <phoneticPr fontId="6"/>
  </si>
  <si>
    <t>収穫</t>
    <rPh sb="0" eb="2">
      <t>シュウカク</t>
    </rPh>
    <phoneticPr fontId="6"/>
  </si>
  <si>
    <t>32ｐｓ（ﾛｰﾀﾘｰ）</t>
    <phoneticPr fontId="6"/>
  </si>
  <si>
    <t>１種類</t>
  </si>
  <si>
    <t>混合剤</t>
    <rPh sb="0" eb="3">
      <t>コンゴウザイ</t>
    </rPh>
    <phoneticPr fontId="6"/>
  </si>
  <si>
    <t>3種類</t>
    <phoneticPr fontId="6"/>
  </si>
  <si>
    <t>殺虫剤</t>
    <rPh sb="0" eb="3">
      <t>サッチュウザイ</t>
    </rPh>
    <phoneticPr fontId="6"/>
  </si>
  <si>
    <t>2種類</t>
    <phoneticPr fontId="6"/>
  </si>
  <si>
    <t>6作業</t>
    <rPh sb="1" eb="3">
      <t>サギョウ</t>
    </rPh>
    <phoneticPr fontId="6"/>
  </si>
  <si>
    <t>1作業</t>
    <rPh sb="1" eb="3">
      <t>サギョウ</t>
    </rPh>
    <phoneticPr fontId="6"/>
  </si>
  <si>
    <t>3作業</t>
    <rPh sb="1" eb="3">
      <t>サギョウ</t>
    </rPh>
    <phoneticPr fontId="6"/>
  </si>
  <si>
    <t>ha</t>
  </si>
  <si>
    <t>ha</t>
    <phoneticPr fontId="5"/>
  </si>
  <si>
    <t>水稲（食用米）</t>
    <rPh sb="0" eb="2">
      <t>スイトウ</t>
    </rPh>
    <rPh sb="3" eb="5">
      <t>ショクヨウ</t>
    </rPh>
    <rPh sb="5" eb="6">
      <t>マイ</t>
    </rPh>
    <phoneticPr fontId="6"/>
  </si>
  <si>
    <t>水稲（加工用米）</t>
    <rPh sb="0" eb="2">
      <t>スイトウ</t>
    </rPh>
    <rPh sb="3" eb="6">
      <t>カコウヨウ</t>
    </rPh>
    <rPh sb="6" eb="7">
      <t>マイ</t>
    </rPh>
    <phoneticPr fontId="6"/>
  </si>
  <si>
    <t>円/10a</t>
    <rPh sb="0" eb="1">
      <t>エン</t>
    </rPh>
    <phoneticPr fontId="6"/>
  </si>
  <si>
    <t>オペ労賃</t>
    <phoneticPr fontId="8"/>
  </si>
  <si>
    <t>補助労務賃金</t>
    <phoneticPr fontId="8"/>
  </si>
  <si>
    <t>オペ</t>
    <phoneticPr fontId="6"/>
  </si>
  <si>
    <t>補助</t>
    <rPh sb="0" eb="2">
      <t>ホジョ</t>
    </rPh>
    <phoneticPr fontId="6"/>
  </si>
  <si>
    <t>合計</t>
    <rPh sb="0" eb="2">
      <t>ゴウケイ</t>
    </rPh>
    <phoneticPr fontId="6"/>
  </si>
  <si>
    <t>食用米（早期コシヒカリ）</t>
    <rPh sb="0" eb="2">
      <t>ショクヨウ</t>
    </rPh>
    <rPh sb="2" eb="3">
      <t>マイ</t>
    </rPh>
    <rPh sb="4" eb="6">
      <t>ソウキ</t>
    </rPh>
    <phoneticPr fontId="5"/>
  </si>
  <si>
    <t>食用米（普通コシヒカリ）</t>
    <rPh sb="0" eb="2">
      <t>ショクヨウ</t>
    </rPh>
    <rPh sb="2" eb="3">
      <t>マイ</t>
    </rPh>
    <rPh sb="4" eb="6">
      <t>フツウ</t>
    </rPh>
    <phoneticPr fontId="5"/>
  </si>
  <si>
    <t>米袋</t>
    <rPh sb="0" eb="1">
      <t>コメ</t>
    </rPh>
    <rPh sb="1" eb="2">
      <t>フクロ</t>
    </rPh>
    <phoneticPr fontId="6"/>
  </si>
  <si>
    <t>検査手数料</t>
    <rPh sb="0" eb="2">
      <t>ケンサ</t>
    </rPh>
    <rPh sb="2" eb="5">
      <t>テスウリョウ</t>
    </rPh>
    <phoneticPr fontId="6"/>
  </si>
  <si>
    <t>部門面積</t>
    <rPh sb="0" eb="2">
      <t>ブモン</t>
    </rPh>
    <rPh sb="2" eb="4">
      <t>メンセキ</t>
    </rPh>
    <phoneticPr fontId="6"/>
  </si>
  <si>
    <t>倒伏しやすい品種</t>
    <rPh sb="0" eb="2">
      <t>トウフク</t>
    </rPh>
    <rPh sb="6" eb="8">
      <t>ヒンシュ</t>
    </rPh>
    <phoneticPr fontId="6"/>
  </si>
  <si>
    <t>倒伏しにくい品種</t>
    <rPh sb="0" eb="2">
      <t>トウフク</t>
    </rPh>
    <rPh sb="6" eb="8">
      <t>ヒンシュ</t>
    </rPh>
    <phoneticPr fontId="6"/>
  </si>
  <si>
    <t>加工多収</t>
    <rPh sb="0" eb="2">
      <t>カコウ</t>
    </rPh>
    <rPh sb="2" eb="4">
      <t>タシュウ</t>
    </rPh>
    <phoneticPr fontId="6"/>
  </si>
  <si>
    <t>米粉飼料</t>
    <rPh sb="0" eb="1">
      <t>コメ</t>
    </rPh>
    <rPh sb="1" eb="2">
      <t>コ</t>
    </rPh>
    <rPh sb="2" eb="4">
      <t>シリョウ</t>
    </rPh>
    <phoneticPr fontId="6"/>
  </si>
  <si>
    <t>ＷＣＳ</t>
    <phoneticPr fontId="6"/>
  </si>
  <si>
    <t>大豆</t>
    <rPh sb="0" eb="2">
      <t>ダイズ</t>
    </rPh>
    <phoneticPr fontId="6"/>
  </si>
  <si>
    <t>麦</t>
    <rPh sb="0" eb="1">
      <t>ムギ</t>
    </rPh>
    <phoneticPr fontId="6"/>
  </si>
  <si>
    <t>○○</t>
    <phoneticPr fontId="6"/>
  </si>
  <si>
    <t>１ha当り償却額</t>
    <rPh sb="3" eb="4">
      <t>アタ</t>
    </rPh>
    <rPh sb="5" eb="8">
      <t>ショウキャクガク</t>
    </rPh>
    <phoneticPr fontId="6"/>
  </si>
  <si>
    <t>加工用米（中生新千本）</t>
    <rPh sb="0" eb="3">
      <t>カコウヨウ</t>
    </rPh>
    <rPh sb="3" eb="4">
      <t>マイ</t>
    </rPh>
    <rPh sb="5" eb="7">
      <t>ナカテ</t>
    </rPh>
    <rPh sb="7" eb="8">
      <t>シン</t>
    </rPh>
    <rPh sb="8" eb="10">
      <t>センボン</t>
    </rPh>
    <phoneticPr fontId="5"/>
  </si>
  <si>
    <t>早期コシヒカリ</t>
    <rPh sb="0" eb="2">
      <t>ソウキ</t>
    </rPh>
    <phoneticPr fontId="6"/>
  </si>
  <si>
    <t>全品種</t>
    <rPh sb="0" eb="1">
      <t>ゼン</t>
    </rPh>
    <rPh sb="1" eb="3">
      <t>ヒンシュ</t>
    </rPh>
    <phoneticPr fontId="6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</si>
  <si>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/>
  </si>
  <si>
    <t>4条刈</t>
    <rPh sb="1" eb="2">
      <t>ジョウ</t>
    </rPh>
    <rPh sb="2" eb="3">
      <t>ガ</t>
    </rPh>
    <phoneticPr fontId="6"/>
  </si>
  <si>
    <t>中生新千本</t>
    <rPh sb="0" eb="2">
      <t>ナカテ</t>
    </rPh>
    <rPh sb="2" eb="3">
      <t>シン</t>
    </rPh>
    <rPh sb="3" eb="5">
      <t>センボン</t>
    </rPh>
    <phoneticPr fontId="6"/>
  </si>
  <si>
    <t>普通　　（中部）</t>
    <rPh sb="0" eb="2">
      <t>フツウ</t>
    </rPh>
    <rPh sb="5" eb="6">
      <t>ナカ</t>
    </rPh>
    <phoneticPr fontId="6"/>
  </si>
  <si>
    <t>育苗</t>
    <rPh sb="0" eb="2">
      <t>イクビョウ</t>
    </rPh>
    <phoneticPr fontId="6"/>
  </si>
  <si>
    <t>本田準備</t>
    <rPh sb="0" eb="2">
      <t>ホンデン</t>
    </rPh>
    <rPh sb="2" eb="4">
      <t>ジュンビ</t>
    </rPh>
    <phoneticPr fontId="6"/>
  </si>
  <si>
    <t>収穫・調製</t>
    <rPh sb="0" eb="2">
      <t>シュウカク</t>
    </rPh>
    <rPh sb="3" eb="5">
      <t>チョウセイ</t>
    </rPh>
    <phoneticPr fontId="6"/>
  </si>
  <si>
    <t>土づくり</t>
    <rPh sb="0" eb="1">
      <t>ツチ</t>
    </rPh>
    <phoneticPr fontId="6"/>
  </si>
  <si>
    <t>塩水選-種子消毒-浸種-催芽（鳩胸）
土入れ（床土）-は種-床土の消毒-覆土-育苗器で加温
出芽-緑化-硬化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シンシュ</t>
    </rPh>
    <rPh sb="12" eb="13">
      <t>サイ</t>
    </rPh>
    <rPh sb="13" eb="14">
      <t>メ</t>
    </rPh>
    <rPh sb="15" eb="17">
      <t>ハトムネ</t>
    </rPh>
    <rPh sb="19" eb="20">
      <t>ツチ</t>
    </rPh>
    <rPh sb="20" eb="21">
      <t>イ</t>
    </rPh>
    <rPh sb="23" eb="24">
      <t>トコ</t>
    </rPh>
    <rPh sb="24" eb="25">
      <t>ツチ</t>
    </rPh>
    <rPh sb="28" eb="29">
      <t>シュ</t>
    </rPh>
    <rPh sb="30" eb="31">
      <t>トコ</t>
    </rPh>
    <rPh sb="31" eb="32">
      <t>ツチ</t>
    </rPh>
    <rPh sb="33" eb="35">
      <t>ショウドク</t>
    </rPh>
    <rPh sb="36" eb="38">
      <t>フクド</t>
    </rPh>
    <rPh sb="39" eb="41">
      <t>イクビョウ</t>
    </rPh>
    <rPh sb="41" eb="42">
      <t>キ</t>
    </rPh>
    <rPh sb="43" eb="45">
      <t>カオン</t>
    </rPh>
    <rPh sb="46" eb="48">
      <t>シュツガ</t>
    </rPh>
    <rPh sb="49" eb="51">
      <t>リョッカ</t>
    </rPh>
    <rPh sb="52" eb="54">
      <t>コウカ</t>
    </rPh>
    <phoneticPr fontId="6"/>
  </si>
  <si>
    <t>活着するまで深水管理
初期生育期から最高分げつ期まで間断かんがい
無効分げつ期頃中干し
幼穂形成期以降間断かんがい
出穂後２５日から３０日頃落水</t>
    <rPh sb="0" eb="1">
      <t>カツ</t>
    </rPh>
    <rPh sb="1" eb="2">
      <t>チャク</t>
    </rPh>
    <rPh sb="6" eb="7">
      <t>フカ</t>
    </rPh>
    <rPh sb="7" eb="8">
      <t>ミズ</t>
    </rPh>
    <rPh sb="8" eb="10">
      <t>カンリ</t>
    </rPh>
    <rPh sb="11" eb="13">
      <t>ショキ</t>
    </rPh>
    <rPh sb="13" eb="15">
      <t>セイイク</t>
    </rPh>
    <rPh sb="15" eb="16">
      <t>キ</t>
    </rPh>
    <rPh sb="18" eb="20">
      <t>サイコウ</t>
    </rPh>
    <rPh sb="20" eb="21">
      <t>ブン</t>
    </rPh>
    <rPh sb="23" eb="24">
      <t>キ</t>
    </rPh>
    <rPh sb="26" eb="28">
      <t>カンダン</t>
    </rPh>
    <rPh sb="33" eb="35">
      <t>ムコウ</t>
    </rPh>
    <rPh sb="35" eb="36">
      <t>ブン</t>
    </rPh>
    <rPh sb="38" eb="39">
      <t>キ</t>
    </rPh>
    <rPh sb="39" eb="40">
      <t>コロ</t>
    </rPh>
    <rPh sb="40" eb="41">
      <t>ナカ</t>
    </rPh>
    <rPh sb="41" eb="42">
      <t>ホ</t>
    </rPh>
    <rPh sb="44" eb="45">
      <t>ヨウ</t>
    </rPh>
    <rPh sb="45" eb="46">
      <t>ホ</t>
    </rPh>
    <rPh sb="46" eb="49">
      <t>ケイセイキ</t>
    </rPh>
    <rPh sb="49" eb="51">
      <t>イコウ</t>
    </rPh>
    <rPh sb="51" eb="53">
      <t>カンダン</t>
    </rPh>
    <rPh sb="58" eb="59">
      <t>デ</t>
    </rPh>
    <rPh sb="59" eb="60">
      <t>ホ</t>
    </rPh>
    <rPh sb="60" eb="61">
      <t>ゴ</t>
    </rPh>
    <rPh sb="63" eb="64">
      <t>ヒ</t>
    </rPh>
    <rPh sb="68" eb="69">
      <t>ヒ</t>
    </rPh>
    <rPh sb="69" eb="70">
      <t>コロ</t>
    </rPh>
    <rPh sb="70" eb="72">
      <t>ラクスイ</t>
    </rPh>
    <phoneticPr fontId="6"/>
  </si>
  <si>
    <t>いもち病
紋枯病
セジロウンカ
トビイロウンカ
カメムシ類
等病害虫防除</t>
    <rPh sb="3" eb="4">
      <t>ビョウ</t>
    </rPh>
    <rPh sb="5" eb="6">
      <t>モン</t>
    </rPh>
    <rPh sb="6" eb="7">
      <t>ガ</t>
    </rPh>
    <rPh sb="7" eb="8">
      <t>ビョウ</t>
    </rPh>
    <rPh sb="28" eb="29">
      <t>ルイ</t>
    </rPh>
    <phoneticPr fontId="6"/>
  </si>
  <si>
    <t>水稲　：　加工用米</t>
    <rPh sb="0" eb="2">
      <t>スイトウ</t>
    </rPh>
    <rPh sb="5" eb="7">
      <t>カコウ</t>
    </rPh>
    <rPh sb="7" eb="8">
      <t>ヨウ</t>
    </rPh>
    <rPh sb="8" eb="9">
      <t>コメ</t>
    </rPh>
    <phoneticPr fontId="6"/>
  </si>
  <si>
    <t>2月～5月</t>
    <rPh sb="1" eb="2">
      <t>ガツ</t>
    </rPh>
    <rPh sb="4" eb="5">
      <t>ガツ</t>
    </rPh>
    <phoneticPr fontId="4"/>
  </si>
  <si>
    <t>4月下旬～5月下旬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</si>
  <si>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全期間</t>
    <rPh sb="0" eb="3">
      <t>ゼンキカン</t>
    </rPh>
    <phoneticPr fontId="4"/>
  </si>
  <si>
    <t>8月下旬～10月中旬</t>
    <rPh sb="1" eb="2">
      <t>ガツ</t>
    </rPh>
    <rPh sb="2" eb="4">
      <t>ゲジュン</t>
    </rPh>
    <rPh sb="7" eb="8">
      <t>ガツ</t>
    </rPh>
    <rPh sb="8" eb="10">
      <t>チュウジュン</t>
    </rPh>
    <phoneticPr fontId="4"/>
  </si>
  <si>
    <t>10月～11月</t>
    <rPh sb="2" eb="3">
      <t>ガツ</t>
    </rPh>
    <rPh sb="6" eb="7">
      <t>ガツ</t>
    </rPh>
    <phoneticPr fontId="4"/>
  </si>
  <si>
    <t>トラクター</t>
    <phoneticPr fontId="6"/>
  </si>
  <si>
    <t>（除草）</t>
    <rPh sb="1" eb="3">
      <t>ジョソウ</t>
    </rPh>
    <phoneticPr fontId="6"/>
  </si>
  <si>
    <t>その他</t>
    <rPh sb="2" eb="3">
      <t>タ</t>
    </rPh>
    <phoneticPr fontId="4"/>
  </si>
  <si>
    <r>
      <t>3月中旬～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月下旬</t>
    </r>
    <rPh sb="1" eb="2">
      <t>ガツ</t>
    </rPh>
    <rPh sb="2" eb="3">
      <t>チュウ</t>
    </rPh>
    <rPh sb="6" eb="7">
      <t>ガツ</t>
    </rPh>
    <rPh sb="7" eb="8">
      <t>ゲ</t>
    </rPh>
    <phoneticPr fontId="4"/>
  </si>
  <si>
    <t>7月上旬～9月上旬</t>
    <rPh sb="1" eb="2">
      <t>ガツ</t>
    </rPh>
    <rPh sb="2" eb="4">
      <t>ジョウジュン</t>
    </rPh>
    <rPh sb="6" eb="7">
      <t>ガツ</t>
    </rPh>
    <rPh sb="7" eb="8">
      <t>ジョウ</t>
    </rPh>
    <rPh sb="8" eb="9">
      <t>ジュン</t>
    </rPh>
    <phoneticPr fontId="4"/>
  </si>
  <si>
    <r>
      <t>4月中旬～5</t>
    </r>
    <r>
      <rPr>
        <sz val="11"/>
        <rFont val="ＭＳ Ｐゴシック"/>
        <family val="3"/>
        <charset val="128"/>
      </rPr>
      <t>月中旬</t>
    </r>
    <rPh sb="1" eb="2">
      <t>ガツ</t>
    </rPh>
    <rPh sb="2" eb="3">
      <t>チュウ</t>
    </rPh>
    <rPh sb="6" eb="7">
      <t>ガツ</t>
    </rPh>
    <rPh sb="7" eb="8">
      <t>チュウ</t>
    </rPh>
    <phoneticPr fontId="4"/>
  </si>
  <si>
    <t>5月中旬～5月下旬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</si>
  <si>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8月上旬～８月下旬</t>
    <rPh sb="1" eb="2">
      <t>ガツ</t>
    </rPh>
    <rPh sb="2" eb="4">
      <t>ジョウジュン</t>
    </rPh>
    <rPh sb="6" eb="7">
      <t>ガツ</t>
    </rPh>
    <rPh sb="7" eb="8">
      <t>ゲ</t>
    </rPh>
    <rPh sb="8" eb="9">
      <t>ジュン</t>
    </rPh>
    <phoneticPr fontId="4"/>
  </si>
  <si>
    <t>9月下旬～10月上旬</t>
    <rPh sb="1" eb="2">
      <t>ガツ</t>
    </rPh>
    <rPh sb="2" eb="4">
      <t>ゲジュン</t>
    </rPh>
    <rPh sb="7" eb="8">
      <t>ガツ</t>
    </rPh>
    <rPh sb="8" eb="9">
      <t>ジョウ</t>
    </rPh>
    <rPh sb="9" eb="10">
      <t>ジュン</t>
    </rPh>
    <phoneticPr fontId="4"/>
  </si>
  <si>
    <t>ブロードキャスター</t>
    <phoneticPr fontId="6"/>
  </si>
  <si>
    <t>400リットル</t>
    <phoneticPr fontId="6"/>
  </si>
  <si>
    <t>育苗箱</t>
    <rPh sb="0" eb="2">
      <t>イクビョウ</t>
    </rPh>
    <rPh sb="2" eb="3">
      <t>バコ</t>
    </rPh>
    <phoneticPr fontId="6"/>
  </si>
  <si>
    <t>450円/箱</t>
    <rPh sb="3" eb="4">
      <t>エン</t>
    </rPh>
    <rPh sb="5" eb="6">
      <t>ハコ</t>
    </rPh>
    <phoneticPr fontId="6"/>
  </si>
  <si>
    <t>箱</t>
    <rPh sb="0" eb="1">
      <t>ハコ</t>
    </rPh>
    <phoneticPr fontId="6"/>
  </si>
  <si>
    <t>田植</t>
    <rPh sb="0" eb="2">
      <t>タウエ</t>
    </rPh>
    <phoneticPr fontId="6"/>
  </si>
  <si>
    <t>収穫</t>
    <rPh sb="0" eb="2">
      <t>シュウカク</t>
    </rPh>
    <phoneticPr fontId="6"/>
  </si>
  <si>
    <t>中部</t>
    <rPh sb="0" eb="1">
      <t>チュウブ</t>
    </rPh>
    <phoneticPr fontId="5"/>
  </si>
  <si>
    <t>集落法人</t>
    <rPh sb="0" eb="2">
      <t>シュウラク</t>
    </rPh>
    <rPh sb="2" eb="4">
      <t>ホウジン</t>
    </rPh>
    <phoneticPr fontId="5"/>
  </si>
  <si>
    <t>○：播種　△：仮植　×：定植</t>
    <phoneticPr fontId="6"/>
  </si>
  <si>
    <t>○</t>
    <phoneticPr fontId="5"/>
  </si>
  <si>
    <t>☓</t>
    <phoneticPr fontId="5"/>
  </si>
  <si>
    <t>水稲　：　食用米</t>
    <rPh sb="0" eb="2">
      <t>スイトウ</t>
    </rPh>
    <rPh sb="5" eb="7">
      <t>ショクヨウ</t>
    </rPh>
    <rPh sb="7" eb="8">
      <t>コメ</t>
    </rPh>
    <phoneticPr fontId="6"/>
  </si>
  <si>
    <t>３－２　標準技術（水稲）</t>
    <rPh sb="4" eb="6">
      <t>ヒョウジュン</t>
    </rPh>
    <rPh sb="6" eb="8">
      <t>ギジュツ</t>
    </rPh>
    <rPh sb="9" eb="11">
      <t>スイトウ</t>
    </rPh>
    <phoneticPr fontId="6"/>
  </si>
  <si>
    <t>水稲（食用米，加工米）</t>
    <rPh sb="0" eb="2">
      <t>スイトウ</t>
    </rPh>
    <rPh sb="3" eb="5">
      <t>ショクヨウ</t>
    </rPh>
    <rPh sb="5" eb="6">
      <t>マイ</t>
    </rPh>
    <rPh sb="7" eb="9">
      <t>カコウ</t>
    </rPh>
    <rPh sb="9" eb="10">
      <t>マイ</t>
    </rPh>
    <phoneticPr fontId="6"/>
  </si>
  <si>
    <t>８－１　経費の算出基礎（水稲（耐倒伏性弱品種），1ha当たり）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6">
      <t>タイ</t>
    </rPh>
    <rPh sb="16" eb="18">
      <t>トウフク</t>
    </rPh>
    <rPh sb="18" eb="19">
      <t>セイ</t>
    </rPh>
    <rPh sb="19" eb="20">
      <t>ジャク</t>
    </rPh>
    <rPh sb="20" eb="22">
      <t>ヒンシュ</t>
    </rPh>
    <rPh sb="27" eb="28">
      <t>ア</t>
    </rPh>
    <phoneticPr fontId="6"/>
  </si>
  <si>
    <t>８－３　経費の算出基礎（水稲（加工用），1ha当たり）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8">
      <t>カコウヨウ</t>
    </rPh>
    <rPh sb="23" eb="24">
      <t>ア</t>
    </rPh>
    <phoneticPr fontId="6"/>
  </si>
  <si>
    <t>ほ場整備完了水田，平均30a規模</t>
    <rPh sb="1" eb="2">
      <t>ジョウ</t>
    </rPh>
    <rPh sb="2" eb="4">
      <t>セイビ</t>
    </rPh>
    <rPh sb="4" eb="6">
      <t>カンリョウ</t>
    </rPh>
    <rPh sb="6" eb="8">
      <t>スイデン</t>
    </rPh>
    <rPh sb="9" eb="11">
      <t>ヘイキン</t>
    </rPh>
    <rPh sb="14" eb="16">
      <t>キボ</t>
    </rPh>
    <phoneticPr fontId="5"/>
  </si>
  <si>
    <t>稚苗疎植移植体系</t>
    <rPh sb="0" eb="2">
      <t>チビョウ</t>
    </rPh>
    <rPh sb="2" eb="3">
      <t>ソ</t>
    </rPh>
    <rPh sb="3" eb="4">
      <t>ショク</t>
    </rPh>
    <rPh sb="4" eb="6">
      <t>イショク</t>
    </rPh>
    <rPh sb="6" eb="8">
      <t>タイケイ</t>
    </rPh>
    <phoneticPr fontId="5"/>
  </si>
  <si>
    <t>機械時間（1ha当たり）</t>
    <rPh sb="0" eb="2">
      <t>キカイ</t>
    </rPh>
    <rPh sb="2" eb="4">
      <t>ジカン</t>
    </rPh>
    <phoneticPr fontId="6"/>
  </si>
  <si>
    <t>人力時間（1ha当たり）</t>
    <rPh sb="0" eb="2">
      <t>ジンリキ</t>
    </rPh>
    <rPh sb="2" eb="4">
      <t>ジカン</t>
    </rPh>
    <phoneticPr fontId="6"/>
  </si>
  <si>
    <t>田植機（肥料、育苗箱施用剤、除草剤散布機付）</t>
    <rPh sb="7" eb="9">
      <t>イクビョウ</t>
    </rPh>
    <phoneticPr fontId="6"/>
  </si>
  <si>
    <t>土壌改良資材</t>
    <rPh sb="0" eb="2">
      <t>ドジョウ</t>
    </rPh>
    <rPh sb="2" eb="4">
      <t>カイリョウ</t>
    </rPh>
    <rPh sb="4" eb="6">
      <t>シザイ</t>
    </rPh>
    <phoneticPr fontId="6"/>
  </si>
  <si>
    <t>使用資材
（１ha当たり）</t>
    <rPh sb="0" eb="2">
      <t>シヨウ</t>
    </rPh>
    <rPh sb="2" eb="4">
      <t>シザイ</t>
    </rPh>
    <rPh sb="9" eb="10">
      <t>ア</t>
    </rPh>
    <phoneticPr fontId="6"/>
  </si>
  <si>
    <t>鎌他</t>
    <rPh sb="0" eb="1">
      <t>カマ</t>
    </rPh>
    <rPh sb="1" eb="2">
      <t>ホカ</t>
    </rPh>
    <phoneticPr fontId="6"/>
  </si>
  <si>
    <t>改良資材散布（トラクター，ブロードﾟｷｬｽﾀｰ）</t>
    <rPh sb="0" eb="2">
      <t>カイリョウ</t>
    </rPh>
    <rPh sb="2" eb="4">
      <t>シザイ</t>
    </rPh>
    <rPh sb="4" eb="6">
      <t>サンプ</t>
    </rPh>
    <phoneticPr fontId="6"/>
  </si>
  <si>
    <t>15ha（借地15ha）</t>
    <phoneticPr fontId="6"/>
  </si>
  <si>
    <t>積重ね180箱</t>
    <rPh sb="0" eb="2">
      <t>ツミカサ</t>
    </rPh>
    <rPh sb="6" eb="7">
      <t>ハコ</t>
    </rPh>
    <phoneticPr fontId="6"/>
  </si>
  <si>
    <t>100ｋｇ/回</t>
    <rPh sb="6" eb="7">
      <t>カイ</t>
    </rPh>
    <phoneticPr fontId="6"/>
  </si>
  <si>
    <t>（120箱/時間）</t>
    <rPh sb="4" eb="5">
      <t>ハコ</t>
    </rPh>
    <rPh sb="6" eb="8">
      <t>ジカン</t>
    </rPh>
    <phoneticPr fontId="6"/>
  </si>
  <si>
    <t>5条側条施肥機付き</t>
    <rPh sb="1" eb="2">
      <t>ジョウ</t>
    </rPh>
    <rPh sb="2" eb="3">
      <t>ソク</t>
    </rPh>
    <rPh sb="3" eb="4">
      <t>ジョウ</t>
    </rPh>
    <rPh sb="4" eb="6">
      <t>セヒ</t>
    </rPh>
    <rPh sb="6" eb="7">
      <t>キ</t>
    </rPh>
    <rPh sb="7" eb="8">
      <t>ツ</t>
    </rPh>
    <phoneticPr fontId="6"/>
  </si>
  <si>
    <t>水稲15ha+作業受託</t>
    <rPh sb="7" eb="9">
      <t>サギョウ</t>
    </rPh>
    <rPh sb="9" eb="11">
      <t>ジュタク</t>
    </rPh>
    <phoneticPr fontId="5"/>
  </si>
  <si>
    <t>家族労働</t>
    <rPh sb="0" eb="2">
      <t>カゾク</t>
    </rPh>
    <rPh sb="2" eb="4">
      <t>ロウドウ</t>
    </rPh>
    <phoneticPr fontId="5"/>
  </si>
  <si>
    <t>系統利用（一部直接販売）</t>
    <rPh sb="0" eb="2">
      <t>ケイトウ</t>
    </rPh>
    <rPh sb="2" eb="4">
      <t>リヨウ</t>
    </rPh>
    <rPh sb="5" eb="7">
      <t>イチブ</t>
    </rPh>
    <rPh sb="7" eb="9">
      <t>チョクセツ</t>
    </rPh>
    <rPh sb="9" eb="11">
      <t>ハンバイ</t>
    </rPh>
    <phoneticPr fontId="5"/>
  </si>
  <si>
    <t>作業受託</t>
    <rPh sb="0" eb="2">
      <t>サギョウ</t>
    </rPh>
    <rPh sb="2" eb="4">
      <t>ジュタク</t>
    </rPh>
    <phoneticPr fontId="6"/>
  </si>
  <si>
    <t>コンバイン</t>
    <phoneticPr fontId="6"/>
  </si>
  <si>
    <t>田植作業受託</t>
    <rPh sb="0" eb="2">
      <t>タウエ</t>
    </rPh>
    <rPh sb="2" eb="4">
      <t>サギョウ</t>
    </rPh>
    <rPh sb="4" eb="6">
      <t>ジュタク</t>
    </rPh>
    <phoneticPr fontId="5"/>
  </si>
  <si>
    <t>2ｔﾄﾗｯｸ，中古</t>
    <rPh sb="7" eb="9">
      <t>チュウコ</t>
    </rPh>
    <phoneticPr fontId="6"/>
  </si>
  <si>
    <t>受託面積</t>
    <rPh sb="0" eb="2">
      <t>ジュタク</t>
    </rPh>
    <rPh sb="2" eb="4">
      <t>メンセキ</t>
    </rPh>
    <phoneticPr fontId="6"/>
  </si>
  <si>
    <t>８－４　収入及び経費の算出基礎（1ha当たり）</t>
    <rPh sb="4" eb="6">
      <t>シュウニュウ</t>
    </rPh>
    <rPh sb="6" eb="7">
      <t>オヨ</t>
    </rPh>
    <rPh sb="8" eb="10">
      <t>ケイヒ</t>
    </rPh>
    <rPh sb="11" eb="13">
      <t>サンシュツ</t>
    </rPh>
    <rPh sb="13" eb="15">
      <t>キソ</t>
    </rPh>
    <rPh sb="19" eb="20">
      <t>ア</t>
    </rPh>
    <phoneticPr fontId="6"/>
  </si>
  <si>
    <t>作業受託料</t>
    <rPh sb="0" eb="2">
      <t>サギョウ</t>
    </rPh>
    <rPh sb="2" eb="4">
      <t>ジュタク</t>
    </rPh>
    <rPh sb="4" eb="5">
      <t>リョウ</t>
    </rPh>
    <phoneticPr fontId="6"/>
  </si>
  <si>
    <t>耕起作業</t>
    <rPh sb="0" eb="2">
      <t>コウキ</t>
    </rPh>
    <rPh sb="2" eb="4">
      <t>サギョウ</t>
    </rPh>
    <phoneticPr fontId="6"/>
  </si>
  <si>
    <t>基本料</t>
    <rPh sb="0" eb="3">
      <t>キホンリョウ</t>
    </rPh>
    <phoneticPr fontId="6"/>
  </si>
  <si>
    <t>追加料金</t>
    <rPh sb="0" eb="2">
      <t>ツイカ</t>
    </rPh>
    <rPh sb="2" eb="4">
      <t>リョウキン</t>
    </rPh>
    <phoneticPr fontId="6"/>
  </si>
  <si>
    <t>件数</t>
    <rPh sb="0" eb="2">
      <t>ケンスウ</t>
    </rPh>
    <phoneticPr fontId="6"/>
  </si>
  <si>
    <t>回数</t>
    <rPh sb="0" eb="2">
      <t>カイスウ</t>
    </rPh>
    <phoneticPr fontId="6"/>
  </si>
  <si>
    <t>代かき作業</t>
    <rPh sb="0" eb="1">
      <t>シロ</t>
    </rPh>
    <rPh sb="3" eb="5">
      <t>サギョウ</t>
    </rPh>
    <phoneticPr fontId="6"/>
  </si>
  <si>
    <t>乾燥作業</t>
    <rPh sb="0" eb="2">
      <t>カンソウ</t>
    </rPh>
    <rPh sb="2" eb="4">
      <t>サギョウ</t>
    </rPh>
    <phoneticPr fontId="6"/>
  </si>
  <si>
    <t>耕起作業</t>
    <rPh sb="0" eb="2">
      <t>コウキ</t>
    </rPh>
    <rPh sb="2" eb="4">
      <t>サギョウ</t>
    </rPh>
    <phoneticPr fontId="5"/>
  </si>
  <si>
    <t>代かき作業</t>
    <rPh sb="0" eb="1">
      <t>シロ</t>
    </rPh>
    <rPh sb="3" eb="5">
      <t>サギョウ</t>
    </rPh>
    <phoneticPr fontId="5"/>
  </si>
  <si>
    <t>収穫作業受託</t>
    <rPh sb="0" eb="2">
      <t>シュウカク</t>
    </rPh>
    <rPh sb="2" eb="4">
      <t>サギョウ</t>
    </rPh>
    <rPh sb="4" eb="6">
      <t>ジュタク</t>
    </rPh>
    <phoneticPr fontId="5"/>
  </si>
  <si>
    <t>作業名</t>
    <rPh sb="0" eb="2">
      <t>サギョウ</t>
    </rPh>
    <rPh sb="2" eb="3">
      <t>メイ</t>
    </rPh>
    <phoneticPr fontId="6"/>
  </si>
  <si>
    <t>単価</t>
    <rPh sb="0" eb="2">
      <t>タンカ</t>
    </rPh>
    <phoneticPr fontId="6"/>
  </si>
  <si>
    <t>水稲（作業受託）</t>
    <rPh sb="0" eb="2">
      <t>スイトウ</t>
    </rPh>
    <rPh sb="3" eb="5">
      <t>サギョウ</t>
    </rPh>
    <rPh sb="5" eb="7">
      <t>ジュタク</t>
    </rPh>
    <phoneticPr fontId="6"/>
  </si>
  <si>
    <t>（エ）作業名</t>
    <rPh sb="3" eb="5">
      <t>サギョウ</t>
    </rPh>
    <rPh sb="5" eb="6">
      <t>メイ</t>
    </rPh>
    <phoneticPr fontId="6"/>
  </si>
  <si>
    <t>償却費</t>
    <rPh sb="0" eb="2">
      <t>ショウキャク</t>
    </rPh>
    <rPh sb="2" eb="3">
      <t>ヒ</t>
    </rPh>
    <phoneticPr fontId="6"/>
  </si>
  <si>
    <t>年償却費</t>
    <rPh sb="0" eb="1">
      <t>ネン</t>
    </rPh>
    <rPh sb="1" eb="3">
      <t>ショウキャク</t>
    </rPh>
    <rPh sb="3" eb="4">
      <t>ヒ</t>
    </rPh>
    <phoneticPr fontId="6"/>
  </si>
  <si>
    <t>施設</t>
    <rPh sb="0" eb="2">
      <t>シセツ</t>
    </rPh>
    <phoneticPr fontId="6"/>
  </si>
  <si>
    <t>計</t>
    <rPh sb="0" eb="1">
      <t>ケイ</t>
    </rPh>
    <phoneticPr fontId="6"/>
  </si>
  <si>
    <t>機械</t>
    <rPh sb="0" eb="2">
      <t>キカイ</t>
    </rPh>
    <phoneticPr fontId="6"/>
  </si>
  <si>
    <t>※受託ほ場条件は，1戸当たり６a，１４a，15ａ，25ａの圃場４枚とする</t>
    <rPh sb="1" eb="3">
      <t>ジュタク</t>
    </rPh>
    <rPh sb="4" eb="5">
      <t>ジョウ</t>
    </rPh>
    <rPh sb="5" eb="7">
      <t>ジョウケン</t>
    </rPh>
    <rPh sb="10" eb="11">
      <t>コ</t>
    </rPh>
    <rPh sb="11" eb="12">
      <t>ア</t>
    </rPh>
    <rPh sb="29" eb="31">
      <t>ホジョウ</t>
    </rPh>
    <rPh sb="32" eb="33">
      <t>マイ</t>
    </rPh>
    <phoneticPr fontId="6"/>
  </si>
  <si>
    <t>乾燥調製</t>
    <rPh sb="0" eb="2">
      <t>カンソウ</t>
    </rPh>
    <rPh sb="2" eb="4">
      <t>チョウセイ</t>
    </rPh>
    <phoneticPr fontId="6"/>
  </si>
  <si>
    <t>耕起</t>
    <rPh sb="0" eb="2">
      <t>コウキ</t>
    </rPh>
    <phoneticPr fontId="18"/>
  </si>
  <si>
    <t>圃場番号</t>
    <rPh sb="0" eb="2">
      <t>ホジョウ</t>
    </rPh>
    <rPh sb="2" eb="4">
      <t>バンゴウ</t>
    </rPh>
    <phoneticPr fontId="18"/>
  </si>
  <si>
    <t>ほ場の面積</t>
    <rPh sb="1" eb="2">
      <t>ジョウ</t>
    </rPh>
    <rPh sb="3" eb="5">
      <t>メンセキ</t>
    </rPh>
    <phoneticPr fontId="18"/>
  </si>
  <si>
    <t>ランク</t>
    <phoneticPr fontId="18"/>
  </si>
  <si>
    <t>10a当り基本料金</t>
    <rPh sb="3" eb="4">
      <t>アタ</t>
    </rPh>
    <rPh sb="5" eb="7">
      <t>キホン</t>
    </rPh>
    <rPh sb="7" eb="9">
      <t>リョウキン</t>
    </rPh>
    <phoneticPr fontId="18"/>
  </si>
  <si>
    <t>ほ場の基本料金</t>
    <rPh sb="1" eb="2">
      <t>ジョウ</t>
    </rPh>
    <rPh sb="3" eb="5">
      <t>キホン</t>
    </rPh>
    <rPh sb="5" eb="7">
      <t>リョウキン</t>
    </rPh>
    <phoneticPr fontId="18"/>
  </si>
  <si>
    <t>追加料金</t>
    <rPh sb="0" eb="2">
      <t>ツイカ</t>
    </rPh>
    <rPh sb="2" eb="4">
      <t>リョウキン</t>
    </rPh>
    <phoneticPr fontId="18"/>
  </si>
  <si>
    <t>機械運搬料金</t>
    <rPh sb="0" eb="2">
      <t>キカイ</t>
    </rPh>
    <rPh sb="2" eb="4">
      <t>ウンパン</t>
    </rPh>
    <rPh sb="4" eb="6">
      <t>リョウキン</t>
    </rPh>
    <phoneticPr fontId="18"/>
  </si>
  <si>
    <t>委託者支払料金</t>
    <rPh sb="0" eb="3">
      <t>イタクシャ</t>
    </rPh>
    <rPh sb="3" eb="5">
      <t>シハライ</t>
    </rPh>
    <rPh sb="5" eb="7">
      <t>リョウキン</t>
    </rPh>
    <phoneticPr fontId="18"/>
  </si>
  <si>
    <t>10ａ当たり</t>
    <rPh sb="3" eb="4">
      <t>ア</t>
    </rPh>
    <phoneticPr fontId="18"/>
  </si>
  <si>
    <t>ｃ</t>
    <phoneticPr fontId="18"/>
  </si>
  <si>
    <t>ｂ</t>
    <phoneticPr fontId="18"/>
  </si>
  <si>
    <t>ｂ</t>
    <phoneticPr fontId="18"/>
  </si>
  <si>
    <t>a</t>
    <phoneticPr fontId="18"/>
  </si>
  <si>
    <t>合計</t>
    <rPh sb="0" eb="2">
      <t>ゴウケイ</t>
    </rPh>
    <phoneticPr fontId="18"/>
  </si>
  <si>
    <t>代かき</t>
    <rPh sb="0" eb="1">
      <t>シロ</t>
    </rPh>
    <phoneticPr fontId="18"/>
  </si>
  <si>
    <t>ランク</t>
    <phoneticPr fontId="18"/>
  </si>
  <si>
    <t>ｃ</t>
    <phoneticPr fontId="18"/>
  </si>
  <si>
    <t>ｂ</t>
    <phoneticPr fontId="18"/>
  </si>
  <si>
    <t>a</t>
    <phoneticPr fontId="18"/>
  </si>
  <si>
    <t>田植</t>
    <rPh sb="0" eb="2">
      <t>タウエ</t>
    </rPh>
    <phoneticPr fontId="18"/>
  </si>
  <si>
    <t>ランク</t>
    <phoneticPr fontId="18"/>
  </si>
  <si>
    <t>ｃ</t>
    <phoneticPr fontId="18"/>
  </si>
  <si>
    <t>ｂ</t>
    <phoneticPr fontId="18"/>
  </si>
  <si>
    <t>a</t>
    <phoneticPr fontId="18"/>
  </si>
  <si>
    <t>収穫</t>
    <rPh sb="0" eb="2">
      <t>シュウカク</t>
    </rPh>
    <phoneticPr fontId="18"/>
  </si>
  <si>
    <t>作業受託条件</t>
    <rPh sb="0" eb="2">
      <t>サギョウ</t>
    </rPh>
    <rPh sb="2" eb="4">
      <t>ジュタク</t>
    </rPh>
    <rPh sb="4" eb="6">
      <t>ジョウケン</t>
    </rPh>
    <phoneticPr fontId="6"/>
  </si>
  <si>
    <t>１戸当たり６ａ、１１ａ、１３ａ、２０ａ計５０ａ４筆という条件とする</t>
    <rPh sb="1" eb="2">
      <t>コ</t>
    </rPh>
    <rPh sb="2" eb="3">
      <t>ア</t>
    </rPh>
    <rPh sb="19" eb="20">
      <t>ケイ</t>
    </rPh>
    <rPh sb="24" eb="25">
      <t>ヒツ</t>
    </rPh>
    <rPh sb="28" eb="30">
      <t>ジョウケン</t>
    </rPh>
    <phoneticPr fontId="6"/>
  </si>
  <si>
    <t>苗</t>
    <rPh sb="0" eb="1">
      <t>ナエ</t>
    </rPh>
    <phoneticPr fontId="6"/>
  </si>
  <si>
    <t>機械</t>
    <rPh sb="0" eb="2">
      <t>キカイ</t>
    </rPh>
    <phoneticPr fontId="6"/>
  </si>
  <si>
    <t>燃料費</t>
    <rPh sb="0" eb="2">
      <t>ネンリョウ</t>
    </rPh>
    <rPh sb="2" eb="3">
      <t>ヒ</t>
    </rPh>
    <phoneticPr fontId="6"/>
  </si>
  <si>
    <t>凡例</t>
  </si>
  <si>
    <t>苗</t>
    <rPh sb="0" eb="1">
      <t>ナエ</t>
    </rPh>
    <phoneticPr fontId="5"/>
  </si>
  <si>
    <t>乾燥調製委託</t>
    <rPh sb="0" eb="2">
      <t>カンソウ</t>
    </rPh>
    <rPh sb="2" eb="4">
      <t>チョウセイ</t>
    </rPh>
    <rPh sb="4" eb="6">
      <t>イタク</t>
    </rPh>
    <phoneticPr fontId="6"/>
  </si>
  <si>
    <t>中型機械化体系、乾燥調整は農協委託
畦畔管理作業，水管理作業は，他へ委託する</t>
    <rPh sb="0" eb="2">
      <t>チュウガタ</t>
    </rPh>
    <rPh sb="2" eb="5">
      <t>キカイカ</t>
    </rPh>
    <rPh sb="5" eb="7">
      <t>タイケイ</t>
    </rPh>
    <rPh sb="8" eb="10">
      <t>カンソウ</t>
    </rPh>
    <rPh sb="10" eb="12">
      <t>チョウセイ</t>
    </rPh>
    <rPh sb="13" eb="15">
      <t>ノウキョウ</t>
    </rPh>
    <rPh sb="15" eb="17">
      <t>イタク</t>
    </rPh>
    <rPh sb="18" eb="20">
      <t>ケイハン</t>
    </rPh>
    <rPh sb="20" eb="22">
      <t>カンリ</t>
    </rPh>
    <rPh sb="22" eb="24">
      <t>サギョウ</t>
    </rPh>
    <rPh sb="25" eb="26">
      <t>ミズ</t>
    </rPh>
    <rPh sb="26" eb="28">
      <t>カンリ</t>
    </rPh>
    <rPh sb="28" eb="30">
      <t>サギョウ</t>
    </rPh>
    <rPh sb="32" eb="33">
      <t>タ</t>
    </rPh>
    <rPh sb="34" eb="36">
      <t>イタク</t>
    </rPh>
    <phoneticPr fontId="5"/>
  </si>
  <si>
    <t>シート他</t>
    <rPh sb="3" eb="4">
      <t>ホカ</t>
    </rPh>
    <phoneticPr fontId="6"/>
  </si>
  <si>
    <t>㎡</t>
    <phoneticPr fontId="6"/>
  </si>
  <si>
    <t>3年間</t>
    <rPh sb="1" eb="3">
      <t>ネンカン</t>
    </rPh>
    <phoneticPr fontId="6"/>
  </si>
  <si>
    <t xml:space="preserve">コンバインによる収穫
</t>
    <rPh sb="8" eb="10">
      <t>シュウカク</t>
    </rPh>
    <phoneticPr fontId="6"/>
  </si>
  <si>
    <t xml:space="preserve">コンバイン
</t>
    <phoneticPr fontId="6"/>
  </si>
  <si>
    <t>普通</t>
    <rPh sb="0" eb="2">
      <t>フツウ</t>
    </rPh>
    <phoneticPr fontId="5"/>
  </si>
  <si>
    <t>品種の組み合わせで，機械の効率的利用を図る</t>
    <rPh sb="0" eb="2">
      <t>ヒンシュ</t>
    </rPh>
    <rPh sb="3" eb="4">
      <t>ク</t>
    </rPh>
    <rPh sb="5" eb="6">
      <t>ア</t>
    </rPh>
    <rPh sb="10" eb="12">
      <t>キカイ</t>
    </rPh>
    <rPh sb="13" eb="15">
      <t>コウリツ</t>
    </rPh>
    <rPh sb="15" eb="16">
      <t>テキ</t>
    </rPh>
    <rPh sb="16" eb="18">
      <t>リヨウ</t>
    </rPh>
    <rPh sb="19" eb="20">
      <t>ハカ</t>
    </rPh>
    <phoneticPr fontId="6"/>
  </si>
  <si>
    <t>トラクター
ブロードキャスター</t>
    <phoneticPr fontId="6"/>
  </si>
  <si>
    <t>耕起
入水後代かきを2回</t>
    <rPh sb="0" eb="2">
      <t>コウキ</t>
    </rPh>
    <rPh sb="3" eb="5">
      <t>ニュウスイ</t>
    </rPh>
    <rPh sb="5" eb="6">
      <t>ゴ</t>
    </rPh>
    <rPh sb="6" eb="7">
      <t>シロ</t>
    </rPh>
    <rPh sb="11" eb="12">
      <t>カイ</t>
    </rPh>
    <phoneticPr fontId="6"/>
  </si>
  <si>
    <t>田植機（肥料、箱施用剤、除草剤散布機付）で移植</t>
    <rPh sb="0" eb="2">
      <t>タウエ</t>
    </rPh>
    <rPh sb="2" eb="3">
      <t>キ</t>
    </rPh>
    <rPh sb="4" eb="6">
      <t>ヒリョウ</t>
    </rPh>
    <rPh sb="7" eb="8">
      <t>ハコ</t>
    </rPh>
    <rPh sb="8" eb="10">
      <t>セヨウ</t>
    </rPh>
    <rPh sb="10" eb="11">
      <t>ザイ</t>
    </rPh>
    <rPh sb="12" eb="14">
      <t>ジョソウ</t>
    </rPh>
    <rPh sb="14" eb="15">
      <t>ザイ</t>
    </rPh>
    <rPh sb="15" eb="17">
      <t>サンプ</t>
    </rPh>
    <rPh sb="17" eb="18">
      <t>キ</t>
    </rPh>
    <rPh sb="18" eb="19">
      <t>ツキ</t>
    </rPh>
    <rPh sb="21" eb="23">
      <t>イショク</t>
    </rPh>
    <phoneticPr fontId="6"/>
  </si>
  <si>
    <t>雑草が多い場合は、水稲生育期に除草剤を散布</t>
    <rPh sb="0" eb="2">
      <t>ザッソウ</t>
    </rPh>
    <rPh sb="3" eb="4">
      <t>オオ</t>
    </rPh>
    <rPh sb="5" eb="7">
      <t>バアイ</t>
    </rPh>
    <rPh sb="9" eb="11">
      <t>スイトウ</t>
    </rPh>
    <rPh sb="11" eb="13">
      <t>セイイク</t>
    </rPh>
    <rPh sb="13" eb="14">
      <t>キ</t>
    </rPh>
    <rPh sb="15" eb="18">
      <t>ジョソウザイ</t>
    </rPh>
    <rPh sb="19" eb="21">
      <t>サンプ</t>
    </rPh>
    <phoneticPr fontId="6"/>
  </si>
  <si>
    <t>土づくり肥料を散布して耕起</t>
    <rPh sb="0" eb="1">
      <t>ツチ</t>
    </rPh>
    <rPh sb="4" eb="6">
      <t>ヒリョウ</t>
    </rPh>
    <rPh sb="7" eb="9">
      <t>サンプ</t>
    </rPh>
    <rPh sb="11" eb="13">
      <t>コウキ</t>
    </rPh>
    <phoneticPr fontId="6"/>
  </si>
  <si>
    <t>種籾　　　35ｋｇ
種子消毒剤
　殺菌剤　
  殺虫剤　
土壌消毒剤
　殺菌剤　
育苗培土　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7" eb="20">
      <t>サッキンザイ</t>
    </rPh>
    <rPh sb="24" eb="27">
      <t>サッチュウザイ</t>
    </rPh>
    <rPh sb="30" eb="32">
      <t>ドジョウ</t>
    </rPh>
    <rPh sb="32" eb="34">
      <t>ショウドク</t>
    </rPh>
    <rPh sb="34" eb="35">
      <t>ザイ</t>
    </rPh>
    <rPh sb="37" eb="40">
      <t>サッキンザイ</t>
    </rPh>
    <phoneticPr fontId="6"/>
  </si>
  <si>
    <t>肥料
　基肥一発型緩効性肥料　350kg～550kg
箱施用剤　
除草剤　</t>
    <rPh sb="0" eb="2">
      <t>ヒリョウ</t>
    </rPh>
    <rPh sb="4" eb="6">
      <t>モトゴエ</t>
    </rPh>
    <rPh sb="6" eb="8">
      <t>イッパツ</t>
    </rPh>
    <rPh sb="8" eb="9">
      <t>カタ</t>
    </rPh>
    <rPh sb="9" eb="12">
      <t>カンコウセイ</t>
    </rPh>
    <rPh sb="12" eb="14">
      <t>ヒリョウ</t>
    </rPh>
    <rPh sb="27" eb="28">
      <t>ハコ</t>
    </rPh>
    <rPh sb="28" eb="30">
      <t>セヨウ</t>
    </rPh>
    <rPh sb="30" eb="31">
      <t>ザイ</t>
    </rPh>
    <rPh sb="33" eb="36">
      <t>ジョソウザイ</t>
    </rPh>
    <phoneticPr fontId="6"/>
  </si>
  <si>
    <t>（後期除草剤　)</t>
    <rPh sb="1" eb="3">
      <t>コウキ</t>
    </rPh>
    <rPh sb="3" eb="6">
      <t>ジョソウザイ</t>
    </rPh>
    <phoneticPr fontId="4"/>
  </si>
  <si>
    <t>殺菌剤　
殺虫剤　
殺菌殺虫混合剤
　</t>
    <rPh sb="0" eb="3">
      <t>サッキンザイ</t>
    </rPh>
    <rPh sb="6" eb="9">
      <t>サッチュウザイ</t>
    </rPh>
    <rPh sb="12" eb="14">
      <t>サッキン</t>
    </rPh>
    <rPh sb="14" eb="16">
      <t>サッチュウ</t>
    </rPh>
    <rPh sb="16" eb="19">
      <t>コンゴウザイ</t>
    </rPh>
    <phoneticPr fontId="6"/>
  </si>
  <si>
    <t>塩水選、種子消毒の実施
適正な温度管理
は種量の適正化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ジッシ</t>
    </rPh>
    <rPh sb="12" eb="14">
      <t>テキセイ</t>
    </rPh>
    <rPh sb="15" eb="17">
      <t>オンド</t>
    </rPh>
    <rPh sb="17" eb="19">
      <t>カンリ</t>
    </rPh>
    <rPh sb="21" eb="22">
      <t>シュ</t>
    </rPh>
    <rPh sb="22" eb="23">
      <t>リョウ</t>
    </rPh>
    <rPh sb="24" eb="26">
      <t>テキセイ</t>
    </rPh>
    <rPh sb="26" eb="27">
      <t>カ</t>
    </rPh>
    <phoneticPr fontId="6"/>
  </si>
  <si>
    <t>田面の均平化</t>
    <rPh sb="0" eb="1">
      <t>タ</t>
    </rPh>
    <rPh sb="1" eb="2">
      <t>メン</t>
    </rPh>
    <rPh sb="3" eb="4">
      <t>ヒトシ</t>
    </rPh>
    <rPh sb="4" eb="5">
      <t>ヘイ</t>
    </rPh>
    <rPh sb="5" eb="6">
      <t>カ</t>
    </rPh>
    <phoneticPr fontId="6"/>
  </si>
  <si>
    <t>適期田植
適正な栽植密度</t>
    <rPh sb="0" eb="2">
      <t>テッキ</t>
    </rPh>
    <rPh sb="2" eb="4">
      <t>タウ</t>
    </rPh>
    <rPh sb="5" eb="7">
      <t>テキセイ</t>
    </rPh>
    <rPh sb="8" eb="10">
      <t>サイショク</t>
    </rPh>
    <rPh sb="10" eb="12">
      <t>ミツド</t>
    </rPh>
    <phoneticPr fontId="6"/>
  </si>
  <si>
    <t>適正な水管理
使用薬量を均一に散布</t>
    <rPh sb="0" eb="2">
      <t>テキセイ</t>
    </rPh>
    <rPh sb="3" eb="4">
      <t>ミズ</t>
    </rPh>
    <rPh sb="4" eb="6">
      <t>カンリ</t>
    </rPh>
    <rPh sb="7" eb="9">
      <t>シヨウ</t>
    </rPh>
    <rPh sb="9" eb="10">
      <t>ヤク</t>
    </rPh>
    <rPh sb="10" eb="11">
      <t>リョウ</t>
    </rPh>
    <rPh sb="12" eb="14">
      <t>キンイツ</t>
    </rPh>
    <rPh sb="15" eb="17">
      <t>サンプ</t>
    </rPh>
    <phoneticPr fontId="6"/>
  </si>
  <si>
    <t>間断かんがい
中干しの実施
適期落水の実施</t>
    <rPh sb="0" eb="2">
      <t>カンダン</t>
    </rPh>
    <rPh sb="7" eb="8">
      <t>ナカ</t>
    </rPh>
    <rPh sb="8" eb="9">
      <t>ホ</t>
    </rPh>
    <rPh sb="11" eb="13">
      <t>ジッシ</t>
    </rPh>
    <rPh sb="14" eb="16">
      <t>テッキ</t>
    </rPh>
    <rPh sb="16" eb="18">
      <t>ラクスイ</t>
    </rPh>
    <rPh sb="19" eb="21">
      <t>ジッシ</t>
    </rPh>
    <phoneticPr fontId="6"/>
  </si>
  <si>
    <t>適期防除</t>
    <rPh sb="0" eb="2">
      <t>テッキ</t>
    </rPh>
    <rPh sb="2" eb="4">
      <t>ボウジョ</t>
    </rPh>
    <phoneticPr fontId="6"/>
  </si>
  <si>
    <t>適期刈取
適正な乾燥調製</t>
    <rPh sb="0" eb="2">
      <t>テッキ</t>
    </rPh>
    <rPh sb="2" eb="4">
      <t>カリト</t>
    </rPh>
    <rPh sb="5" eb="7">
      <t>テキセイ</t>
    </rPh>
    <rPh sb="8" eb="10">
      <t>カンソウ</t>
    </rPh>
    <rPh sb="10" eb="12">
      <t>チョウセイ</t>
    </rPh>
    <phoneticPr fontId="6"/>
  </si>
  <si>
    <t>稲わらの早期鋤き込み
土づくりの実施</t>
    <rPh sb="0" eb="1">
      <t>イネ</t>
    </rPh>
    <rPh sb="4" eb="6">
      <t>ソウキ</t>
    </rPh>
    <rPh sb="6" eb="7">
      <t>ス</t>
    </rPh>
    <rPh sb="8" eb="9">
      <t>コ</t>
    </rPh>
    <rPh sb="11" eb="12">
      <t>ツチ</t>
    </rPh>
    <rPh sb="16" eb="18">
      <t>ジッシ</t>
    </rPh>
    <phoneticPr fontId="6"/>
  </si>
  <si>
    <t>５　作業別・旬別作業時間（水稲，1ha当たり）</t>
    <rPh sb="13" eb="15">
      <t>スイトウ</t>
    </rPh>
    <phoneticPr fontId="6"/>
  </si>
  <si>
    <t>７－２　経営収支（水稲（加工用米）部門，1ha当たり）</t>
    <rPh sb="9" eb="11">
      <t>スイトウ</t>
    </rPh>
    <rPh sb="12" eb="15">
      <t>カコウヨウ</t>
    </rPh>
    <rPh sb="15" eb="16">
      <t>マイ</t>
    </rPh>
    <rPh sb="17" eb="19">
      <t>ブモン</t>
    </rPh>
    <rPh sb="23" eb="24">
      <t>ア</t>
    </rPh>
    <phoneticPr fontId="6"/>
  </si>
  <si>
    <t>７－３　トータル経営収支（水稲（作業受託）部門）</t>
    <rPh sb="13" eb="15">
      <t>スイトウ</t>
    </rPh>
    <rPh sb="16" eb="18">
      <t>サギョウ</t>
    </rPh>
    <rPh sb="18" eb="20">
      <t>ジュタク</t>
    </rPh>
    <rPh sb="21" eb="23">
      <t>ブモン</t>
    </rPh>
    <phoneticPr fontId="6"/>
  </si>
  <si>
    <t>３　水稲標準技術は19，20Ｐを参照　</t>
    <rPh sb="2" eb="4">
      <t>スイトウ</t>
    </rPh>
    <rPh sb="4" eb="6">
      <t>ヒョウジュン</t>
    </rPh>
    <rPh sb="6" eb="8">
      <t>ギジュツ</t>
    </rPh>
    <rPh sb="16" eb="18">
      <t>サンショウ</t>
    </rPh>
    <phoneticPr fontId="6"/>
  </si>
  <si>
    <t>右表（イ）　</t>
    <phoneticPr fontId="6"/>
  </si>
  <si>
    <t>右表（ウ）　</t>
    <phoneticPr fontId="6"/>
  </si>
  <si>
    <t>右表（エ）　</t>
    <phoneticPr fontId="6"/>
  </si>
  <si>
    <t>右表（ウ）　</t>
    <phoneticPr fontId="6"/>
  </si>
  <si>
    <t>水稲（コシヒカリ）</t>
    <rPh sb="0" eb="2">
      <t>スイトウ</t>
    </rPh>
    <phoneticPr fontId="6"/>
  </si>
  <si>
    <t>水田利用の直接支払交付金</t>
    <rPh sb="0" eb="2">
      <t>スイデン</t>
    </rPh>
    <rPh sb="2" eb="4">
      <t>リヨウ</t>
    </rPh>
    <rPh sb="5" eb="7">
      <t>チョクセツ</t>
    </rPh>
    <rPh sb="7" eb="9">
      <t>シハライ</t>
    </rPh>
    <rPh sb="9" eb="12">
      <t>コウフキン</t>
    </rPh>
    <phoneticPr fontId="6"/>
  </si>
  <si>
    <t>土づくり肥料</t>
    <rPh sb="0" eb="1">
      <t>ツチ</t>
    </rPh>
    <rPh sb="4" eb="6">
      <t>ヒリョウ</t>
    </rPh>
    <phoneticPr fontId="4"/>
  </si>
  <si>
    <t>緩効性肥料</t>
    <rPh sb="0" eb="3">
      <t>カンコウセイ</t>
    </rPh>
    <rPh sb="3" eb="5">
      <t>ヒリョウ</t>
    </rPh>
    <phoneticPr fontId="4"/>
  </si>
  <si>
    <t>育苗培土</t>
    <rPh sb="0" eb="2">
      <t>イクビョウ</t>
    </rPh>
    <rPh sb="2" eb="3">
      <t>バイ</t>
    </rPh>
    <rPh sb="3" eb="4">
      <t>ド</t>
    </rPh>
    <phoneticPr fontId="4"/>
  </si>
  <si>
    <t>種子消毒剤（殺菌剤）</t>
    <rPh sb="0" eb="2">
      <t>シュシ</t>
    </rPh>
    <rPh sb="2" eb="4">
      <t>ショウドク</t>
    </rPh>
    <rPh sb="4" eb="5">
      <t>ザイ</t>
    </rPh>
    <rPh sb="6" eb="9">
      <t>サッキンザイ</t>
    </rPh>
    <phoneticPr fontId="4"/>
  </si>
  <si>
    <t>育苗用殺菌剤</t>
    <rPh sb="0" eb="2">
      <t>イクビョウ</t>
    </rPh>
    <rPh sb="2" eb="3">
      <t>ヨウ</t>
    </rPh>
    <rPh sb="3" eb="6">
      <t>サッキンザイ</t>
    </rPh>
    <phoneticPr fontId="4"/>
  </si>
  <si>
    <t>殺菌剤</t>
    <rPh sb="0" eb="3">
      <t>サッキンザイ</t>
    </rPh>
    <phoneticPr fontId="4"/>
  </si>
  <si>
    <t>種子消毒剤（殺虫剤）</t>
    <rPh sb="0" eb="2">
      <t>シュシ</t>
    </rPh>
    <rPh sb="2" eb="4">
      <t>ショウドク</t>
    </rPh>
    <rPh sb="4" eb="5">
      <t>ザイ</t>
    </rPh>
    <rPh sb="6" eb="9">
      <t>サッチュウザイ</t>
    </rPh>
    <phoneticPr fontId="4"/>
  </si>
  <si>
    <t>初中期一発剤</t>
    <rPh sb="0" eb="1">
      <t>ショ</t>
    </rPh>
    <rPh sb="1" eb="3">
      <t>チュウキ</t>
    </rPh>
    <rPh sb="3" eb="5">
      <t>イッパツ</t>
    </rPh>
    <rPh sb="5" eb="6">
      <t>ザイ</t>
    </rPh>
    <phoneticPr fontId="4"/>
  </si>
  <si>
    <t>箱施用剤</t>
    <rPh sb="0" eb="1">
      <t>ハコ</t>
    </rPh>
    <rPh sb="1" eb="3">
      <t>セヨウ</t>
    </rPh>
    <rPh sb="3" eb="4">
      <t>ザイ</t>
    </rPh>
    <phoneticPr fontId="4"/>
  </si>
  <si>
    <t>殺虫殺菌剤</t>
    <rPh sb="0" eb="2">
      <t>サッチュウ</t>
    </rPh>
    <rPh sb="2" eb="5">
      <t>サッキンザイ</t>
    </rPh>
    <phoneticPr fontId="4"/>
  </si>
  <si>
    <t>殺虫剤</t>
    <rPh sb="0" eb="3">
      <t>サッチュウザイ</t>
    </rPh>
    <phoneticPr fontId="6"/>
  </si>
  <si>
    <t>6（参考）　固定資本装備と減価償却費（水稲，1ha当たり・1年当たり）</t>
    <rPh sb="2" eb="4">
      <t>サンコウ</t>
    </rPh>
    <rPh sb="19" eb="21">
      <t>スイトウ</t>
    </rPh>
    <rPh sb="25" eb="26">
      <t>ア</t>
    </rPh>
    <rPh sb="30" eb="31">
      <t>ネン</t>
    </rPh>
    <rPh sb="31" eb="32">
      <t>ア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</si>
</sst>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&quot;ha&quot;"/>
    <numFmt numFmtId="185" formatCode="#,##0.00_);[Red]\(#,##0.00\)"/>
    <numFmt numFmtId="186" formatCode="&quot;水&quot;&quot;稲&quot;#,##0.0&quot;ha&quot;"/>
    <numFmt numFmtId="187" formatCode="&quot;大豆&quot;#,##0.0&quot;ha&quot;"/>
    <numFmt numFmtId="188" formatCode="&quot;麦&quot;#,##0.0&quot;ha&quot;"/>
    <numFmt numFmtId="189" formatCode="0&quot;円/時&quot;"/>
    <numFmt numFmtId="190" formatCode="0&quot;円/袋&quot;"/>
    <numFmt numFmtId="191" formatCode="0&quot;円/10a&quot;"/>
    <numFmt numFmtId="192" formatCode="0.0_);\(0.0\)"/>
    <numFmt numFmtId="193" formatCode="0&quot;円/㎏&quot;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58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</borders>
  <cellStyleXfs count="1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7" fontId="16" fillId="0" borderId="0"/>
    <xf numFmtId="0" fontId="15" fillId="0" borderId="0"/>
    <xf numFmtId="0" fontId="3" fillId="0" borderId="0"/>
    <xf numFmtId="0" fontId="17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84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left" vertical="center"/>
    </xf>
    <xf numFmtId="176" fontId="11" fillId="0" borderId="0" xfId="0" applyNumberFormat="1" applyFont="1" applyAlignment="1">
      <alignment vertical="center"/>
    </xf>
    <xf numFmtId="176" fontId="11" fillId="0" borderId="1" xfId="0" applyNumberFormat="1" applyFont="1" applyBorder="1" applyAlignment="1">
      <alignment vertical="center" shrinkToFit="1"/>
    </xf>
    <xf numFmtId="179" fontId="11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0" fillId="0" borderId="70" xfId="0" applyNumberFormat="1" applyBorder="1" applyAlignment="1">
      <alignment horizontal="center" vertical="center" shrinkToFit="1"/>
    </xf>
    <xf numFmtId="176" fontId="3" fillId="0" borderId="70" xfId="0" applyNumberFormat="1" applyFont="1" applyBorder="1" applyAlignment="1">
      <alignment horizontal="center" vertical="center" shrinkToFit="1"/>
    </xf>
    <xf numFmtId="179" fontId="3" fillId="0" borderId="70" xfId="0" applyNumberFormat="1" applyFont="1" applyBorder="1" applyAlignment="1">
      <alignment horizontal="center" vertical="center" shrinkToFit="1"/>
    </xf>
    <xf numFmtId="176" fontId="7" fillId="0" borderId="87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9" fontId="7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176" fontId="11" fillId="2" borderId="1" xfId="0" applyNumberFormat="1" applyFont="1" applyFill="1" applyBorder="1" applyAlignment="1">
      <alignment horizontal="center" vertical="center" shrinkToFit="1"/>
    </xf>
    <xf numFmtId="176" fontId="11" fillId="2" borderId="1" xfId="0" applyNumberFormat="1" applyFont="1" applyFill="1" applyBorder="1" applyAlignment="1">
      <alignment vertical="center" shrinkToFit="1"/>
    </xf>
    <xf numFmtId="176" fontId="11" fillId="2" borderId="1" xfId="0" applyNumberFormat="1" applyFont="1" applyFill="1" applyBorder="1" applyAlignment="1">
      <alignment horizontal="left" vertical="center" shrinkToFit="1"/>
    </xf>
    <xf numFmtId="179" fontId="11" fillId="2" borderId="1" xfId="0" applyNumberFormat="1" applyFont="1" applyFill="1" applyBorder="1" applyAlignment="1">
      <alignment vertical="center" shrinkToFit="1"/>
    </xf>
    <xf numFmtId="176" fontId="11" fillId="0" borderId="1" xfId="0" applyNumberFormat="1" applyFont="1" applyFill="1" applyBorder="1" applyAlignment="1">
      <alignment vertical="center" shrinkToFit="1"/>
    </xf>
    <xf numFmtId="176" fontId="11" fillId="2" borderId="10" xfId="0" applyNumberFormat="1" applyFont="1" applyFill="1" applyBorder="1" applyAlignment="1">
      <alignment vertical="center" shrinkToFit="1"/>
    </xf>
    <xf numFmtId="176" fontId="11" fillId="0" borderId="82" xfId="0" applyNumberFormat="1" applyFont="1" applyBorder="1" applyAlignment="1">
      <alignment horizontal="center" vertical="center" shrinkToFit="1"/>
    </xf>
    <xf numFmtId="176" fontId="11" fillId="0" borderId="83" xfId="0" applyNumberFormat="1" applyFont="1" applyFill="1" applyBorder="1" applyAlignment="1">
      <alignment vertical="center" shrinkToFit="1"/>
    </xf>
    <xf numFmtId="176" fontId="11" fillId="0" borderId="19" xfId="0" applyNumberFormat="1" applyFont="1" applyFill="1" applyBorder="1" applyAlignment="1">
      <alignment vertical="center" shrinkToFit="1"/>
    </xf>
    <xf numFmtId="176" fontId="11" fillId="0" borderId="19" xfId="0" applyNumberFormat="1" applyFont="1" applyFill="1" applyBorder="1" applyAlignment="1">
      <alignment horizontal="left" vertical="center" shrinkToFit="1"/>
    </xf>
    <xf numFmtId="179" fontId="11" fillId="0" borderId="19" xfId="0" applyNumberFormat="1" applyFont="1" applyFill="1" applyBorder="1" applyAlignment="1">
      <alignment vertical="center" shrinkToFit="1"/>
    </xf>
    <xf numFmtId="9" fontId="11" fillId="0" borderId="1" xfId="0" applyNumberFormat="1" applyFont="1" applyFill="1" applyBorder="1" applyAlignment="1">
      <alignment vertical="center" shrinkToFit="1"/>
    </xf>
    <xf numFmtId="9" fontId="11" fillId="0" borderId="1" xfId="4" applyFont="1" applyBorder="1" applyAlignment="1">
      <alignment vertical="center" shrinkToFit="1"/>
    </xf>
    <xf numFmtId="182" fontId="11" fillId="0" borderId="1" xfId="4" applyNumberFormat="1" applyFont="1" applyBorder="1" applyAlignment="1">
      <alignment vertical="center" shrinkToFit="1"/>
    </xf>
    <xf numFmtId="176" fontId="11" fillId="0" borderId="87" xfId="0" applyNumberFormat="1" applyFont="1" applyBorder="1" applyAlignment="1">
      <alignment vertical="center" shrinkToFit="1"/>
    </xf>
    <xf numFmtId="182" fontId="11" fillId="0" borderId="87" xfId="4" applyNumberFormat="1" applyFont="1" applyBorder="1" applyAlignment="1">
      <alignment vertical="center" shrinkToFit="1"/>
    </xf>
    <xf numFmtId="176" fontId="0" fillId="0" borderId="87" xfId="0" applyNumberFormat="1" applyBorder="1" applyAlignment="1">
      <alignment vertical="center" shrinkToFit="1"/>
    </xf>
    <xf numFmtId="176" fontId="11" fillId="2" borderId="87" xfId="0" applyNumberFormat="1" applyFont="1" applyFill="1" applyBorder="1" applyAlignment="1">
      <alignment vertical="center" shrinkToFit="1"/>
    </xf>
    <xf numFmtId="176" fontId="11" fillId="2" borderId="87" xfId="0" applyNumberFormat="1" applyFont="1" applyFill="1" applyBorder="1" applyAlignment="1">
      <alignment horizontal="left" vertical="center" shrinkToFit="1"/>
    </xf>
    <xf numFmtId="179" fontId="11" fillId="2" borderId="87" xfId="0" applyNumberFormat="1" applyFont="1" applyFill="1" applyBorder="1" applyAlignment="1">
      <alignment vertical="center" shrinkToFit="1"/>
    </xf>
    <xf numFmtId="9" fontId="11" fillId="0" borderId="87" xfId="4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5" xfId="0" applyFont="1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0" fillId="0" borderId="62" xfId="0" applyFont="1" applyBorder="1" applyAlignment="1">
      <alignment vertical="center"/>
    </xf>
    <xf numFmtId="181" fontId="0" fillId="0" borderId="35" xfId="0" applyNumberFormat="1" applyFont="1" applyBorder="1" applyAlignment="1">
      <alignment horizontal="right" vertical="center"/>
    </xf>
    <xf numFmtId="38" fontId="0" fillId="0" borderId="57" xfId="1" applyFont="1" applyBorder="1" applyAlignment="1">
      <alignment vertical="center" shrinkToFit="1"/>
    </xf>
    <xf numFmtId="0" fontId="0" fillId="0" borderId="32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38" fontId="0" fillId="0" borderId="58" xfId="1" applyFont="1" applyBorder="1" applyAlignment="1">
      <alignment vertical="center" shrinkToFit="1"/>
    </xf>
    <xf numFmtId="181" fontId="0" fillId="3" borderId="37" xfId="0" applyNumberFormat="1" applyFont="1" applyFill="1" applyBorder="1" applyAlignment="1">
      <alignment horizontal="right" vertical="center"/>
    </xf>
    <xf numFmtId="181" fontId="0" fillId="3" borderId="39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181" fontId="0" fillId="4" borderId="37" xfId="0" applyNumberFormat="1" applyFont="1" applyFill="1" applyBorder="1" applyAlignment="1">
      <alignment horizontal="right" vertical="center"/>
    </xf>
    <xf numFmtId="181" fontId="0" fillId="0" borderId="32" xfId="0" applyNumberFormat="1" applyFont="1" applyBorder="1" applyAlignment="1">
      <alignment horizontal="right" vertical="center"/>
    </xf>
    <xf numFmtId="0" fontId="0" fillId="0" borderId="24" xfId="0" applyFont="1" applyFill="1" applyBorder="1" applyAlignment="1">
      <alignment vertical="center"/>
    </xf>
    <xf numFmtId="0" fontId="12" fillId="0" borderId="37" xfId="0" applyFont="1" applyBorder="1" applyAlignment="1">
      <alignment vertical="center"/>
    </xf>
    <xf numFmtId="181" fontId="0" fillId="4" borderId="59" xfId="0" applyNumberFormat="1" applyFont="1" applyFill="1" applyBorder="1" applyAlignment="1">
      <alignment horizontal="right" vertical="center"/>
    </xf>
    <xf numFmtId="38" fontId="0" fillId="0" borderId="60" xfId="1" applyFont="1" applyBorder="1" applyAlignment="1">
      <alignment vertical="center" shrinkToFit="1"/>
    </xf>
    <xf numFmtId="181" fontId="0" fillId="3" borderId="40" xfId="1" applyNumberFormat="1" applyFont="1" applyFill="1" applyBorder="1" applyAlignment="1">
      <alignment horizontal="right" vertical="center"/>
    </xf>
    <xf numFmtId="38" fontId="0" fillId="0" borderId="61" xfId="1" applyFont="1" applyBorder="1" applyAlignment="1">
      <alignment vertical="center" shrinkToFit="1"/>
    </xf>
    <xf numFmtId="0" fontId="0" fillId="0" borderId="118" xfId="0" applyFont="1" applyBorder="1" applyAlignment="1">
      <alignment vertical="center"/>
    </xf>
    <xf numFmtId="0" fontId="0" fillId="0" borderId="121" xfId="0" applyFont="1" applyBorder="1" applyAlignment="1">
      <alignment vertical="center"/>
    </xf>
    <xf numFmtId="181" fontId="0" fillId="0" borderId="75" xfId="1" applyNumberFormat="1" applyFont="1" applyBorder="1" applyAlignment="1">
      <alignment horizontal="right" vertical="center"/>
    </xf>
    <xf numFmtId="181" fontId="0" fillId="0" borderId="24" xfId="1" applyNumberFormat="1" applyFont="1" applyBorder="1" applyAlignment="1">
      <alignment horizontal="right" vertical="center"/>
    </xf>
    <xf numFmtId="38" fontId="0" fillId="0" borderId="64" xfId="1" applyFont="1" applyBorder="1" applyAlignment="1">
      <alignment vertical="center" shrinkToFit="1"/>
    </xf>
    <xf numFmtId="0" fontId="0" fillId="0" borderId="32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52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181" fontId="0" fillId="0" borderId="38" xfId="1" applyNumberFormat="1" applyFont="1" applyBorder="1" applyAlignment="1">
      <alignment horizontal="right" vertical="center"/>
    </xf>
    <xf numFmtId="38" fontId="0" fillId="0" borderId="63" xfId="1" applyFont="1" applyBorder="1" applyAlignment="1">
      <alignment vertical="center" shrinkToFit="1"/>
    </xf>
    <xf numFmtId="181" fontId="0" fillId="4" borderId="45" xfId="1" applyNumberFormat="1" applyFont="1" applyFill="1" applyBorder="1" applyAlignment="1">
      <alignment horizontal="right" vertical="center"/>
    </xf>
    <xf numFmtId="181" fontId="0" fillId="3" borderId="46" xfId="1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18" xfId="0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9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70" xfId="0" applyNumberFormat="1" applyFont="1" applyBorder="1" applyAlignment="1">
      <alignment horizontal="center" vertical="center" shrinkToFit="1"/>
    </xf>
    <xf numFmtId="179" fontId="0" fillId="0" borderId="70" xfId="0" applyNumberFormat="1" applyFont="1" applyBorder="1" applyAlignment="1">
      <alignment horizontal="center" vertical="center" shrinkToFit="1"/>
    </xf>
    <xf numFmtId="176" fontId="0" fillId="0" borderId="87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79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0" borderId="1" xfId="0" applyNumberFormat="1" applyFont="1" applyBorder="1" applyAlignment="1">
      <alignment horizontal="right" vertical="center" shrinkToFit="1"/>
    </xf>
    <xf numFmtId="176" fontId="0" fillId="0" borderId="1" xfId="0" applyNumberFormat="1" applyFont="1" applyBorder="1" applyAlignment="1">
      <alignment horizontal="left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2" xfId="0" applyNumberFormat="1" applyFont="1" applyBorder="1" applyAlignment="1">
      <alignment horizontal="center" vertical="center" shrinkToFit="1"/>
    </xf>
    <xf numFmtId="176" fontId="0" fillId="0" borderId="83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5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horizontal="left" vertical="center" indent="1"/>
    </xf>
    <xf numFmtId="179" fontId="0" fillId="0" borderId="1" xfId="0" applyNumberFormat="1" applyFont="1" applyBorder="1" applyAlignment="1">
      <alignment vertical="center" shrinkToFit="1"/>
    </xf>
    <xf numFmtId="179" fontId="0" fillId="0" borderId="66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6" fontId="0" fillId="0" borderId="7" xfId="0" applyNumberFormat="1" applyFont="1" applyBorder="1" applyAlignment="1">
      <alignment horizontal="center" vertical="center"/>
    </xf>
    <xf numFmtId="179" fontId="0" fillId="0" borderId="67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6" fontId="0" fillId="0" borderId="68" xfId="0" applyNumberFormat="1" applyFont="1" applyBorder="1" applyAlignment="1">
      <alignment horizontal="center" vertical="center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69" xfId="0" applyNumberFormat="1" applyFont="1" applyBorder="1" applyAlignment="1">
      <alignment vertical="center" shrinkToFit="1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10" fillId="0" borderId="53" xfId="2" applyFont="1" applyBorder="1" applyAlignment="1">
      <alignment horizontal="center" vertical="center" wrapText="1"/>
    </xf>
    <xf numFmtId="0" fontId="14" fillId="0" borderId="0" xfId="2" applyFont="1" applyAlignment="1">
      <alignment horizontal="justify" vertical="center"/>
    </xf>
    <xf numFmtId="0" fontId="3" fillId="0" borderId="0" xfId="0" applyFont="1" applyAlignment="1">
      <alignment vertical="center"/>
    </xf>
    <xf numFmtId="0" fontId="10" fillId="0" borderId="72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10" fillId="0" borderId="0" xfId="2" applyFont="1" applyAlignment="1">
      <alignment horizontal="justify" vertical="center"/>
    </xf>
    <xf numFmtId="0" fontId="3" fillId="0" borderId="119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47" xfId="2" applyFont="1" applyBorder="1" applyAlignment="1">
      <alignment horizontal="center" vertical="center" wrapText="1"/>
    </xf>
    <xf numFmtId="0" fontId="3" fillId="0" borderId="122" xfId="2" applyFont="1" applyBorder="1" applyAlignment="1">
      <alignment horizontal="center" vertical="center" wrapText="1"/>
    </xf>
    <xf numFmtId="0" fontId="3" fillId="0" borderId="123" xfId="2" applyFont="1" applyBorder="1" applyAlignment="1">
      <alignment horizontal="center" vertical="center" wrapText="1"/>
    </xf>
    <xf numFmtId="0" fontId="10" fillId="0" borderId="0" xfId="2" applyFont="1" applyBorder="1" applyAlignment="1">
      <alignment vertical="center" wrapText="1"/>
    </xf>
    <xf numFmtId="0" fontId="10" fillId="0" borderId="30" xfId="2" applyFont="1" applyBorder="1" applyAlignment="1">
      <alignment vertical="center" wrapText="1"/>
    </xf>
    <xf numFmtId="0" fontId="3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2" xfId="0" applyNumberFormat="1" applyFont="1" applyFill="1" applyBorder="1" applyAlignment="1">
      <alignment vertical="center" shrinkToFit="1"/>
    </xf>
    <xf numFmtId="178" fontId="0" fillId="2" borderId="112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3" applyNumberFormat="1" applyFont="1" applyBorder="1" applyAlignment="1">
      <alignment vertical="center" shrinkToFit="1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36" xfId="3" applyNumberFormat="1" applyFont="1" applyBorder="1" applyAlignment="1">
      <alignment vertical="center"/>
    </xf>
    <xf numFmtId="181" fontId="0" fillId="0" borderId="43" xfId="1" applyNumberFormat="1" applyFont="1" applyBorder="1" applyAlignment="1">
      <alignment vertical="center"/>
    </xf>
    <xf numFmtId="177" fontId="0" fillId="0" borderId="44" xfId="3" applyNumberFormat="1" applyFont="1" applyBorder="1" applyAlignment="1">
      <alignment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/>
    </xf>
    <xf numFmtId="177" fontId="0" fillId="0" borderId="87" xfId="0" applyNumberFormat="1" applyFont="1" applyFill="1" applyBorder="1" applyAlignment="1">
      <alignment vertical="center"/>
    </xf>
    <xf numFmtId="177" fontId="0" fillId="0" borderId="87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4" xfId="0" applyNumberFormat="1" applyFont="1" applyBorder="1" applyAlignment="1">
      <alignment horizontal="center" vertical="center" shrinkToFit="1"/>
    </xf>
    <xf numFmtId="176" fontId="0" fillId="0" borderId="74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2" xfId="0" applyNumberFormat="1" applyFont="1" applyFill="1" applyBorder="1" applyAlignment="1">
      <alignment vertical="center" shrinkToFit="1"/>
    </xf>
    <xf numFmtId="176" fontId="0" fillId="2" borderId="126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27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69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3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83" fontId="0" fillId="6" borderId="112" xfId="0" applyNumberFormat="1" applyFont="1" applyFill="1" applyBorder="1" applyAlignment="1">
      <alignment vertical="center" shrinkToFit="1"/>
    </xf>
    <xf numFmtId="183" fontId="0" fillId="6" borderId="50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77" fontId="0" fillId="0" borderId="74" xfId="0" applyNumberFormat="1" applyFont="1" applyBorder="1" applyAlignment="1">
      <alignment vertical="center" shrinkToFit="1"/>
    </xf>
    <xf numFmtId="177" fontId="0" fillId="2" borderId="135" xfId="0" applyNumberFormat="1" applyFont="1" applyFill="1" applyBorder="1" applyAlignment="1">
      <alignment vertical="center" shrinkToFit="1"/>
    </xf>
    <xf numFmtId="177" fontId="0" fillId="2" borderId="115" xfId="0" applyNumberFormat="1" applyFont="1" applyFill="1" applyBorder="1" applyAlignment="1">
      <alignment vertical="center" shrinkToFit="1"/>
    </xf>
    <xf numFmtId="177" fontId="0" fillId="2" borderId="116" xfId="0" applyNumberFormat="1" applyFont="1" applyFill="1" applyBorder="1" applyAlignment="1">
      <alignment vertical="center" shrinkToFit="1"/>
    </xf>
    <xf numFmtId="177" fontId="0" fillId="2" borderId="128" xfId="0" applyNumberFormat="1" applyFont="1" applyFill="1" applyBorder="1" applyAlignment="1">
      <alignment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81" fontId="0" fillId="0" borderId="32" xfId="1" applyNumberFormat="1" applyFont="1" applyFill="1" applyBorder="1" applyAlignment="1">
      <alignment vertical="center"/>
    </xf>
    <xf numFmtId="181" fontId="0" fillId="6" borderId="45" xfId="1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81" fontId="0" fillId="0" borderId="142" xfId="1" applyNumberFormat="1" applyFont="1" applyFill="1" applyBorder="1" applyAlignment="1">
      <alignment vertical="center"/>
    </xf>
    <xf numFmtId="177" fontId="0" fillId="0" borderId="143" xfId="0" applyNumberFormat="1" applyFill="1" applyBorder="1" applyAlignment="1">
      <alignment vertical="center"/>
    </xf>
    <xf numFmtId="177" fontId="0" fillId="0" borderId="144" xfId="3" applyNumberFormat="1" applyFont="1" applyBorder="1" applyAlignment="1">
      <alignment vertical="center"/>
    </xf>
    <xf numFmtId="177" fontId="0" fillId="6" borderId="145" xfId="0" applyNumberFormat="1" applyFont="1" applyFill="1" applyBorder="1" applyAlignment="1">
      <alignment vertical="center" shrinkToFit="1"/>
    </xf>
    <xf numFmtId="177" fontId="0" fillId="0" borderId="145" xfId="3" applyNumberFormat="1" applyFont="1" applyBorder="1" applyAlignment="1">
      <alignment vertical="center"/>
    </xf>
    <xf numFmtId="177" fontId="0" fillId="0" borderId="108" xfId="3" applyNumberFormat="1" applyFont="1" applyBorder="1" applyAlignment="1">
      <alignment horizontal="right" vertical="center"/>
    </xf>
    <xf numFmtId="177" fontId="0" fillId="0" borderId="108" xfId="3" applyNumberFormat="1" applyFont="1" applyBorder="1" applyAlignment="1">
      <alignment horizontal="left" vertical="center" shrinkToFit="1"/>
    </xf>
    <xf numFmtId="177" fontId="0" fillId="0" borderId="146" xfId="0" applyNumberFormat="1" applyFont="1" applyBorder="1" applyAlignment="1">
      <alignment vertical="center"/>
    </xf>
    <xf numFmtId="177" fontId="0" fillId="0" borderId="147" xfId="0" applyNumberFormat="1" applyFont="1" applyBorder="1" applyAlignment="1">
      <alignment vertical="center"/>
    </xf>
    <xf numFmtId="177" fontId="0" fillId="0" borderId="148" xfId="0" applyNumberFormat="1" applyFont="1" applyBorder="1" applyAlignment="1">
      <alignment vertical="center"/>
    </xf>
    <xf numFmtId="177" fontId="0" fillId="0" borderId="143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8" fontId="0" fillId="0" borderId="147" xfId="0" applyNumberFormat="1" applyFont="1" applyBorder="1" applyAlignment="1">
      <alignment horizontal="left" vertical="center"/>
    </xf>
    <xf numFmtId="177" fontId="0" fillId="0" borderId="147" xfId="3" applyNumberFormat="1" applyFont="1" applyBorder="1" applyAlignment="1">
      <alignment vertical="center" shrinkToFit="1"/>
    </xf>
    <xf numFmtId="177" fontId="0" fillId="0" borderId="150" xfId="3" applyNumberFormat="1" applyFont="1" applyBorder="1" applyAlignment="1">
      <alignment vertical="center"/>
    </xf>
    <xf numFmtId="177" fontId="0" fillId="0" borderId="151" xfId="3" applyNumberFormat="1" applyFont="1" applyBorder="1" applyAlignment="1">
      <alignment vertical="center"/>
    </xf>
    <xf numFmtId="177" fontId="0" fillId="0" borderId="147" xfId="0" applyNumberFormat="1" applyFont="1" applyFill="1" applyBorder="1" applyAlignment="1">
      <alignment vertical="center"/>
    </xf>
    <xf numFmtId="177" fontId="0" fillId="0" borderId="143" xfId="0" applyNumberFormat="1" applyFont="1" applyFill="1" applyBorder="1" applyAlignment="1">
      <alignment horizontal="center" vertical="center"/>
    </xf>
    <xf numFmtId="177" fontId="0" fillId="0" borderId="143" xfId="0" applyNumberFormat="1" applyFont="1" applyFill="1" applyBorder="1" applyAlignment="1">
      <alignment vertical="center"/>
    </xf>
    <xf numFmtId="177" fontId="0" fillId="0" borderId="147" xfId="0" applyNumberFormat="1" applyFill="1" applyBorder="1" applyAlignment="1">
      <alignment vertical="center"/>
    </xf>
    <xf numFmtId="178" fontId="0" fillId="0" borderId="143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9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7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7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7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1" xfId="0" applyNumberFormat="1" applyFont="1" applyFill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47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48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 shrinkToFit="1"/>
    </xf>
    <xf numFmtId="177" fontId="0" fillId="0" borderId="143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0" fontId="0" fillId="0" borderId="14" xfId="3" applyFont="1" applyFill="1" applyBorder="1" applyAlignment="1">
      <alignment vertical="center"/>
    </xf>
    <xf numFmtId="0" fontId="0" fillId="0" borderId="15" xfId="3" applyFont="1" applyFill="1" applyBorder="1" applyAlignment="1">
      <alignment vertical="center"/>
    </xf>
    <xf numFmtId="177" fontId="0" fillId="0" borderId="14" xfId="3" applyNumberFormat="1" applyFont="1" applyFill="1" applyBorder="1" applyAlignment="1">
      <alignment vertical="center"/>
    </xf>
    <xf numFmtId="177" fontId="0" fillId="0" borderId="15" xfId="3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47" xfId="0" applyNumberFormat="1" applyFont="1" applyFill="1" applyBorder="1" applyAlignment="1">
      <alignment horizontal="left" vertical="center"/>
    </xf>
    <xf numFmtId="177" fontId="0" fillId="0" borderId="147" xfId="3" applyNumberFormat="1" applyFont="1" applyFill="1" applyBorder="1" applyAlignment="1">
      <alignment vertical="center" shrinkToFit="1"/>
    </xf>
    <xf numFmtId="178" fontId="0" fillId="0" borderId="148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53" xfId="3" applyNumberFormat="1" applyFont="1" applyBorder="1" applyAlignment="1">
      <alignment horizontal="center" vertical="center" shrinkToFit="1"/>
    </xf>
    <xf numFmtId="177" fontId="0" fillId="0" borderId="75" xfId="3" applyNumberFormat="1" applyFont="1" applyBorder="1" applyAlignment="1">
      <alignment horizontal="center" vertical="center" shrinkToFit="1"/>
    </xf>
    <xf numFmtId="176" fontId="0" fillId="2" borderId="48" xfId="0" applyNumberFormat="1" applyFont="1" applyFill="1" applyBorder="1" applyAlignment="1">
      <alignment horizontal="center" vertical="center" shrinkToFit="1"/>
    </xf>
    <xf numFmtId="177" fontId="0" fillId="2" borderId="48" xfId="0" applyNumberFormat="1" applyFont="1" applyFill="1" applyBorder="1" applyAlignment="1">
      <alignment vertical="center" shrinkToFit="1"/>
    </xf>
    <xf numFmtId="177" fontId="0" fillId="0" borderId="158" xfId="3" applyNumberFormat="1" applyFont="1" applyBorder="1" applyAlignment="1">
      <alignment vertical="center" shrinkToFit="1"/>
    </xf>
    <xf numFmtId="176" fontId="0" fillId="0" borderId="158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38" xfId="0" applyNumberFormat="1" applyFont="1" applyFill="1" applyBorder="1" applyAlignment="1">
      <alignment horizontal="center" vertical="center" shrinkToFit="1"/>
    </xf>
    <xf numFmtId="177" fontId="0" fillId="2" borderId="38" xfId="0" applyNumberFormat="1" applyFont="1" applyFill="1" applyBorder="1" applyAlignment="1">
      <alignment vertical="center" shrinkToFit="1"/>
    </xf>
    <xf numFmtId="0" fontId="10" fillId="0" borderId="73" xfId="0" applyFont="1" applyBorder="1" applyAlignment="1">
      <alignment horizontal="center" vertical="center" shrinkToFit="1"/>
    </xf>
    <xf numFmtId="176" fontId="0" fillId="2" borderId="156" xfId="0" applyNumberFormat="1" applyFont="1" applyFill="1" applyBorder="1" applyAlignment="1">
      <alignment vertical="center" shrinkToFit="1"/>
    </xf>
    <xf numFmtId="176" fontId="0" fillId="2" borderId="63" xfId="0" applyNumberFormat="1" applyFont="1" applyFill="1" applyBorder="1" applyAlignment="1">
      <alignment vertical="center" shrinkToFit="1"/>
    </xf>
    <xf numFmtId="176" fontId="0" fillId="2" borderId="116" xfId="0" applyNumberFormat="1" applyFont="1" applyFill="1" applyBorder="1" applyAlignment="1">
      <alignment vertical="center" shrinkToFit="1"/>
    </xf>
    <xf numFmtId="177" fontId="0" fillId="0" borderId="35" xfId="3" applyNumberFormat="1" applyFont="1" applyBorder="1" applyAlignment="1">
      <alignment horizontal="center" vertical="center" shrinkToFit="1"/>
    </xf>
    <xf numFmtId="176" fontId="0" fillId="0" borderId="58" xfId="0" applyNumberFormat="1" applyFont="1" applyBorder="1" applyAlignment="1">
      <alignment vertical="center"/>
    </xf>
    <xf numFmtId="177" fontId="0" fillId="2" borderId="48" xfId="3" applyNumberFormat="1" applyFont="1" applyFill="1" applyBorder="1" applyAlignment="1">
      <alignment horizontal="center" vertical="center" shrinkToFit="1"/>
    </xf>
    <xf numFmtId="177" fontId="0" fillId="2" borderId="48" xfId="3" applyNumberFormat="1" applyFont="1" applyFill="1" applyBorder="1" applyAlignment="1">
      <alignment vertical="center" shrinkToFit="1"/>
    </xf>
    <xf numFmtId="176" fontId="0" fillId="6" borderId="156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3" xfId="0" applyNumberFormat="1" applyFont="1" applyBorder="1" applyAlignment="1">
      <alignment vertical="center" shrinkToFit="1"/>
    </xf>
    <xf numFmtId="177" fontId="0" fillId="0" borderId="113" xfId="0" applyNumberFormat="1" applyFont="1" applyBorder="1" applyAlignment="1">
      <alignment horizontal="center" vertical="center" shrinkToFit="1"/>
    </xf>
    <xf numFmtId="177" fontId="0" fillId="0" borderId="53" xfId="0" applyNumberFormat="1" applyFont="1" applyBorder="1" applyAlignment="1">
      <alignment horizontal="center" vertical="center" shrinkToFit="1"/>
    </xf>
    <xf numFmtId="177" fontId="0" fillId="0" borderId="114" xfId="0" applyNumberFormat="1" applyFont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vertical="center" shrinkToFit="1"/>
    </xf>
    <xf numFmtId="176" fontId="0" fillId="6" borderId="112" xfId="0" applyNumberFormat="1" applyFont="1" applyFill="1" applyBorder="1" applyAlignment="1">
      <alignment horizontal="center" vertical="center" shrinkToFit="1"/>
    </xf>
    <xf numFmtId="177" fontId="0" fillId="0" borderId="109" xfId="0" applyNumberFormat="1" applyFont="1" applyBorder="1" applyAlignment="1">
      <alignment horizontal="center" vertical="center" shrinkToFit="1"/>
    </xf>
    <xf numFmtId="177" fontId="0" fillId="2" borderId="135" xfId="0" applyNumberFormat="1" applyFont="1" applyFill="1" applyBorder="1" applyAlignment="1">
      <alignment horizontal="center" vertical="center" shrinkToFit="1"/>
    </xf>
    <xf numFmtId="177" fontId="0" fillId="0" borderId="35" xfId="0" applyNumberFormat="1" applyFont="1" applyBorder="1" applyAlignment="1">
      <alignment horizontal="center" vertical="center" shrinkToFit="1"/>
    </xf>
    <xf numFmtId="177" fontId="0" fillId="0" borderId="57" xfId="0" applyNumberFormat="1" applyFont="1" applyBorder="1" applyAlignment="1">
      <alignment horizontal="center" vertical="center" shrinkToFit="1"/>
    </xf>
    <xf numFmtId="176" fontId="0" fillId="0" borderId="159" xfId="0" applyNumberFormat="1" applyFont="1" applyBorder="1" applyAlignment="1">
      <alignment vertical="center"/>
    </xf>
    <xf numFmtId="176" fontId="0" fillId="0" borderId="162" xfId="0" applyNumberFormat="1" applyFont="1" applyBorder="1" applyAlignment="1">
      <alignment vertical="center"/>
    </xf>
    <xf numFmtId="176" fontId="0" fillId="0" borderId="133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179" fontId="0" fillId="0" borderId="158" xfId="0" applyNumberFormat="1" applyBorder="1" applyAlignment="1">
      <alignment vertical="center" shrinkToFit="1"/>
    </xf>
    <xf numFmtId="9" fontId="0" fillId="0" borderId="158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58" xfId="0" applyNumberFormat="1" applyFont="1" applyBorder="1" applyAlignment="1">
      <alignment vertical="center" shrinkToFit="1"/>
    </xf>
    <xf numFmtId="177" fontId="0" fillId="2" borderId="167" xfId="0" applyNumberFormat="1" applyFont="1" applyFill="1" applyBorder="1" applyAlignment="1">
      <alignment vertical="center" shrinkToFit="1"/>
    </xf>
    <xf numFmtId="176" fontId="0" fillId="2" borderId="168" xfId="0" applyNumberFormat="1" applyFont="1" applyFill="1" applyBorder="1" applyAlignment="1">
      <alignment vertical="center" shrinkToFit="1"/>
    </xf>
    <xf numFmtId="177" fontId="0" fillId="2" borderId="164" xfId="3" applyNumberFormat="1" applyFont="1" applyFill="1" applyBorder="1" applyAlignment="1">
      <alignment horizontal="center" vertical="center" shrinkToFit="1"/>
    </xf>
    <xf numFmtId="177" fontId="0" fillId="2" borderId="164" xfId="3" applyNumberFormat="1" applyFont="1" applyFill="1" applyBorder="1" applyAlignment="1">
      <alignment vertical="center" shrinkToFit="1"/>
    </xf>
    <xf numFmtId="176" fontId="0" fillId="6" borderId="169" xfId="0" applyNumberFormat="1" applyFont="1" applyFill="1" applyBorder="1" applyAlignment="1">
      <alignment vertical="center"/>
    </xf>
    <xf numFmtId="177" fontId="0" fillId="0" borderId="172" xfId="0" applyNumberFormat="1" applyFont="1" applyFill="1" applyBorder="1" applyAlignment="1">
      <alignment vertical="center" shrinkToFit="1"/>
    </xf>
    <xf numFmtId="177" fontId="0" fillId="0" borderId="173" xfId="0" applyNumberFormat="1" applyFont="1" applyFill="1" applyBorder="1" applyAlignment="1">
      <alignment vertical="center" shrinkToFit="1"/>
    </xf>
    <xf numFmtId="177" fontId="0" fillId="0" borderId="165" xfId="0" applyNumberFormat="1" applyFill="1" applyBorder="1" applyAlignment="1">
      <alignment vertical="center"/>
    </xf>
    <xf numFmtId="181" fontId="0" fillId="0" borderId="132" xfId="0" applyNumberFormat="1" applyFont="1" applyBorder="1" applyAlignment="1">
      <alignment horizontal="right" vertical="center"/>
    </xf>
    <xf numFmtId="181" fontId="0" fillId="3" borderId="94" xfId="1" applyNumberFormat="1" applyFont="1" applyFill="1" applyBorder="1" applyAlignment="1">
      <alignment horizontal="right" vertical="center"/>
    </xf>
    <xf numFmtId="177" fontId="0" fillId="0" borderId="7" xfId="0" applyNumberFormat="1" applyFill="1" applyBorder="1" applyAlignment="1">
      <alignment vertical="center" shrinkToFit="1"/>
    </xf>
    <xf numFmtId="181" fontId="0" fillId="0" borderId="131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165" xfId="0" applyNumberFormat="1" applyFont="1" applyBorder="1" applyAlignment="1">
      <alignment vertical="center" shrinkToFit="1"/>
    </xf>
    <xf numFmtId="176" fontId="0" fillId="0" borderId="143" xfId="0" applyNumberFormat="1" applyFont="1" applyBorder="1" applyAlignment="1">
      <alignment vertical="center" shrinkToFit="1"/>
    </xf>
    <xf numFmtId="176" fontId="3" fillId="0" borderId="178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wrapText="1" shrinkToFit="1"/>
    </xf>
    <xf numFmtId="176" fontId="11" fillId="0" borderId="2" xfId="0" applyNumberFormat="1" applyFont="1" applyBorder="1" applyAlignment="1">
      <alignment vertical="center" shrinkToFit="1"/>
    </xf>
    <xf numFmtId="176" fontId="11" fillId="2" borderId="2" xfId="0" applyNumberFormat="1" applyFont="1" applyFill="1" applyBorder="1" applyAlignment="1">
      <alignment vertical="center" shrinkToFit="1"/>
    </xf>
    <xf numFmtId="176" fontId="11" fillId="0" borderId="69" xfId="0" applyNumberFormat="1" applyFont="1" applyFill="1" applyBorder="1" applyAlignment="1">
      <alignment vertical="center" shrinkToFit="1"/>
    </xf>
    <xf numFmtId="176" fontId="0" fillId="0" borderId="178" xfId="0" applyNumberFormat="1" applyFont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horizontal="center" vertical="center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69" xfId="0" applyNumberFormat="1" applyFont="1" applyFill="1" applyBorder="1" applyAlignment="1">
      <alignment vertical="center" shrinkToFit="1"/>
    </xf>
    <xf numFmtId="0" fontId="10" fillId="0" borderId="172" xfId="2" applyFont="1" applyBorder="1" applyAlignment="1">
      <alignment vertical="center" wrapText="1"/>
    </xf>
    <xf numFmtId="0" fontId="10" fillId="0" borderId="47" xfId="2" applyFont="1" applyBorder="1" applyAlignment="1">
      <alignment vertical="center" wrapText="1"/>
    </xf>
    <xf numFmtId="0" fontId="10" fillId="0" borderId="165" xfId="2" applyFont="1" applyBorder="1" applyAlignment="1">
      <alignment horizontal="left" vertical="center"/>
    </xf>
    <xf numFmtId="0" fontId="10" fillId="0" borderId="165" xfId="2" applyFont="1" applyBorder="1" applyAlignment="1">
      <alignment vertical="center"/>
    </xf>
    <xf numFmtId="0" fontId="0" fillId="0" borderId="131" xfId="0" applyFont="1" applyBorder="1" applyAlignment="1">
      <alignment horizontal="center" vertical="center"/>
    </xf>
    <xf numFmtId="181" fontId="0" fillId="0" borderId="180" xfId="0" applyNumberFormat="1" applyFont="1" applyBorder="1" applyAlignment="1">
      <alignment horizontal="right" vertical="center"/>
    </xf>
    <xf numFmtId="181" fontId="0" fillId="3" borderId="132" xfId="1" applyNumberFormat="1" applyFont="1" applyFill="1" applyBorder="1" applyAlignment="1">
      <alignment horizontal="right" vertical="center"/>
    </xf>
    <xf numFmtId="3" fontId="8" fillId="0" borderId="185" xfId="0" applyNumberFormat="1" applyFont="1" applyFill="1" applyBorder="1" applyAlignment="1"/>
    <xf numFmtId="177" fontId="0" fillId="0" borderId="47" xfId="0" applyNumberFormat="1" applyFont="1" applyBorder="1" applyAlignment="1">
      <alignment horizontal="center" vertical="center" shrinkToFit="1"/>
    </xf>
    <xf numFmtId="176" fontId="0" fillId="6" borderId="11" xfId="0" applyNumberFormat="1" applyFont="1" applyFill="1" applyBorder="1" applyAlignment="1">
      <alignment horizontal="center" vertical="center" shrinkToFit="1"/>
    </xf>
    <xf numFmtId="183" fontId="0" fillId="6" borderId="11" xfId="0" applyNumberFormat="1" applyFont="1" applyFill="1" applyBorder="1" applyAlignment="1">
      <alignment vertical="center" shrinkToFit="1"/>
    </xf>
    <xf numFmtId="179" fontId="0" fillId="0" borderId="186" xfId="0" applyNumberFormat="1" applyFont="1" applyBorder="1" applyAlignment="1">
      <alignment horizontal="center" vertical="center" shrinkToFit="1"/>
    </xf>
    <xf numFmtId="179" fontId="0" fillId="0" borderId="182" xfId="0" applyNumberFormat="1" applyFont="1" applyBorder="1" applyAlignment="1">
      <alignment horizontal="center" vertical="center" shrinkToFit="1"/>
    </xf>
    <xf numFmtId="183" fontId="0" fillId="0" borderId="143" xfId="0" applyNumberFormat="1" applyFont="1" applyBorder="1" applyAlignment="1">
      <alignment vertical="center" shrinkToFit="1"/>
    </xf>
    <xf numFmtId="176" fontId="0" fillId="0" borderId="190" xfId="0" applyNumberFormat="1" applyFont="1" applyBorder="1" applyAlignment="1">
      <alignment vertical="center" shrinkToFit="1"/>
    </xf>
    <xf numFmtId="176" fontId="0" fillId="6" borderId="194" xfId="0" applyNumberFormat="1" applyFont="1" applyFill="1" applyBorder="1" applyAlignment="1">
      <alignment vertical="center" shrinkToFit="1"/>
    </xf>
    <xf numFmtId="176" fontId="0" fillId="6" borderId="196" xfId="0" applyNumberFormat="1" applyFont="1" applyFill="1" applyBorder="1" applyAlignment="1">
      <alignment vertical="center" shrinkToFit="1"/>
    </xf>
    <xf numFmtId="176" fontId="0" fillId="6" borderId="198" xfId="0" applyNumberFormat="1" applyFont="1" applyFill="1" applyBorder="1" applyAlignment="1">
      <alignment horizontal="center" vertical="center" shrinkToFit="1"/>
    </xf>
    <xf numFmtId="183" fontId="0" fillId="6" borderId="198" xfId="0" applyNumberFormat="1" applyFont="1" applyFill="1" applyBorder="1" applyAlignment="1">
      <alignment vertical="center" shrinkToFit="1"/>
    </xf>
    <xf numFmtId="183" fontId="0" fillId="6" borderId="199" xfId="0" applyNumberFormat="1" applyFont="1" applyFill="1" applyBorder="1" applyAlignment="1">
      <alignment vertical="center" shrinkToFit="1"/>
    </xf>
    <xf numFmtId="183" fontId="0" fillId="6" borderId="200" xfId="0" applyNumberFormat="1" applyFont="1" applyFill="1" applyBorder="1" applyAlignment="1">
      <alignment vertical="center" shrinkToFit="1"/>
    </xf>
    <xf numFmtId="176" fontId="0" fillId="6" borderId="201" xfId="0" applyNumberFormat="1" applyFont="1" applyFill="1" applyBorder="1" applyAlignment="1">
      <alignment vertical="center" shrinkToFit="1"/>
    </xf>
    <xf numFmtId="176" fontId="0" fillId="0" borderId="137" xfId="0" applyNumberFormat="1" applyFont="1" applyBorder="1" applyAlignment="1">
      <alignment vertical="center" shrinkToFit="1"/>
    </xf>
    <xf numFmtId="183" fontId="0" fillId="0" borderId="137" xfId="0" applyNumberFormat="1" applyFont="1" applyBorder="1" applyAlignment="1">
      <alignment vertical="center" shrinkToFit="1"/>
    </xf>
    <xf numFmtId="176" fontId="0" fillId="0" borderId="204" xfId="0" applyNumberFormat="1" applyFont="1" applyBorder="1" applyAlignment="1">
      <alignment vertical="center" shrinkToFit="1"/>
    </xf>
    <xf numFmtId="177" fontId="0" fillId="0" borderId="183" xfId="0" applyNumberFormat="1" applyFont="1" applyBorder="1" applyAlignment="1">
      <alignment vertical="center" shrinkToFit="1"/>
    </xf>
    <xf numFmtId="177" fontId="0" fillId="0" borderId="183" xfId="0" applyNumberFormat="1" applyFont="1" applyBorder="1" applyAlignment="1">
      <alignment horizontal="center" vertical="center" shrinkToFit="1"/>
    </xf>
    <xf numFmtId="177" fontId="0" fillId="0" borderId="165" xfId="0" applyNumberFormat="1" applyFont="1" applyBorder="1" applyAlignment="1">
      <alignment horizontal="center" vertical="center" shrinkToFit="1"/>
    </xf>
    <xf numFmtId="176" fontId="0" fillId="0" borderId="206" xfId="0" applyNumberFormat="1" applyFont="1" applyBorder="1" applyAlignment="1">
      <alignment vertical="center" shrinkToFit="1"/>
    </xf>
    <xf numFmtId="183" fontId="0" fillId="0" borderId="206" xfId="0" applyNumberFormat="1" applyFont="1" applyBorder="1" applyAlignment="1">
      <alignment vertical="center" shrinkToFit="1"/>
    </xf>
    <xf numFmtId="176" fontId="0" fillId="0" borderId="205" xfId="0" applyNumberFormat="1" applyFont="1" applyBorder="1" applyAlignment="1">
      <alignment vertical="center" shrinkToFit="1"/>
    </xf>
    <xf numFmtId="176" fontId="0" fillId="0" borderId="208" xfId="0" applyNumberFormat="1" applyFont="1" applyBorder="1" applyAlignment="1">
      <alignment vertical="center" shrinkToFit="1"/>
    </xf>
    <xf numFmtId="183" fontId="0" fillId="0" borderId="208" xfId="0" applyNumberFormat="1" applyFont="1" applyBorder="1" applyAlignment="1">
      <alignment vertical="center" shrinkToFit="1"/>
    </xf>
    <xf numFmtId="176" fontId="0" fillId="0" borderId="207" xfId="0" applyNumberFormat="1" applyFont="1" applyBorder="1" applyAlignment="1">
      <alignment vertical="center" shrinkToFit="1"/>
    </xf>
    <xf numFmtId="176" fontId="0" fillId="0" borderId="53" xfId="0" applyNumberFormat="1" applyFont="1" applyFill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47" xfId="0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35" xfId="3" applyNumberFormat="1" applyFont="1" applyBorder="1" applyAlignment="1">
      <alignment horizontal="center" vertical="center" shrinkToFit="1"/>
    </xf>
    <xf numFmtId="185" fontId="0" fillId="0" borderId="1" xfId="0" applyNumberFormat="1" applyFont="1" applyBorder="1" applyAlignment="1">
      <alignment vertical="center" shrinkToFit="1"/>
    </xf>
    <xf numFmtId="186" fontId="0" fillId="0" borderId="1" xfId="0" applyNumberFormat="1" applyFont="1" applyBorder="1" applyAlignment="1">
      <alignment vertical="center" shrinkToFit="1"/>
    </xf>
    <xf numFmtId="187" fontId="0" fillId="0" borderId="1" xfId="0" applyNumberFormat="1" applyFont="1" applyBorder="1" applyAlignment="1">
      <alignment vertical="center" shrinkToFit="1"/>
    </xf>
    <xf numFmtId="188" fontId="0" fillId="0" borderId="1" xfId="0" applyNumberFormat="1" applyFont="1" applyBorder="1" applyAlignment="1">
      <alignment vertical="center" shrinkToFit="1"/>
    </xf>
    <xf numFmtId="182" fontId="0" fillId="0" borderId="212" xfId="4" applyNumberFormat="1" applyFont="1" applyBorder="1" applyAlignment="1">
      <alignment vertical="center" shrinkToFit="1"/>
    </xf>
    <xf numFmtId="176" fontId="0" fillId="0" borderId="212" xfId="0" applyNumberFormat="1" applyFont="1" applyBorder="1" applyAlignment="1">
      <alignment vertical="center" shrinkToFit="1"/>
    </xf>
    <xf numFmtId="176" fontId="0" fillId="0" borderId="213" xfId="0" applyNumberFormat="1" applyFont="1" applyBorder="1" applyAlignment="1">
      <alignment vertical="center" shrinkToFit="1"/>
    </xf>
    <xf numFmtId="3" fontId="8" fillId="0" borderId="214" xfId="0" applyNumberFormat="1" applyFont="1" applyFill="1" applyBorder="1" applyAlignment="1"/>
    <xf numFmtId="38" fontId="0" fillId="0" borderId="1" xfId="1" applyFont="1" applyFill="1" applyBorder="1" applyAlignment="1">
      <alignment vertical="center" shrinkToFit="1"/>
    </xf>
    <xf numFmtId="181" fontId="0" fillId="0" borderId="215" xfId="0" applyNumberFormat="1" applyFont="1" applyBorder="1" applyAlignment="1">
      <alignment horizontal="right" vertical="center"/>
    </xf>
    <xf numFmtId="184" fontId="0" fillId="0" borderId="76" xfId="0" applyNumberFormat="1" applyFont="1" applyBorder="1" applyAlignment="1">
      <alignment horizontal="center" vertical="center"/>
    </xf>
    <xf numFmtId="189" fontId="0" fillId="0" borderId="148" xfId="0" applyNumberFormat="1" applyFont="1" applyBorder="1" applyAlignment="1">
      <alignment vertical="center"/>
    </xf>
    <xf numFmtId="190" fontId="0" fillId="0" borderId="148" xfId="0" applyNumberFormat="1" applyFont="1" applyFill="1" applyBorder="1" applyAlignment="1">
      <alignment vertical="center"/>
    </xf>
    <xf numFmtId="190" fontId="0" fillId="0" borderId="15" xfId="0" applyNumberFormat="1" applyFont="1" applyFill="1" applyBorder="1" applyAlignment="1">
      <alignment vertical="center"/>
    </xf>
    <xf numFmtId="191" fontId="0" fillId="0" borderId="149" xfId="3" applyNumberFormat="1" applyFont="1" applyBorder="1" applyAlignment="1">
      <alignment vertical="center"/>
    </xf>
    <xf numFmtId="177" fontId="0" fillId="0" borderId="226" xfId="0" applyNumberFormat="1" applyFont="1" applyFill="1" applyBorder="1" applyAlignment="1">
      <alignment vertical="center" shrinkToFit="1"/>
    </xf>
    <xf numFmtId="177" fontId="0" fillId="0" borderId="227" xfId="0" applyNumberFormat="1" applyFont="1" applyFill="1" applyBorder="1" applyAlignment="1">
      <alignment vertical="center" shrinkToFit="1"/>
    </xf>
    <xf numFmtId="177" fontId="0" fillId="0" borderId="228" xfId="0" applyNumberFormat="1" applyFill="1" applyBorder="1" applyAlignment="1">
      <alignment vertical="center" shrinkToFit="1"/>
    </xf>
    <xf numFmtId="176" fontId="3" fillId="0" borderId="70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6" fontId="0" fillId="0" borderId="70" xfId="0" applyNumberForma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6" fontId="0" fillId="0" borderId="24" xfId="0" applyNumberFormat="1" applyFont="1" applyBorder="1" applyAlignment="1">
      <alignment vertical="center"/>
    </xf>
    <xf numFmtId="176" fontId="0" fillId="0" borderId="158" xfId="0" applyNumberFormat="1" applyFont="1" applyBorder="1" applyAlignment="1">
      <alignment vertical="center"/>
    </xf>
    <xf numFmtId="179" fontId="0" fillId="5" borderId="24" xfId="0" applyNumberFormat="1" applyFont="1" applyFill="1" applyBorder="1" applyAlignment="1">
      <alignment vertical="center"/>
    </xf>
    <xf numFmtId="179" fontId="0" fillId="0" borderId="24" xfId="0" applyNumberFormat="1" applyFont="1" applyBorder="1" applyAlignment="1">
      <alignment vertical="center"/>
    </xf>
    <xf numFmtId="176" fontId="0" fillId="0" borderId="231" xfId="0" applyNumberFormat="1" applyFont="1" applyBorder="1" applyAlignment="1">
      <alignment vertical="center"/>
    </xf>
    <xf numFmtId="0" fontId="10" fillId="0" borderId="183" xfId="2" applyFont="1" applyBorder="1" applyAlignment="1">
      <alignment vertical="center" wrapText="1"/>
    </xf>
    <xf numFmtId="0" fontId="0" fillId="0" borderId="183" xfId="2" applyFont="1" applyBorder="1" applyAlignment="1">
      <alignment vertical="center" wrapText="1"/>
    </xf>
    <xf numFmtId="0" fontId="10" fillId="0" borderId="183" xfId="2" applyFont="1" applyBorder="1" applyAlignment="1">
      <alignment horizontal="left" vertical="center" wrapText="1"/>
    </xf>
    <xf numFmtId="0" fontId="3" fillId="0" borderId="183" xfId="2" applyFont="1" applyBorder="1" applyAlignment="1">
      <alignment horizontal="left" vertical="center" wrapText="1"/>
    </xf>
    <xf numFmtId="0" fontId="0" fillId="0" borderId="183" xfId="2" applyFont="1" applyBorder="1" applyAlignment="1">
      <alignment horizontal="left" vertical="center" wrapText="1"/>
    </xf>
    <xf numFmtId="176" fontId="0" fillId="0" borderId="32" xfId="0" applyNumberFormat="1" applyFont="1" applyBorder="1" applyAlignment="1">
      <alignment vertical="center"/>
    </xf>
    <xf numFmtId="176" fontId="0" fillId="0" borderId="37" xfId="0" applyNumberFormat="1" applyFont="1" applyBorder="1" applyAlignment="1">
      <alignment vertical="center"/>
    </xf>
    <xf numFmtId="176" fontId="0" fillId="0" borderId="87" xfId="0" applyNumberFormat="1" applyFont="1" applyFill="1" applyBorder="1" applyAlignment="1">
      <alignment vertical="center" shrinkToFit="1"/>
    </xf>
    <xf numFmtId="176" fontId="0" fillId="0" borderId="36" xfId="0" applyNumberFormat="1" applyFont="1" applyBorder="1" applyAlignment="1">
      <alignment vertical="center"/>
    </xf>
    <xf numFmtId="176" fontId="0" fillId="0" borderId="36" xfId="0" applyNumberFormat="1" applyBorder="1" applyAlignment="1">
      <alignment vertical="center"/>
    </xf>
    <xf numFmtId="0" fontId="3" fillId="0" borderId="22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0" fontId="3" fillId="0" borderId="181" xfId="2" applyFont="1" applyFill="1" applyBorder="1" applyAlignment="1">
      <alignment vertical="center" wrapText="1"/>
    </xf>
    <xf numFmtId="0" fontId="0" fillId="0" borderId="27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47" xfId="2" applyFont="1" applyBorder="1" applyAlignment="1">
      <alignment horizontal="center" vertical="center" wrapText="1"/>
    </xf>
    <xf numFmtId="0" fontId="0" fillId="0" borderId="119" xfId="2" applyFont="1" applyBorder="1" applyAlignment="1">
      <alignment horizontal="center" vertical="center" wrapText="1"/>
    </xf>
    <xf numFmtId="0" fontId="10" fillId="0" borderId="233" xfId="2" applyFont="1" applyBorder="1" applyAlignment="1">
      <alignment horizontal="center" vertical="center" wrapText="1"/>
    </xf>
    <xf numFmtId="0" fontId="10" fillId="0" borderId="209" xfId="2" applyFont="1" applyBorder="1" applyAlignment="1">
      <alignment horizontal="center" vertical="center" wrapText="1"/>
    </xf>
    <xf numFmtId="0" fontId="10" fillId="0" borderId="183" xfId="2" applyFont="1" applyBorder="1" applyAlignment="1">
      <alignment horizontal="center" vertical="center" wrapText="1"/>
    </xf>
    <xf numFmtId="0" fontId="10" fillId="0" borderId="210" xfId="2" applyFont="1" applyBorder="1" applyAlignment="1">
      <alignment vertical="center" wrapText="1"/>
    </xf>
    <xf numFmtId="0" fontId="0" fillId="0" borderId="183" xfId="2" applyFont="1" applyBorder="1" applyAlignment="1">
      <alignment horizontal="center" vertical="center" shrinkToFit="1"/>
    </xf>
    <xf numFmtId="0" fontId="3" fillId="0" borderId="183" xfId="2" applyFont="1" applyBorder="1" applyAlignment="1">
      <alignment horizontal="center" vertical="center" shrinkToFit="1"/>
    </xf>
    <xf numFmtId="0" fontId="3" fillId="0" borderId="210" xfId="2" applyFont="1" applyBorder="1" applyAlignment="1">
      <alignment horizontal="center" vertical="center" shrinkToFit="1"/>
    </xf>
    <xf numFmtId="0" fontId="3" fillId="0" borderId="183" xfId="2" applyFont="1" applyBorder="1" applyAlignment="1">
      <alignment horizontal="center" vertical="center" wrapText="1"/>
    </xf>
    <xf numFmtId="192" fontId="3" fillId="0" borderId="183" xfId="2" applyNumberFormat="1" applyFont="1" applyBorder="1" applyAlignment="1">
      <alignment horizontal="center" vertical="center" wrapText="1"/>
    </xf>
    <xf numFmtId="0" fontId="10" fillId="0" borderId="210" xfId="2" applyFont="1" applyBorder="1" applyAlignment="1">
      <alignment horizontal="center" vertical="center" wrapText="1"/>
    </xf>
    <xf numFmtId="0" fontId="3" fillId="0" borderId="210" xfId="2" applyFont="1" applyBorder="1" applyAlignment="1">
      <alignment horizontal="center" vertical="center" wrapText="1"/>
    </xf>
    <xf numFmtId="0" fontId="10" fillId="0" borderId="199" xfId="2" applyFont="1" applyBorder="1" applyAlignment="1">
      <alignment horizontal="left" vertical="center" wrapText="1"/>
    </xf>
    <xf numFmtId="0" fontId="0" fillId="0" borderId="199" xfId="2" applyFont="1" applyBorder="1" applyAlignment="1">
      <alignment horizontal="left" vertical="center" wrapText="1"/>
    </xf>
    <xf numFmtId="0" fontId="3" fillId="0" borderId="199" xfId="2" applyFont="1" applyBorder="1" applyAlignment="1">
      <alignment horizontal="center" vertical="center" wrapText="1"/>
    </xf>
    <xf numFmtId="0" fontId="3" fillId="0" borderId="201" xfId="2" applyFont="1" applyBorder="1" applyAlignment="1">
      <alignment horizontal="center" vertical="center" wrapText="1"/>
    </xf>
    <xf numFmtId="0" fontId="3" fillId="0" borderId="210" xfId="2" applyFont="1" applyBorder="1" applyAlignment="1">
      <alignment horizontal="left" vertical="center" wrapText="1"/>
    </xf>
    <xf numFmtId="0" fontId="3" fillId="0" borderId="199" xfId="2" applyFont="1" applyBorder="1" applyAlignment="1">
      <alignment horizontal="left" vertical="center" wrapText="1"/>
    </xf>
    <xf numFmtId="0" fontId="3" fillId="0" borderId="201" xfId="2" applyFont="1" applyBorder="1" applyAlignment="1">
      <alignment horizontal="left" vertical="center" wrapText="1"/>
    </xf>
    <xf numFmtId="176" fontId="0" fillId="0" borderId="230" xfId="0" applyNumberFormat="1" applyFont="1" applyBorder="1" applyAlignment="1">
      <alignment vertical="center" shrinkToFit="1"/>
    </xf>
    <xf numFmtId="177" fontId="0" fillId="0" borderId="87" xfId="0" applyNumberFormat="1" applyFont="1" applyFill="1" applyBorder="1" applyAlignment="1">
      <alignment vertical="center" shrinkToFit="1"/>
    </xf>
    <xf numFmtId="0" fontId="10" fillId="0" borderId="183" xfId="2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/>
    </xf>
    <xf numFmtId="177" fontId="0" fillId="0" borderId="87" xfId="0" applyNumberFormat="1" applyFont="1" applyFill="1" applyBorder="1" applyAlignment="1">
      <alignment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87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47" xfId="0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6" fontId="11" fillId="0" borderId="87" xfId="0" applyNumberFormat="1" applyFont="1" applyFill="1" applyBorder="1" applyAlignment="1">
      <alignment vertical="center" shrinkToFit="1"/>
    </xf>
    <xf numFmtId="177" fontId="0" fillId="0" borderId="49" xfId="3" applyNumberFormat="1" applyFont="1" applyBorder="1" applyAlignment="1">
      <alignment vertical="center" shrinkToFit="1"/>
    </xf>
    <xf numFmtId="177" fontId="0" fillId="0" borderId="231" xfId="3" applyNumberFormat="1" applyFont="1" applyBorder="1" applyAlignment="1">
      <alignment vertical="center" shrinkToFit="1"/>
    </xf>
    <xf numFmtId="177" fontId="0" fillId="0" borderId="14" xfId="0" applyNumberFormat="1" applyFill="1" applyBorder="1" applyAlignment="1">
      <alignment vertical="center"/>
    </xf>
    <xf numFmtId="177" fontId="0" fillId="0" borderId="87" xfId="0" applyNumberFormat="1" applyFont="1" applyFill="1" applyBorder="1" applyAlignment="1">
      <alignment vertical="center"/>
    </xf>
    <xf numFmtId="183" fontId="0" fillId="0" borderId="229" xfId="0" applyNumberFormat="1" applyFont="1" applyBorder="1" applyAlignment="1">
      <alignment vertical="center" shrinkToFit="1"/>
    </xf>
    <xf numFmtId="183" fontId="0" fillId="6" borderId="238" xfId="0" applyNumberFormat="1" applyFont="1" applyFill="1" applyBorder="1" applyAlignment="1">
      <alignment vertical="center" shrinkToFit="1"/>
    </xf>
    <xf numFmtId="183" fontId="0" fillId="6" borderId="239" xfId="0" applyNumberFormat="1" applyFont="1" applyFill="1" applyBorder="1" applyAlignment="1">
      <alignment vertical="center" shrinkToFit="1"/>
    </xf>
    <xf numFmtId="183" fontId="0" fillId="6" borderId="240" xfId="0" applyNumberFormat="1" applyFont="1" applyFill="1" applyBorder="1" applyAlignment="1">
      <alignment vertical="center" shrinkToFit="1"/>
    </xf>
    <xf numFmtId="177" fontId="0" fillId="0" borderId="241" xfId="0" applyNumberFormat="1" applyFont="1" applyBorder="1" applyAlignment="1">
      <alignment vertical="center" shrinkToFit="1"/>
    </xf>
    <xf numFmtId="177" fontId="0" fillId="0" borderId="47" xfId="0" applyNumberFormat="1" applyFill="1" applyBorder="1" applyAlignment="1">
      <alignment vertical="center"/>
    </xf>
    <xf numFmtId="0" fontId="2" fillId="0" borderId="0" xfId="12" applyAlignment="1">
      <alignment horizontal="center" vertical="center"/>
    </xf>
    <xf numFmtId="0" fontId="2" fillId="0" borderId="0" xfId="12">
      <alignment vertical="center"/>
    </xf>
    <xf numFmtId="0" fontId="2" fillId="0" borderId="153" xfId="12" applyBorder="1">
      <alignment vertical="center"/>
    </xf>
    <xf numFmtId="0" fontId="2" fillId="0" borderId="35" xfId="12" applyBorder="1">
      <alignment vertical="center"/>
    </xf>
    <xf numFmtId="0" fontId="2" fillId="0" borderId="57" xfId="12" applyBorder="1">
      <alignment vertical="center"/>
    </xf>
    <xf numFmtId="0" fontId="2" fillId="0" borderId="51" xfId="12" applyFill="1" applyBorder="1">
      <alignment vertical="center"/>
    </xf>
    <xf numFmtId="0" fontId="2" fillId="0" borderId="97" xfId="12" applyBorder="1">
      <alignment vertical="center"/>
    </xf>
    <xf numFmtId="0" fontId="2" fillId="0" borderId="24" xfId="12" applyBorder="1">
      <alignment vertical="center"/>
    </xf>
    <xf numFmtId="38" fontId="0" fillId="0" borderId="24" xfId="13" applyFont="1" applyBorder="1">
      <alignment vertical="center"/>
    </xf>
    <xf numFmtId="0" fontId="2" fillId="0" borderId="58" xfId="12" applyBorder="1">
      <alignment vertical="center"/>
    </xf>
    <xf numFmtId="0" fontId="2" fillId="0" borderId="98" xfId="12" applyBorder="1">
      <alignment vertical="center"/>
    </xf>
    <xf numFmtId="0" fontId="2" fillId="0" borderId="45" xfId="12" applyBorder="1">
      <alignment vertical="center"/>
    </xf>
    <xf numFmtId="38" fontId="0" fillId="0" borderId="45" xfId="13" applyFont="1" applyBorder="1">
      <alignment vertical="center"/>
    </xf>
    <xf numFmtId="0" fontId="2" fillId="0" borderId="60" xfId="12" applyBorder="1">
      <alignment vertical="center"/>
    </xf>
    <xf numFmtId="0" fontId="2" fillId="0" borderId="106" xfId="12" applyBorder="1">
      <alignment vertical="center"/>
    </xf>
    <xf numFmtId="0" fontId="2" fillId="0" borderId="76" xfId="12" applyBorder="1">
      <alignment vertical="center"/>
    </xf>
    <xf numFmtId="38" fontId="0" fillId="0" borderId="76" xfId="13" applyFont="1" applyBorder="1">
      <alignment vertical="center"/>
    </xf>
    <xf numFmtId="38" fontId="2" fillId="0" borderId="110" xfId="12" applyNumberFormat="1" applyBorder="1">
      <alignment vertical="center"/>
    </xf>
    <xf numFmtId="38" fontId="0" fillId="0" borderId="0" xfId="13" applyFont="1">
      <alignment vertical="center"/>
    </xf>
    <xf numFmtId="0" fontId="3" fillId="0" borderId="25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0" fontId="3" fillId="0" borderId="29" xfId="2" applyFont="1" applyBorder="1" applyAlignment="1">
      <alignment horizontal="center" vertical="center" wrapText="1"/>
    </xf>
    <xf numFmtId="177" fontId="0" fillId="0" borderId="87" xfId="0" applyNumberFormat="1" applyFont="1" applyFill="1" applyBorder="1" applyAlignment="1">
      <alignment vertical="center"/>
    </xf>
    <xf numFmtId="176" fontId="0" fillId="0" borderId="158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0" fontId="1" fillId="0" borderId="0" xfId="12" applyFont="1">
      <alignment vertical="center"/>
    </xf>
    <xf numFmtId="177" fontId="0" fillId="2" borderId="137" xfId="0" applyNumberFormat="1" applyFill="1" applyBorder="1" applyAlignment="1">
      <alignment vertical="center"/>
    </xf>
    <xf numFmtId="177" fontId="0" fillId="2" borderId="243" xfId="0" applyNumberFormat="1" applyFont="1" applyFill="1" applyBorder="1" applyAlignment="1">
      <alignment vertical="center"/>
    </xf>
    <xf numFmtId="177" fontId="0" fillId="2" borderId="137" xfId="0" applyNumberFormat="1" applyFont="1" applyFill="1" applyBorder="1" applyAlignment="1">
      <alignment vertical="center"/>
    </xf>
    <xf numFmtId="177" fontId="0" fillId="2" borderId="226" xfId="0" applyNumberFormat="1" applyFont="1" applyFill="1" applyBorder="1" applyAlignment="1">
      <alignment vertical="center"/>
    </xf>
    <xf numFmtId="177" fontId="0" fillId="0" borderId="147" xfId="0" applyNumberFormat="1" applyFill="1" applyBorder="1" applyAlignment="1">
      <alignment vertical="center" shrinkToFit="1"/>
    </xf>
    <xf numFmtId="177" fontId="0" fillId="0" borderId="245" xfId="0" applyNumberFormat="1" applyFont="1" applyFill="1" applyBorder="1" applyAlignment="1">
      <alignment horizontal="center" vertical="center" shrinkToFit="1"/>
    </xf>
    <xf numFmtId="177" fontId="0" fillId="0" borderId="247" xfId="0" applyNumberFormat="1" applyFill="1" applyBorder="1" applyAlignment="1">
      <alignment vertical="center" shrinkToFit="1"/>
    </xf>
    <xf numFmtId="184" fontId="10" fillId="0" borderId="184" xfId="2" applyNumberFormat="1" applyFont="1" applyFill="1" applyBorder="1" applyAlignment="1">
      <alignment vertical="center" wrapText="1"/>
    </xf>
    <xf numFmtId="184" fontId="10" fillId="0" borderId="183" xfId="2" applyNumberFormat="1" applyFont="1" applyFill="1" applyBorder="1" applyAlignment="1">
      <alignment vertical="center" wrapText="1"/>
    </xf>
    <xf numFmtId="0" fontId="3" fillId="0" borderId="165" xfId="2" applyFont="1" applyBorder="1" applyAlignment="1">
      <alignment horizontal="center" vertical="center" wrapText="1"/>
    </xf>
    <xf numFmtId="0" fontId="3" fillId="0" borderId="172" xfId="2" applyFont="1" applyBorder="1" applyAlignment="1">
      <alignment horizontal="center" vertical="center" wrapText="1"/>
    </xf>
    <xf numFmtId="0" fontId="0" fillId="0" borderId="172" xfId="2" applyFont="1" applyBorder="1" applyAlignment="1">
      <alignment horizontal="center" vertical="center" wrapText="1"/>
    </xf>
    <xf numFmtId="0" fontId="3" fillId="0" borderId="173" xfId="2" applyFont="1" applyBorder="1" applyAlignment="1">
      <alignment horizontal="center" vertical="center" wrapText="1"/>
    </xf>
    <xf numFmtId="0" fontId="0" fillId="0" borderId="25" xfId="2" applyFont="1" applyBorder="1" applyAlignment="1">
      <alignment vertical="center"/>
    </xf>
    <xf numFmtId="0" fontId="3" fillId="0" borderId="26" xfId="2" applyFont="1" applyBorder="1" applyAlignment="1">
      <alignment vertical="center" wrapText="1"/>
    </xf>
    <xf numFmtId="0" fontId="3" fillId="0" borderId="119" xfId="2" applyFont="1" applyBorder="1" applyAlignment="1">
      <alignment vertical="center" wrapText="1"/>
    </xf>
    <xf numFmtId="0" fontId="0" fillId="0" borderId="137" xfId="2" applyFont="1" applyBorder="1" applyAlignment="1">
      <alignment vertical="center"/>
    </xf>
    <xf numFmtId="0" fontId="3" fillId="0" borderId="243" xfId="2" applyFont="1" applyBorder="1" applyAlignment="1">
      <alignment vertical="center" wrapText="1"/>
    </xf>
    <xf numFmtId="0" fontId="3" fillId="0" borderId="138" xfId="2" applyFont="1" applyBorder="1" applyAlignment="1">
      <alignment vertical="center" wrapText="1"/>
    </xf>
    <xf numFmtId="0" fontId="3" fillId="0" borderId="206" xfId="2" applyFont="1" applyBorder="1" applyAlignment="1">
      <alignment horizontal="center" vertical="center" wrapText="1"/>
    </xf>
    <xf numFmtId="0" fontId="3" fillId="0" borderId="218" xfId="2" applyFont="1" applyBorder="1" applyAlignment="1">
      <alignment horizontal="center" vertical="center" wrapText="1"/>
    </xf>
    <xf numFmtId="0" fontId="3" fillId="0" borderId="248" xfId="2" applyFont="1" applyBorder="1" applyAlignment="1">
      <alignment horizontal="center" vertical="center" wrapText="1"/>
    </xf>
    <xf numFmtId="0" fontId="3" fillId="0" borderId="249" xfId="2" applyFont="1" applyBorder="1" applyAlignment="1">
      <alignment horizontal="center" vertical="center" wrapText="1"/>
    </xf>
    <xf numFmtId="0" fontId="3" fillId="0" borderId="250" xfId="2" applyFont="1" applyBorder="1" applyAlignment="1">
      <alignment horizontal="center" vertical="center" wrapText="1"/>
    </xf>
    <xf numFmtId="0" fontId="3" fillId="0" borderId="149" xfId="2" applyFont="1" applyBorder="1" applyAlignment="1">
      <alignment horizontal="center" vertical="center" wrapText="1"/>
    </xf>
    <xf numFmtId="0" fontId="3" fillId="0" borderId="137" xfId="2" applyFont="1" applyBorder="1" applyAlignment="1">
      <alignment horizontal="center" vertical="center" wrapText="1"/>
    </xf>
    <xf numFmtId="0" fontId="3" fillId="0" borderId="243" xfId="2" applyFont="1" applyBorder="1" applyAlignment="1">
      <alignment horizontal="center" vertical="center" wrapText="1"/>
    </xf>
    <xf numFmtId="0" fontId="3" fillId="0" borderId="138" xfId="2" applyFont="1" applyBorder="1" applyAlignment="1">
      <alignment horizontal="center" vertical="center" wrapText="1"/>
    </xf>
    <xf numFmtId="0" fontId="3" fillId="0" borderId="251" xfId="2" applyFont="1" applyBorder="1" applyAlignment="1">
      <alignment horizontal="center" vertical="center" wrapText="1"/>
    </xf>
    <xf numFmtId="0" fontId="3" fillId="0" borderId="252" xfId="2" applyFont="1" applyBorder="1" applyAlignment="1">
      <alignment horizontal="center" vertical="center" wrapText="1"/>
    </xf>
    <xf numFmtId="0" fontId="3" fillId="0" borderId="253" xfId="2" applyFont="1" applyBorder="1" applyAlignment="1">
      <alignment horizontal="center" vertical="center" wrapText="1"/>
    </xf>
    <xf numFmtId="193" fontId="0" fillId="0" borderId="148" xfId="0" applyNumberFormat="1" applyFont="1" applyFill="1" applyBorder="1" applyAlignment="1">
      <alignment vertical="center"/>
    </xf>
    <xf numFmtId="189" fontId="0" fillId="0" borderId="148" xfId="0" applyNumberFormat="1" applyFont="1" applyFill="1" applyBorder="1" applyAlignment="1">
      <alignment vertical="center"/>
    </xf>
    <xf numFmtId="182" fontId="0" fillId="0" borderId="147" xfId="0" applyNumberFormat="1" applyFont="1" applyFill="1" applyBorder="1" applyAlignment="1">
      <alignment vertical="center"/>
    </xf>
    <xf numFmtId="177" fontId="0" fillId="0" borderId="87" xfId="0" applyNumberFormat="1" applyFont="1" applyFill="1" applyBorder="1" applyAlignment="1">
      <alignment vertical="center" shrinkToFit="1"/>
    </xf>
    <xf numFmtId="0" fontId="0" fillId="0" borderId="183" xfId="2" applyFont="1" applyFill="1" applyBorder="1" applyAlignment="1">
      <alignment horizontal="left" vertical="center" wrapText="1"/>
    </xf>
    <xf numFmtId="0" fontId="10" fillId="0" borderId="183" xfId="2" applyFont="1" applyFill="1" applyBorder="1" applyAlignment="1">
      <alignment horizontal="center" vertical="center"/>
    </xf>
    <xf numFmtId="0" fontId="0" fillId="0" borderId="183" xfId="2" applyFont="1" applyFill="1" applyBorder="1" applyAlignment="1">
      <alignment horizontal="center" vertical="center" wrapText="1"/>
    </xf>
    <xf numFmtId="0" fontId="10" fillId="0" borderId="183" xfId="2" applyFont="1" applyFill="1" applyBorder="1" applyAlignment="1">
      <alignment vertical="center" wrapText="1"/>
    </xf>
    <xf numFmtId="0" fontId="10" fillId="0" borderId="254" xfId="2" applyFont="1" applyFill="1" applyBorder="1" applyAlignment="1">
      <alignment vertical="center" wrapText="1"/>
    </xf>
    <xf numFmtId="0" fontId="0" fillId="0" borderId="183" xfId="2" applyFont="1" applyFill="1" applyBorder="1" applyAlignment="1">
      <alignment horizontal="center" vertical="center" shrinkToFit="1"/>
    </xf>
    <xf numFmtId="0" fontId="3" fillId="0" borderId="183" xfId="2" applyFont="1" applyFill="1" applyBorder="1" applyAlignment="1">
      <alignment horizontal="center" vertical="center" shrinkToFit="1"/>
    </xf>
    <xf numFmtId="0" fontId="0" fillId="0" borderId="183" xfId="2" applyFont="1" applyFill="1" applyBorder="1" applyAlignment="1">
      <alignment vertical="center" wrapText="1"/>
    </xf>
    <xf numFmtId="0" fontId="3" fillId="0" borderId="183" xfId="2" applyFont="1" applyFill="1" applyBorder="1" applyAlignment="1">
      <alignment horizontal="center" vertical="center" wrapText="1"/>
    </xf>
    <xf numFmtId="192" fontId="3" fillId="0" borderId="183" xfId="2" applyNumberFormat="1" applyFont="1" applyFill="1" applyBorder="1" applyAlignment="1">
      <alignment horizontal="center" vertical="center" wrapText="1"/>
    </xf>
    <xf numFmtId="181" fontId="0" fillId="0" borderId="37" xfId="0" applyNumberFormat="1" applyFont="1" applyFill="1" applyBorder="1" applyAlignment="1">
      <alignment horizontal="right" vertical="center"/>
    </xf>
    <xf numFmtId="177" fontId="0" fillId="0" borderId="74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87" xfId="0" applyNumberFormat="1" applyFont="1" applyFill="1" applyBorder="1" applyAlignment="1">
      <alignment horizontal="center" vertical="center" shrinkToFit="1"/>
    </xf>
    <xf numFmtId="177" fontId="0" fillId="0" borderId="143" xfId="0" applyNumberFormat="1" applyFill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178" fontId="0" fillId="0" borderId="143" xfId="0" applyNumberFormat="1" applyFont="1" applyFill="1" applyBorder="1" applyAlignment="1">
      <alignment horizontal="center" vertical="center"/>
    </xf>
    <xf numFmtId="177" fontId="0" fillId="0" borderId="229" xfId="0" applyNumberFormat="1" applyFill="1" applyBorder="1" applyAlignment="1">
      <alignment vertical="center"/>
    </xf>
    <xf numFmtId="177" fontId="0" fillId="0" borderId="218" xfId="3" applyNumberFormat="1" applyFont="1" applyBorder="1" applyAlignment="1">
      <alignment vertical="center"/>
    </xf>
    <xf numFmtId="176" fontId="0" fillId="0" borderId="23" xfId="0" applyNumberFormat="1" applyFont="1" applyFill="1" applyBorder="1" applyAlignment="1">
      <alignment vertical="center" shrinkToFit="1"/>
    </xf>
    <xf numFmtId="9" fontId="11" fillId="0" borderId="87" xfId="0" applyNumberFormat="1" applyFont="1" applyFill="1" applyBorder="1" applyAlignment="1">
      <alignment vertical="center" shrinkToFit="1"/>
    </xf>
    <xf numFmtId="186" fontId="0" fillId="0" borderId="1" xfId="0" applyNumberFormat="1" applyFont="1" applyFill="1" applyBorder="1" applyAlignment="1">
      <alignment vertical="center" shrinkToFit="1"/>
    </xf>
    <xf numFmtId="182" fontId="11" fillId="0" borderId="87" xfId="4" applyNumberFormat="1" applyFont="1" applyFill="1" applyBorder="1" applyAlignment="1">
      <alignment vertical="center" shrinkToFit="1"/>
    </xf>
    <xf numFmtId="176" fontId="11" fillId="0" borderId="87" xfId="0" applyNumberFormat="1" applyFont="1" applyFill="1" applyBorder="1" applyAlignment="1">
      <alignment horizontal="right" vertical="center" shrinkToFit="1"/>
    </xf>
    <xf numFmtId="176" fontId="11" fillId="0" borderId="87" xfId="0" applyNumberFormat="1" applyFont="1" applyFill="1" applyBorder="1" applyAlignment="1">
      <alignment horizontal="left" vertical="center" shrinkToFit="1"/>
    </xf>
    <xf numFmtId="176" fontId="0" fillId="0" borderId="87" xfId="0" applyNumberFormat="1" applyFill="1" applyBorder="1" applyAlignment="1">
      <alignment vertical="center" shrinkToFit="1"/>
    </xf>
    <xf numFmtId="182" fontId="11" fillId="0" borderId="1" xfId="4" applyNumberFormat="1" applyFont="1" applyFill="1" applyBorder="1" applyAlignment="1">
      <alignment vertical="center" shrinkToFit="1"/>
    </xf>
    <xf numFmtId="176" fontId="3" fillId="0" borderId="183" xfId="0" applyNumberFormat="1" applyFont="1" applyFill="1" applyBorder="1" applyAlignment="1">
      <alignment vertical="center" shrinkToFit="1"/>
    </xf>
    <xf numFmtId="176" fontId="11" fillId="0" borderId="23" xfId="0" applyNumberFormat="1" applyFont="1" applyFill="1" applyBorder="1" applyAlignment="1">
      <alignment vertical="center" shrinkToFit="1"/>
    </xf>
    <xf numFmtId="176" fontId="0" fillId="0" borderId="229" xfId="0" applyNumberFormat="1" applyFont="1" applyFill="1" applyBorder="1">
      <alignment vertical="center"/>
    </xf>
    <xf numFmtId="176" fontId="3" fillId="0" borderId="229" xfId="0" applyNumberFormat="1" applyFont="1" applyFill="1" applyBorder="1">
      <alignment vertical="center"/>
    </xf>
    <xf numFmtId="176" fontId="0" fillId="0" borderId="226" xfId="0" applyNumberFormat="1" applyFont="1" applyFill="1" applyBorder="1" applyAlignment="1">
      <alignment vertical="center"/>
    </xf>
    <xf numFmtId="176" fontId="12" fillId="0" borderId="87" xfId="0" applyNumberFormat="1" applyFont="1" applyFill="1" applyBorder="1" applyAlignment="1">
      <alignment vertical="center" shrinkToFit="1"/>
    </xf>
    <xf numFmtId="176" fontId="12" fillId="0" borderId="183" xfId="0" applyNumberFormat="1" applyFont="1" applyFill="1" applyBorder="1" applyAlignment="1">
      <alignment vertical="center" shrinkToFit="1"/>
    </xf>
    <xf numFmtId="176" fontId="0" fillId="0" borderId="183" xfId="0" applyNumberFormat="1" applyFill="1" applyBorder="1" applyAlignment="1">
      <alignment vertical="center" shrinkToFit="1"/>
    </xf>
    <xf numFmtId="176" fontId="0" fillId="0" borderId="183" xfId="0" applyNumberFormat="1" applyFont="1" applyFill="1" applyBorder="1" applyAlignment="1">
      <alignment vertical="center" shrinkToFit="1"/>
    </xf>
    <xf numFmtId="176" fontId="11" fillId="0" borderId="183" xfId="0" applyNumberFormat="1" applyFont="1" applyFill="1" applyBorder="1" applyAlignment="1">
      <alignment vertical="center" shrinkToFit="1"/>
    </xf>
    <xf numFmtId="9" fontId="11" fillId="0" borderId="183" xfId="0" applyNumberFormat="1" applyFont="1" applyFill="1" applyBorder="1" applyAlignment="1">
      <alignment vertical="center" shrinkToFit="1"/>
    </xf>
    <xf numFmtId="182" fontId="11" fillId="0" borderId="183" xfId="4" applyNumberFormat="1" applyFont="1" applyFill="1" applyBorder="1" applyAlignment="1">
      <alignment vertical="center" shrinkToFit="1"/>
    </xf>
    <xf numFmtId="9" fontId="11" fillId="0" borderId="229" xfId="0" applyNumberFormat="1" applyFont="1" applyFill="1" applyBorder="1" applyAlignment="1">
      <alignment vertical="center" shrinkToFit="1"/>
    </xf>
    <xf numFmtId="176" fontId="11" fillId="0" borderId="229" xfId="0" applyNumberFormat="1" applyFont="1" applyFill="1" applyBorder="1" applyAlignment="1">
      <alignment vertical="center" shrinkToFit="1"/>
    </xf>
    <xf numFmtId="0" fontId="3" fillId="0" borderId="0" xfId="2" applyFont="1" applyBorder="1" applyAlignment="1">
      <alignment horizontal="center" vertical="center" wrapText="1"/>
    </xf>
    <xf numFmtId="0" fontId="3" fillId="0" borderId="225" xfId="2" applyFont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10" fillId="0" borderId="174" xfId="0" applyFont="1" applyBorder="1" applyAlignment="1">
      <alignment horizontal="center" vertical="center" shrinkToFit="1"/>
    </xf>
    <xf numFmtId="0" fontId="10" fillId="0" borderId="176" xfId="0" applyFont="1" applyBorder="1" applyAlignment="1">
      <alignment horizontal="center" vertical="center" shrinkToFit="1"/>
    </xf>
    <xf numFmtId="0" fontId="10" fillId="0" borderId="175" xfId="0" applyFont="1" applyBorder="1" applyAlignment="1">
      <alignment horizontal="center" vertical="center" shrinkToFit="1"/>
    </xf>
    <xf numFmtId="0" fontId="10" fillId="0" borderId="14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vertical="center" wrapText="1"/>
    </xf>
    <xf numFmtId="0" fontId="10" fillId="0" borderId="4" xfId="2" applyFont="1" applyBorder="1" applyAlignment="1">
      <alignment vertical="center" wrapText="1"/>
    </xf>
    <xf numFmtId="0" fontId="10" fillId="0" borderId="85" xfId="2" applyFont="1" applyBorder="1" applyAlignment="1">
      <alignment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99" xfId="0" quotePrefix="1" applyFont="1" applyBorder="1" applyAlignment="1">
      <alignment horizontal="center" vertical="center" shrinkToFit="1"/>
    </xf>
    <xf numFmtId="0" fontId="10" fillId="0" borderId="99" xfId="0" applyFont="1" applyBorder="1" applyAlignment="1">
      <alignment horizontal="center" vertical="center" shrinkToFit="1"/>
    </xf>
    <xf numFmtId="0" fontId="10" fillId="0" borderId="100" xfId="0" applyFont="1" applyBorder="1" applyAlignment="1">
      <alignment horizontal="center" vertical="center" shrinkToFit="1"/>
    </xf>
    <xf numFmtId="0" fontId="3" fillId="0" borderId="101" xfId="0" applyFont="1" applyBorder="1" applyAlignment="1">
      <alignment horizontal="center" vertical="center" shrinkToFit="1"/>
    </xf>
    <xf numFmtId="0" fontId="3" fillId="0" borderId="102" xfId="0" applyFont="1" applyBorder="1" applyAlignment="1">
      <alignment horizontal="center" vertical="center" shrinkToFit="1"/>
    </xf>
    <xf numFmtId="0" fontId="3" fillId="0" borderId="103" xfId="0" applyFont="1" applyBorder="1" applyAlignment="1">
      <alignment horizontal="center" vertical="center" shrinkToFit="1"/>
    </xf>
    <xf numFmtId="0" fontId="10" fillId="0" borderId="73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184" fontId="10" fillId="0" borderId="25" xfId="2" applyNumberFormat="1" applyFont="1" applyBorder="1" applyAlignment="1">
      <alignment horizontal="center" vertical="center" wrapText="1"/>
    </xf>
    <xf numFmtId="184" fontId="10" fillId="0" borderId="26" xfId="2" applyNumberFormat="1" applyFont="1" applyBorder="1" applyAlignment="1">
      <alignment horizontal="center" vertical="center" wrapText="1"/>
    </xf>
    <xf numFmtId="184" fontId="10" fillId="0" borderId="119" xfId="2" applyNumberFormat="1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47" xfId="2" applyFont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0" fillId="0" borderId="181" xfId="2" applyFont="1" applyFill="1" applyBorder="1" applyAlignment="1">
      <alignment horizontal="left" vertical="center" wrapText="1"/>
    </xf>
    <xf numFmtId="0" fontId="3" fillId="0" borderId="181" xfId="2" applyFont="1" applyFill="1" applyBorder="1" applyAlignment="1">
      <alignment horizontal="left" vertical="center" wrapText="1"/>
    </xf>
    <xf numFmtId="0" fontId="10" fillId="0" borderId="10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10" fillId="0" borderId="81" xfId="2" applyFont="1" applyBorder="1" applyAlignment="1">
      <alignment horizontal="left" vertical="center" wrapText="1"/>
    </xf>
    <xf numFmtId="184" fontId="10" fillId="0" borderId="0" xfId="2" applyNumberFormat="1" applyFont="1" applyBorder="1" applyAlignment="1">
      <alignment horizontal="center" vertical="center" wrapText="1"/>
    </xf>
    <xf numFmtId="184" fontId="10" fillId="0" borderId="30" xfId="2" applyNumberFormat="1" applyFont="1" applyBorder="1" applyAlignment="1">
      <alignment horizontal="center" vertical="center" wrapText="1"/>
    </xf>
    <xf numFmtId="0" fontId="0" fillId="0" borderId="51" xfId="2" applyFont="1" applyFill="1" applyBorder="1" applyAlignment="1">
      <alignment horizontal="left" vertical="center" wrapText="1"/>
    </xf>
    <xf numFmtId="0" fontId="0" fillId="0" borderId="0" xfId="2" applyFont="1" applyFill="1" applyBorder="1" applyAlignment="1">
      <alignment horizontal="left" vertical="center" shrinkToFit="1"/>
    </xf>
    <xf numFmtId="0" fontId="3" fillId="0" borderId="0" xfId="2" applyFont="1" applyFill="1" applyBorder="1" applyAlignment="1">
      <alignment horizontal="left" vertical="center" shrinkToFit="1"/>
    </xf>
    <xf numFmtId="0" fontId="3" fillId="0" borderId="13" xfId="2" applyFont="1" applyBorder="1" applyAlignment="1">
      <alignment horizontal="left" vertical="center" wrapText="1"/>
    </xf>
    <xf numFmtId="0" fontId="3" fillId="0" borderId="14" xfId="2" applyFont="1" applyBorder="1" applyAlignment="1">
      <alignment horizontal="left" vertical="center" wrapText="1"/>
    </xf>
    <xf numFmtId="0" fontId="3" fillId="0" borderId="47" xfId="2" applyFont="1" applyBorder="1" applyAlignment="1">
      <alignment horizontal="left" vertical="center" wrapText="1"/>
    </xf>
    <xf numFmtId="184" fontId="10" fillId="0" borderId="13" xfId="2" applyNumberFormat="1" applyFont="1" applyBorder="1" applyAlignment="1">
      <alignment horizontal="center" vertical="center" wrapText="1"/>
    </xf>
    <xf numFmtId="184" fontId="10" fillId="0" borderId="14" xfId="2" applyNumberFormat="1" applyFont="1" applyBorder="1" applyAlignment="1">
      <alignment horizontal="center" vertical="center" wrapText="1"/>
    </xf>
    <xf numFmtId="184" fontId="10" fillId="0" borderId="15" xfId="2" applyNumberFormat="1" applyFont="1" applyBorder="1" applyAlignment="1">
      <alignment horizontal="center" vertical="center" wrapText="1"/>
    </xf>
    <xf numFmtId="0" fontId="3" fillId="0" borderId="19" xfId="2" applyFont="1" applyBorder="1" applyAlignment="1">
      <alignment horizontal="left" vertical="center" wrapText="1"/>
    </xf>
    <xf numFmtId="0" fontId="3" fillId="0" borderId="18" xfId="2" applyFont="1" applyBorder="1" applyAlignment="1">
      <alignment horizontal="left" vertical="center" wrapText="1"/>
    </xf>
    <xf numFmtId="0" fontId="3" fillId="0" borderId="120" xfId="2" applyFont="1" applyBorder="1" applyAlignment="1">
      <alignment horizontal="left" vertical="center" wrapText="1"/>
    </xf>
    <xf numFmtId="0" fontId="10" fillId="0" borderId="86" xfId="2" applyFont="1" applyBorder="1" applyAlignment="1">
      <alignment horizontal="center" vertical="center" wrapText="1"/>
    </xf>
    <xf numFmtId="0" fontId="10" fillId="0" borderId="87" xfId="2" applyFont="1" applyBorder="1" applyAlignment="1">
      <alignment horizontal="center" vertical="center" wrapText="1"/>
    </xf>
    <xf numFmtId="0" fontId="3" fillId="0" borderId="87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184" fontId="10" fillId="0" borderId="47" xfId="2" applyNumberFormat="1" applyFont="1" applyBorder="1" applyAlignment="1">
      <alignment horizontal="center" vertical="center" wrapText="1"/>
    </xf>
    <xf numFmtId="0" fontId="10" fillId="0" borderId="54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0" fillId="0" borderId="10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0" fillId="0" borderId="119" xfId="2" applyFont="1" applyBorder="1" applyAlignment="1">
      <alignment horizontal="center" vertical="center" wrapText="1"/>
    </xf>
    <xf numFmtId="0" fontId="10" fillId="0" borderId="13" xfId="2" applyFont="1" applyBorder="1" applyAlignment="1">
      <alignment vertical="center" wrapText="1"/>
    </xf>
    <xf numFmtId="0" fontId="10" fillId="0" borderId="14" xfId="2" applyFont="1" applyBorder="1" applyAlignment="1">
      <alignment vertical="center" wrapText="1"/>
    </xf>
    <xf numFmtId="0" fontId="10" fillId="0" borderId="177" xfId="2" applyFont="1" applyBorder="1" applyAlignment="1">
      <alignment horizontal="center" vertical="center" wrapText="1"/>
    </xf>
    <xf numFmtId="0" fontId="10" fillId="0" borderId="85" xfId="2" applyFont="1" applyBorder="1" applyAlignment="1">
      <alignment horizontal="center" vertical="center" wrapText="1"/>
    </xf>
    <xf numFmtId="0" fontId="10" fillId="0" borderId="89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10" fillId="0" borderId="19" xfId="2" applyFont="1" applyBorder="1" applyAlignment="1">
      <alignment vertical="center" wrapText="1"/>
    </xf>
    <xf numFmtId="0" fontId="10" fillId="0" borderId="18" xfId="2" applyFont="1" applyBorder="1" applyAlignment="1">
      <alignment vertical="center" wrapText="1"/>
    </xf>
    <xf numFmtId="0" fontId="10" fillId="0" borderId="78" xfId="2" applyFont="1" applyBorder="1" applyAlignment="1">
      <alignment horizontal="center" vertical="center" textRotation="255" shrinkToFit="1"/>
    </xf>
    <xf numFmtId="0" fontId="10" fillId="0" borderId="54" xfId="2" applyFont="1" applyBorder="1" applyAlignment="1">
      <alignment horizontal="center" vertical="center" textRotation="255" shrinkToFit="1"/>
    </xf>
    <xf numFmtId="184" fontId="10" fillId="0" borderId="18" xfId="2" applyNumberFormat="1" applyFont="1" applyBorder="1" applyAlignment="1">
      <alignment horizontal="center" vertical="center" wrapText="1"/>
    </xf>
    <xf numFmtId="184" fontId="10" fillId="0" borderId="20" xfId="2" applyNumberFormat="1" applyFont="1" applyBorder="1" applyAlignment="1">
      <alignment horizontal="center" vertical="center" wrapText="1"/>
    </xf>
    <xf numFmtId="0" fontId="10" fillId="0" borderId="88" xfId="2" applyFont="1" applyBorder="1" applyAlignment="1">
      <alignment horizontal="center" vertical="center" wrapText="1"/>
    </xf>
    <xf numFmtId="184" fontId="10" fillId="0" borderId="19" xfId="2" applyNumberFormat="1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10" fillId="0" borderId="90" xfId="2" applyFont="1" applyBorder="1" applyAlignment="1">
      <alignment horizontal="center" vertical="center" wrapText="1"/>
    </xf>
    <xf numFmtId="0" fontId="10" fillId="0" borderId="91" xfId="2" applyFont="1" applyBorder="1" applyAlignment="1">
      <alignment horizontal="center" vertical="center" wrapText="1"/>
    </xf>
    <xf numFmtId="0" fontId="10" fillId="0" borderId="92" xfId="2" applyFont="1" applyBorder="1" applyAlignment="1">
      <alignment horizontal="center" vertical="center" wrapText="1"/>
    </xf>
    <xf numFmtId="0" fontId="3" fillId="0" borderId="93" xfId="2" applyFont="1" applyBorder="1" applyAlignment="1">
      <alignment horizontal="center" vertical="center"/>
    </xf>
    <xf numFmtId="0" fontId="3" fillId="0" borderId="94" xfId="2" applyFont="1" applyBorder="1" applyAlignment="1">
      <alignment horizontal="center" vertical="center"/>
    </xf>
    <xf numFmtId="0" fontId="3" fillId="0" borderId="95" xfId="2" applyFont="1" applyBorder="1" applyAlignment="1">
      <alignment horizontal="center" vertical="center"/>
    </xf>
    <xf numFmtId="0" fontId="10" fillId="0" borderId="10" xfId="2" applyFont="1" applyBorder="1" applyAlignment="1">
      <alignment horizontal="left" vertical="center" indent="1"/>
    </xf>
    <xf numFmtId="0" fontId="10" fillId="0" borderId="0" xfId="2" applyFont="1" applyBorder="1" applyAlignment="1">
      <alignment horizontal="left" vertical="center" indent="1"/>
    </xf>
    <xf numFmtId="0" fontId="3" fillId="0" borderId="34" xfId="2" applyFont="1" applyBorder="1" applyAlignment="1">
      <alignment horizontal="center" vertical="center"/>
    </xf>
    <xf numFmtId="0" fontId="3" fillId="0" borderId="220" xfId="2" applyFont="1" applyBorder="1" applyAlignment="1">
      <alignment horizontal="center" vertical="center"/>
    </xf>
    <xf numFmtId="0" fontId="3" fillId="0" borderId="221" xfId="2" applyFont="1" applyBorder="1" applyAlignment="1">
      <alignment horizontal="center" vertical="center"/>
    </xf>
    <xf numFmtId="0" fontId="3" fillId="0" borderId="192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179" xfId="2" applyFont="1" applyBorder="1" applyAlignment="1">
      <alignment horizontal="center" vertical="center"/>
    </xf>
    <xf numFmtId="0" fontId="3" fillId="0" borderId="222" xfId="2" applyFont="1" applyBorder="1" applyAlignment="1">
      <alignment horizontal="center" vertical="center"/>
    </xf>
    <xf numFmtId="0" fontId="3" fillId="0" borderId="218" xfId="2" applyFont="1" applyBorder="1" applyAlignment="1">
      <alignment horizontal="center" vertical="center"/>
    </xf>
    <xf numFmtId="0" fontId="3" fillId="0" borderId="216" xfId="2" applyFont="1" applyBorder="1" applyAlignment="1">
      <alignment horizontal="center" vertical="center"/>
    </xf>
    <xf numFmtId="0" fontId="0" fillId="0" borderId="223" xfId="2" applyFont="1" applyBorder="1" applyAlignment="1">
      <alignment horizontal="left" vertical="center" wrapText="1"/>
    </xf>
    <xf numFmtId="0" fontId="3" fillId="0" borderId="220" xfId="2" applyFont="1" applyBorder="1" applyAlignment="1">
      <alignment horizontal="left" vertical="center" wrapText="1"/>
    </xf>
    <xf numFmtId="0" fontId="3" fillId="0" borderId="224" xfId="2" applyFont="1" applyBorder="1" applyAlignment="1">
      <alignment horizontal="left" vertical="center" wrapText="1"/>
    </xf>
    <xf numFmtId="0" fontId="3" fillId="0" borderId="51" xfId="2" applyFont="1" applyBorder="1" applyAlignment="1">
      <alignment horizontal="left" vertical="center" wrapText="1"/>
    </xf>
    <xf numFmtId="0" fontId="3" fillId="0" borderId="0" xfId="2" applyFont="1" applyBorder="1" applyAlignment="1">
      <alignment horizontal="left" vertical="center" wrapText="1"/>
    </xf>
    <xf numFmtId="0" fontId="3" fillId="0" borderId="225" xfId="2" applyFont="1" applyBorder="1" applyAlignment="1">
      <alignment horizontal="left" vertical="center" wrapText="1"/>
    </xf>
    <xf numFmtId="0" fontId="3" fillId="0" borderId="217" xfId="2" applyFont="1" applyBorder="1" applyAlignment="1">
      <alignment horizontal="left" vertical="center" wrapText="1"/>
    </xf>
    <xf numFmtId="0" fontId="3" fillId="0" borderId="218" xfId="2" applyFont="1" applyBorder="1" applyAlignment="1">
      <alignment horizontal="left" vertical="center" wrapText="1"/>
    </xf>
    <xf numFmtId="0" fontId="3" fillId="0" borderId="219" xfId="2" applyFont="1" applyBorder="1" applyAlignment="1">
      <alignment horizontal="left" vertical="center" wrapText="1"/>
    </xf>
    <xf numFmtId="0" fontId="0" fillId="0" borderId="220" xfId="2" applyFont="1" applyFill="1" applyBorder="1" applyAlignment="1">
      <alignment horizontal="left" vertical="center" shrinkToFit="1"/>
    </xf>
    <xf numFmtId="0" fontId="3" fillId="0" borderId="220" xfId="2" applyFont="1" applyFill="1" applyBorder="1" applyAlignment="1">
      <alignment horizontal="left" vertical="center" shrinkToFit="1"/>
    </xf>
    <xf numFmtId="0" fontId="0" fillId="0" borderId="220" xfId="2" applyFont="1" applyFill="1" applyBorder="1" applyAlignment="1">
      <alignment horizontal="center" vertical="center" wrapText="1"/>
    </xf>
    <xf numFmtId="0" fontId="3" fillId="0" borderId="220" xfId="2" applyFont="1" applyFill="1" applyBorder="1" applyAlignment="1">
      <alignment horizontal="center" vertical="center" wrapText="1"/>
    </xf>
    <xf numFmtId="0" fontId="0" fillId="0" borderId="220" xfId="2" applyFont="1" applyBorder="1" applyAlignment="1">
      <alignment horizontal="center" vertical="center" wrapText="1"/>
    </xf>
    <xf numFmtId="0" fontId="3" fillId="0" borderId="220" xfId="2" applyFont="1" applyBorder="1" applyAlignment="1">
      <alignment horizontal="center" vertical="center" wrapText="1"/>
    </xf>
    <xf numFmtId="0" fontId="3" fillId="0" borderId="224" xfId="2" applyFont="1" applyBorder="1" applyAlignment="1">
      <alignment horizontal="center" vertical="center" wrapText="1"/>
    </xf>
    <xf numFmtId="0" fontId="0" fillId="0" borderId="223" xfId="2" applyFont="1" applyFill="1" applyBorder="1" applyAlignment="1">
      <alignment horizontal="left" vertical="center" shrinkToFit="1"/>
    </xf>
    <xf numFmtId="0" fontId="0" fillId="0" borderId="217" xfId="2" applyFont="1" applyFill="1" applyBorder="1" applyAlignment="1">
      <alignment horizontal="left" vertical="center" wrapText="1"/>
    </xf>
    <xf numFmtId="0" fontId="3" fillId="0" borderId="181" xfId="2" applyFont="1" applyBorder="1" applyAlignment="1">
      <alignment horizontal="center" vertical="center" wrapText="1"/>
    </xf>
    <xf numFmtId="0" fontId="3" fillId="0" borderId="219" xfId="2" applyFont="1" applyBorder="1" applyAlignment="1">
      <alignment horizontal="center" vertical="center" wrapText="1"/>
    </xf>
    <xf numFmtId="0" fontId="0" fillId="0" borderId="45" xfId="2" applyFont="1" applyBorder="1" applyAlignment="1">
      <alignment vertical="center" wrapText="1"/>
    </xf>
    <xf numFmtId="0" fontId="3" fillId="0" borderId="45" xfId="2" applyFont="1" applyBorder="1" applyAlignment="1">
      <alignment vertical="center" wrapText="1"/>
    </xf>
    <xf numFmtId="0" fontId="3" fillId="0" borderId="60" xfId="2" applyFont="1" applyBorder="1" applyAlignment="1">
      <alignment vertical="center" wrapText="1"/>
    </xf>
    <xf numFmtId="0" fontId="3" fillId="0" borderId="97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3" fillId="0" borderId="24" xfId="2" applyFont="1" applyBorder="1" applyAlignment="1">
      <alignment vertical="center" wrapText="1"/>
    </xf>
    <xf numFmtId="0" fontId="3" fillId="0" borderId="58" xfId="2" applyFont="1" applyBorder="1" applyAlignment="1">
      <alignment vertical="center" wrapText="1"/>
    </xf>
    <xf numFmtId="0" fontId="3" fillId="0" borderId="37" xfId="2" applyFont="1" applyBorder="1" applyAlignment="1">
      <alignment horizontal="center" vertical="center"/>
    </xf>
    <xf numFmtId="0" fontId="3" fillId="0" borderId="59" xfId="2" applyFont="1" applyBorder="1" applyAlignment="1">
      <alignment horizontal="center" vertical="center"/>
    </xf>
    <xf numFmtId="0" fontId="3" fillId="0" borderId="45" xfId="2" applyFont="1" applyBorder="1" applyAlignment="1">
      <alignment horizontal="center" vertical="center"/>
    </xf>
    <xf numFmtId="0" fontId="3" fillId="0" borderId="98" xfId="2" applyFont="1" applyBorder="1" applyAlignment="1">
      <alignment horizontal="center" vertical="center"/>
    </xf>
    <xf numFmtId="0" fontId="10" fillId="0" borderId="234" xfId="2" applyFont="1" applyFill="1" applyBorder="1" applyAlignment="1">
      <alignment horizontal="center" vertical="center" textRotation="255" wrapText="1"/>
    </xf>
    <xf numFmtId="0" fontId="10" fillId="0" borderId="232" xfId="2" applyFont="1" applyBorder="1" applyAlignment="1">
      <alignment horizontal="center" vertical="center" wrapText="1"/>
    </xf>
    <xf numFmtId="0" fontId="10" fillId="0" borderId="233" xfId="2" applyFont="1" applyBorder="1" applyAlignment="1">
      <alignment horizontal="center" vertical="center" wrapText="1"/>
    </xf>
    <xf numFmtId="0" fontId="3" fillId="0" borderId="236" xfId="2" applyFont="1" applyFill="1" applyBorder="1" applyAlignment="1">
      <alignment horizontal="center" vertical="center"/>
    </xf>
    <xf numFmtId="0" fontId="3" fillId="0" borderId="237" xfId="2" applyFont="1" applyFill="1" applyBorder="1" applyAlignment="1">
      <alignment horizontal="center" vertical="center"/>
    </xf>
    <xf numFmtId="0" fontId="0" fillId="0" borderId="235" xfId="2" applyFont="1" applyFill="1" applyBorder="1" applyAlignment="1">
      <alignment horizontal="center" vertical="center" wrapText="1"/>
    </xf>
    <xf numFmtId="0" fontId="3" fillId="0" borderId="47" xfId="2" applyFont="1" applyFill="1" applyBorder="1" applyAlignment="1">
      <alignment horizontal="center" vertical="center"/>
    </xf>
    <xf numFmtId="0" fontId="3" fillId="0" borderId="236" xfId="2" applyFont="1" applyBorder="1" applyAlignment="1">
      <alignment horizontal="center" vertical="center"/>
    </xf>
    <xf numFmtId="0" fontId="3" fillId="0" borderId="237" xfId="2" applyFont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3" borderId="96" xfId="0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3" borderId="10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0" borderId="105" xfId="0" applyFont="1" applyBorder="1" applyAlignment="1">
      <alignment horizontal="center" vertical="center" textRotation="255"/>
    </xf>
    <xf numFmtId="0" fontId="0" fillId="0" borderId="104" xfId="0" applyFont="1" applyBorder="1" applyAlignment="1">
      <alignment horizontal="center" vertical="center" textRotation="255"/>
    </xf>
    <xf numFmtId="0" fontId="0" fillId="0" borderId="42" xfId="0" applyFont="1" applyBorder="1" applyAlignment="1">
      <alignment horizontal="center" vertical="center" textRotation="255"/>
    </xf>
    <xf numFmtId="0" fontId="0" fillId="4" borderId="35" xfId="0" applyFont="1" applyFill="1" applyBorder="1" applyAlignment="1">
      <alignment horizontal="center" vertical="center" wrapText="1"/>
    </xf>
    <xf numFmtId="0" fontId="0" fillId="4" borderId="46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38" xfId="0" applyFont="1" applyFill="1" applyBorder="1" applyAlignment="1">
      <alignment horizontal="center" vertical="center" wrapText="1"/>
    </xf>
    <xf numFmtId="0" fontId="0" fillId="4" borderId="43" xfId="0" applyFont="1" applyFill="1" applyBorder="1" applyAlignment="1">
      <alignment horizontal="center" vertical="center"/>
    </xf>
    <xf numFmtId="0" fontId="0" fillId="4" borderId="44" xfId="0" applyFont="1" applyFill="1" applyBorder="1" applyAlignment="1">
      <alignment horizontal="center" vertical="center"/>
    </xf>
    <xf numFmtId="0" fontId="0" fillId="4" borderId="59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107" xfId="0" applyFont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0" fontId="0" fillId="0" borderId="108" xfId="0" applyFont="1" applyBorder="1" applyAlignment="1">
      <alignment vertical="center"/>
    </xf>
    <xf numFmtId="180" fontId="0" fillId="0" borderId="109" xfId="1" applyNumberFormat="1" applyFont="1" applyBorder="1" applyAlignment="1">
      <alignment horizontal="center" vertical="center"/>
    </xf>
    <xf numFmtId="0" fontId="0" fillId="0" borderId="110" xfId="0" applyFont="1" applyBorder="1" applyAlignment="1">
      <alignment vertical="center"/>
    </xf>
    <xf numFmtId="0" fontId="0" fillId="0" borderId="106" xfId="0" applyFont="1" applyBorder="1" applyAlignment="1">
      <alignment horizontal="center" vertical="center" textRotation="255"/>
    </xf>
    <xf numFmtId="0" fontId="0" fillId="3" borderId="75" xfId="0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 textRotation="255" wrapText="1"/>
    </xf>
    <xf numFmtId="0" fontId="0" fillId="0" borderId="40" xfId="0" applyFont="1" applyBorder="1" applyAlignment="1">
      <alignment horizontal="center" vertical="center" textRotation="255" wrapText="1"/>
    </xf>
    <xf numFmtId="0" fontId="0" fillId="0" borderId="117" xfId="0" applyFont="1" applyBorder="1" applyAlignment="1">
      <alignment horizontal="center" vertical="center" textRotation="255" wrapText="1"/>
    </xf>
    <xf numFmtId="0" fontId="0" fillId="0" borderId="38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38" xfId="0" applyFont="1" applyBorder="1" applyAlignment="1">
      <alignment vertical="center" wrapText="1"/>
    </xf>
    <xf numFmtId="0" fontId="0" fillId="0" borderId="40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4" borderId="32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 wrapText="1"/>
    </xf>
    <xf numFmtId="0" fontId="0" fillId="4" borderId="13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0" fillId="0" borderId="18" xfId="2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5" xfId="0" applyNumberFormat="1" applyFont="1" applyBorder="1" applyAlignment="1">
      <alignment horizontal="center" vertical="center"/>
    </xf>
    <xf numFmtId="176" fontId="0" fillId="0" borderId="65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56" xfId="0" applyNumberFormat="1" applyFont="1" applyBorder="1" applyAlignment="1">
      <alignment horizontal="center" vertical="center"/>
    </xf>
    <xf numFmtId="176" fontId="0" fillId="0" borderId="54" xfId="0" applyNumberFormat="1" applyFont="1" applyBorder="1" applyAlignment="1">
      <alignment horizontal="center" vertical="center"/>
    </xf>
    <xf numFmtId="176" fontId="0" fillId="0" borderId="79" xfId="0" applyNumberFormat="1" applyFont="1" applyBorder="1" applyAlignment="1">
      <alignment horizontal="center" vertical="center"/>
    </xf>
    <xf numFmtId="176" fontId="0" fillId="0" borderId="78" xfId="0" applyNumberFormat="1" applyFont="1" applyBorder="1" applyAlignment="1">
      <alignment horizontal="center" vertical="center"/>
    </xf>
    <xf numFmtId="176" fontId="0" fillId="0" borderId="184" xfId="0" applyNumberFormat="1" applyFont="1" applyBorder="1" applyAlignment="1">
      <alignment vertical="center" shrinkToFit="1"/>
    </xf>
    <xf numFmtId="176" fontId="0" fillId="0" borderId="211" xfId="0" applyNumberFormat="1" applyFont="1" applyBorder="1" applyAlignment="1">
      <alignment vertical="center" shrinkToFit="1"/>
    </xf>
    <xf numFmtId="9" fontId="0" fillId="0" borderId="184" xfId="0" applyNumberFormat="1" applyFont="1" applyBorder="1" applyAlignment="1">
      <alignment vertical="center" shrinkToFit="1"/>
    </xf>
    <xf numFmtId="9" fontId="0" fillId="0" borderId="211" xfId="0" applyNumberFormat="1" applyFont="1" applyBorder="1" applyAlignment="1">
      <alignment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176" fontId="0" fillId="0" borderId="84" xfId="0" applyNumberFormat="1" applyFont="1" applyFill="1" applyBorder="1" applyAlignment="1">
      <alignment vertical="center" shrinkToFit="1"/>
    </xf>
    <xf numFmtId="176" fontId="0" fillId="0" borderId="23" xfId="0" applyNumberFormat="1" applyFont="1" applyBorder="1" applyAlignment="1">
      <alignment vertical="center" shrinkToFit="1"/>
    </xf>
    <xf numFmtId="176" fontId="0" fillId="0" borderId="84" xfId="0" applyNumberFormat="1" applyFont="1" applyBorder="1" applyAlignment="1">
      <alignment vertical="center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54" xfId="0" applyNumberFormat="1" applyFont="1" applyBorder="1" applyAlignment="1">
      <alignment horizontal="center" vertical="center" textRotation="255" shrinkToFit="1"/>
    </xf>
    <xf numFmtId="176" fontId="0" fillId="0" borderId="79" xfId="0" applyNumberFormat="1" applyFont="1" applyBorder="1" applyAlignment="1">
      <alignment horizontal="center" vertical="center" textRotation="255" shrinkToFit="1"/>
    </xf>
    <xf numFmtId="176" fontId="0" fillId="0" borderId="124" xfId="0" applyNumberFormat="1" applyFont="1" applyBorder="1" applyAlignment="1">
      <alignment horizontal="center" vertical="center" shrinkToFit="1"/>
    </xf>
    <xf numFmtId="176" fontId="0" fillId="0" borderId="84" xfId="0" applyNumberFormat="1" applyFont="1" applyBorder="1" applyAlignment="1">
      <alignment horizontal="center" vertical="center" shrinkToFit="1"/>
    </xf>
    <xf numFmtId="176" fontId="0" fillId="0" borderId="16" xfId="0" applyNumberFormat="1" applyFont="1" applyBorder="1" applyAlignment="1">
      <alignment vertical="center" shrinkToFit="1"/>
    </xf>
    <xf numFmtId="9" fontId="0" fillId="0" borderId="23" xfId="0" applyNumberFormat="1" applyFont="1" applyBorder="1" applyAlignment="1">
      <alignment vertical="center" shrinkToFit="1"/>
    </xf>
    <xf numFmtId="9" fontId="0" fillId="0" borderId="16" xfId="0" applyNumberFormat="1" applyFont="1" applyBorder="1" applyAlignment="1">
      <alignment vertical="center" shrinkToFit="1"/>
    </xf>
    <xf numFmtId="9" fontId="0" fillId="0" borderId="84" xfId="0" applyNumberFormat="1" applyFont="1" applyBorder="1" applyAlignment="1">
      <alignment vertical="center" shrinkToFit="1"/>
    </xf>
    <xf numFmtId="176" fontId="0" fillId="0" borderId="16" xfId="0" applyNumberFormat="1" applyFont="1" applyFill="1" applyBorder="1" applyAlignment="1">
      <alignment vertical="center" shrinkToFit="1"/>
    </xf>
    <xf numFmtId="176" fontId="0" fillId="0" borderId="184" xfId="0" applyNumberFormat="1" applyFont="1" applyFill="1" applyBorder="1" applyAlignment="1">
      <alignment vertical="center" shrinkToFit="1"/>
    </xf>
    <xf numFmtId="176" fontId="0" fillId="0" borderId="211" xfId="0" applyNumberFormat="1" applyFont="1" applyFill="1" applyBorder="1" applyAlignment="1">
      <alignment vertical="center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0" xfId="0" applyNumberFormat="1" applyFont="1" applyBorder="1" applyAlignment="1">
      <alignment horizontal="center" vertical="center" shrinkToFit="1"/>
    </xf>
    <xf numFmtId="176" fontId="0" fillId="0" borderId="80" xfId="0" applyNumberFormat="1" applyFont="1" applyBorder="1" applyAlignment="1">
      <alignment horizontal="center" vertical="center" shrinkToFit="1"/>
    </xf>
    <xf numFmtId="176" fontId="0" fillId="0" borderId="78" xfId="0" applyNumberFormat="1" applyFont="1" applyBorder="1" applyAlignment="1">
      <alignment horizontal="center" vertical="center" shrinkToFit="1"/>
    </xf>
    <xf numFmtId="176" fontId="0" fillId="0" borderId="79" xfId="0" applyNumberFormat="1" applyFont="1" applyBorder="1" applyAlignment="1">
      <alignment horizontal="center" vertical="center" shrinkToFit="1"/>
    </xf>
    <xf numFmtId="176" fontId="0" fillId="0" borderId="56" xfId="0" applyNumberFormat="1" applyBorder="1" applyAlignment="1">
      <alignment horizontal="center" vertical="center" textRotation="255" shrinkToFit="1"/>
    </xf>
    <xf numFmtId="176" fontId="0" fillId="0" borderId="54" xfId="0" applyNumberFormat="1" applyBorder="1" applyAlignment="1">
      <alignment horizontal="center" vertical="center" textRotation="255" shrinkToFit="1"/>
    </xf>
    <xf numFmtId="176" fontId="0" fillId="0" borderId="79" xfId="0" applyNumberFormat="1" applyBorder="1" applyAlignment="1">
      <alignment horizontal="center" vertical="center" textRotation="255" shrinkToFit="1"/>
    </xf>
    <xf numFmtId="176" fontId="3" fillId="0" borderId="124" xfId="0" applyNumberFormat="1" applyFont="1" applyBorder="1" applyAlignment="1">
      <alignment horizontal="center" vertical="center" shrinkToFit="1"/>
    </xf>
    <xf numFmtId="176" fontId="3" fillId="0" borderId="84" xfId="0" applyNumberFormat="1" applyFont="1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 textRotation="255" shrinkToFit="1"/>
    </xf>
    <xf numFmtId="176" fontId="3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76" fontId="0" fillId="0" borderId="78" xfId="0" applyNumberFormat="1" applyBorder="1" applyAlignment="1">
      <alignment horizontal="center" vertical="center" shrinkToFit="1"/>
    </xf>
    <xf numFmtId="176" fontId="0" fillId="0" borderId="79" xfId="0" applyNumberFormat="1" applyBorder="1" applyAlignment="1">
      <alignment horizontal="center" vertical="center" shrinkToFit="1"/>
    </xf>
    <xf numFmtId="176" fontId="0" fillId="0" borderId="124" xfId="0" applyNumberFormat="1" applyBorder="1" applyAlignment="1">
      <alignment horizontal="center" vertical="center" shrinkToFit="1"/>
    </xf>
    <xf numFmtId="176" fontId="0" fillId="0" borderId="84" xfId="0" applyNumberFormat="1" applyBorder="1" applyAlignment="1">
      <alignment horizontal="center" vertical="center" shrinkToFit="1"/>
    </xf>
    <xf numFmtId="176" fontId="3" fillId="0" borderId="70" xfId="0" applyNumberFormat="1" applyFont="1" applyBorder="1" applyAlignment="1">
      <alignment horizontal="center" vertical="center" shrinkToFit="1"/>
    </xf>
    <xf numFmtId="176" fontId="3" fillId="0" borderId="80" xfId="0" applyNumberFormat="1" applyFont="1" applyBorder="1" applyAlignment="1">
      <alignment horizontal="center" vertical="center" shrinkToFit="1"/>
    </xf>
    <xf numFmtId="177" fontId="0" fillId="0" borderId="256" xfId="3" applyNumberFormat="1" applyFont="1" applyBorder="1" applyAlignment="1">
      <alignment horizontal="center" vertical="center" shrinkToFit="1"/>
    </xf>
    <xf numFmtId="177" fontId="0" fillId="0" borderId="257" xfId="3" applyNumberFormat="1" applyFont="1" applyBorder="1" applyAlignment="1">
      <alignment horizontal="center" vertical="center" shrinkToFit="1"/>
    </xf>
    <xf numFmtId="177" fontId="0" fillId="0" borderId="105" xfId="3" applyNumberFormat="1" applyFont="1" applyBorder="1" applyAlignment="1">
      <alignment horizontal="center" vertical="center" textRotation="255"/>
    </xf>
    <xf numFmtId="177" fontId="0" fillId="0" borderId="104" xfId="3" applyNumberFormat="1" applyFont="1" applyBorder="1" applyAlignment="1">
      <alignment horizontal="center" vertical="center" textRotation="255"/>
    </xf>
    <xf numFmtId="177" fontId="0" fillId="0" borderId="106" xfId="3" applyNumberFormat="1" applyFont="1" applyBorder="1" applyAlignment="1">
      <alignment horizontal="center" vertical="center" textRotation="255"/>
    </xf>
    <xf numFmtId="0" fontId="0" fillId="0" borderId="35" xfId="0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6" borderId="43" xfId="0" applyFont="1" applyFill="1" applyBorder="1" applyAlignment="1">
      <alignment horizontal="center" vertical="center"/>
    </xf>
    <xf numFmtId="0" fontId="0" fillId="6" borderId="44" xfId="0" applyFont="1" applyFill="1" applyBorder="1" applyAlignment="1">
      <alignment horizontal="center" vertical="center"/>
    </xf>
    <xf numFmtId="0" fontId="0" fillId="6" borderId="59" xfId="0" applyFont="1" applyFill="1" applyBorder="1" applyAlignment="1">
      <alignment horizontal="center" vertical="center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4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84" xfId="0" applyNumberFormat="1" applyFill="1" applyBorder="1" applyAlignment="1">
      <alignment horizontal="center" vertical="center" textRotation="255" shrinkToFit="1"/>
    </xf>
    <xf numFmtId="177" fontId="0" fillId="0" borderId="140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1" xfId="0" applyNumberFormat="1" applyBorder="1" applyAlignment="1">
      <alignment horizontal="center" vertical="center" textRotation="255" shrinkToFit="1"/>
    </xf>
    <xf numFmtId="177" fontId="0" fillId="0" borderId="87" xfId="0" applyNumberFormat="1" applyFont="1" applyFill="1" applyBorder="1" applyAlignment="1">
      <alignment vertical="center" shrinkToFit="1"/>
    </xf>
    <xf numFmtId="0" fontId="0" fillId="0" borderId="136" xfId="0" applyFill="1" applyBorder="1" applyAlignment="1">
      <alignment horizontal="center" vertical="center" textRotation="255" wrapText="1"/>
    </xf>
    <xf numFmtId="0" fontId="0" fillId="0" borderId="40" xfId="0" applyFont="1" applyFill="1" applyBorder="1" applyAlignment="1">
      <alignment horizontal="center" vertical="center" textRotation="255" wrapText="1"/>
    </xf>
    <xf numFmtId="0" fontId="0" fillId="0" borderId="76" xfId="0" applyFont="1" applyFill="1" applyBorder="1" applyAlignment="1">
      <alignment horizontal="center" vertical="center" textRotation="255" wrapText="1"/>
    </xf>
    <xf numFmtId="0" fontId="0" fillId="6" borderId="43" xfId="0" applyFill="1" applyBorder="1" applyAlignment="1">
      <alignment horizontal="left" vertical="center"/>
    </xf>
    <xf numFmtId="0" fontId="0" fillId="6" borderId="59" xfId="0" applyFont="1" applyFill="1" applyBorder="1" applyAlignment="1">
      <alignment horizontal="left" vertical="center"/>
    </xf>
    <xf numFmtId="177" fontId="0" fillId="2" borderId="137" xfId="0" applyNumberFormat="1" applyFill="1" applyBorder="1" applyAlignment="1">
      <alignment horizontal="center" vertical="center" shrinkToFit="1"/>
    </xf>
    <xf numFmtId="177" fontId="0" fillId="2" borderId="138" xfId="0" applyNumberFormat="1" applyFill="1" applyBorder="1" applyAlignment="1">
      <alignment horizontal="center" vertical="center" shrinkToFit="1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5" xfId="0" applyNumberFormat="1" applyFont="1" applyFill="1" applyBorder="1" applyAlignment="1">
      <alignment horizontal="center" vertical="center" shrinkToFit="1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28" xfId="0" applyNumberFormat="1" applyFont="1" applyBorder="1" applyAlignment="1">
      <alignment vertical="center"/>
    </xf>
    <xf numFmtId="177" fontId="0" fillId="0" borderId="134" xfId="0" applyNumberFormat="1" applyFont="1" applyBorder="1" applyAlignment="1">
      <alignment vertical="center"/>
    </xf>
    <xf numFmtId="177" fontId="0" fillId="0" borderId="152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1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87" xfId="0" applyNumberFormat="1" applyFill="1" applyBorder="1" applyAlignment="1">
      <alignment vertical="center"/>
    </xf>
    <xf numFmtId="0" fontId="0" fillId="0" borderId="87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30" xfId="0" applyNumberFormat="1" applyBorder="1" applyAlignment="1">
      <alignment horizontal="center" vertical="center" textRotation="255" shrinkToFit="1"/>
    </xf>
    <xf numFmtId="177" fontId="0" fillId="0" borderId="54" xfId="0" applyNumberFormat="1" applyBorder="1" applyAlignment="1">
      <alignment horizontal="center" vertical="center" textRotation="255" shrinkToFit="1"/>
    </xf>
    <xf numFmtId="177" fontId="0" fillId="0" borderId="31" xfId="0" applyNumberFormat="1" applyBorder="1" applyAlignment="1">
      <alignment horizontal="center" vertical="center" textRotation="255" shrinkToFit="1"/>
    </xf>
    <xf numFmtId="177" fontId="0" fillId="0" borderId="87" xfId="0" applyNumberFormat="1" applyFont="1" applyFill="1" applyBorder="1" applyAlignment="1">
      <alignment vertical="center"/>
    </xf>
    <xf numFmtId="177" fontId="0" fillId="0" borderId="255" xfId="3" applyNumberFormat="1" applyFont="1" applyBorder="1" applyAlignment="1">
      <alignment horizontal="center" vertical="center" shrinkToFit="1"/>
    </xf>
    <xf numFmtId="177" fontId="0" fillId="0" borderId="25" xfId="0" applyNumberFormat="1" applyFont="1" applyFill="1" applyBorder="1" applyAlignment="1">
      <alignment vertical="center"/>
    </xf>
    <xf numFmtId="177" fontId="0" fillId="0" borderId="26" xfId="0" applyNumberFormat="1" applyFont="1" applyFill="1" applyBorder="1" applyAlignment="1">
      <alignment vertical="center"/>
    </xf>
    <xf numFmtId="177" fontId="0" fillId="0" borderId="29" xfId="0" applyNumberFormat="1" applyFont="1" applyFill="1" applyBorder="1" applyAlignment="1">
      <alignment vertical="center"/>
    </xf>
    <xf numFmtId="177" fontId="0" fillId="0" borderId="244" xfId="0" applyNumberFormat="1" applyFont="1" applyBorder="1" applyAlignment="1">
      <alignment vertical="center"/>
    </xf>
    <xf numFmtId="177" fontId="0" fillId="0" borderId="44" xfId="0" applyNumberFormat="1" applyFont="1" applyBorder="1" applyAlignment="1">
      <alignment vertical="center"/>
    </xf>
    <xf numFmtId="177" fontId="0" fillId="0" borderId="151" xfId="0" applyNumberFormat="1" applyFont="1" applyBorder="1" applyAlignment="1">
      <alignment vertical="center"/>
    </xf>
    <xf numFmtId="177" fontId="0" fillId="0" borderId="229" xfId="0" applyNumberFormat="1" applyFont="1" applyFill="1" applyBorder="1" applyAlignment="1">
      <alignment horizontal="center" vertical="center"/>
    </xf>
    <xf numFmtId="177" fontId="0" fillId="0" borderId="147" xfId="0" applyNumberFormat="1" applyFont="1" applyFill="1" applyBorder="1" applyAlignment="1">
      <alignment horizontal="center" vertical="center"/>
    </xf>
    <xf numFmtId="177" fontId="0" fillId="0" borderId="148" xfId="0" applyNumberFormat="1" applyFont="1" applyFill="1" applyBorder="1" applyAlignment="1">
      <alignment horizontal="center" vertical="center"/>
    </xf>
    <xf numFmtId="177" fontId="0" fillId="0" borderId="208" xfId="0" applyNumberFormat="1" applyFont="1" applyFill="1" applyBorder="1" applyAlignment="1">
      <alignment horizontal="center" vertical="center"/>
    </xf>
    <xf numFmtId="177" fontId="0" fillId="0" borderId="36" xfId="0" applyNumberFormat="1" applyFont="1" applyFill="1" applyBorder="1" applyAlignment="1">
      <alignment horizontal="center" vertical="center"/>
    </xf>
    <xf numFmtId="177" fontId="0" fillId="0" borderId="150" xfId="0" applyNumberFormat="1" applyFont="1" applyFill="1" applyBorder="1" applyAlignment="1">
      <alignment horizontal="center" vertical="center"/>
    </xf>
    <xf numFmtId="177" fontId="0" fillId="0" borderId="206" xfId="0" applyNumberFormat="1" applyFont="1" applyFill="1" applyBorder="1" applyAlignment="1">
      <alignment horizontal="center" vertical="center"/>
    </xf>
    <xf numFmtId="177" fontId="0" fillId="0" borderId="218" xfId="0" applyNumberFormat="1" applyFont="1" applyFill="1" applyBorder="1" applyAlignment="1">
      <alignment horizontal="center" vertical="center"/>
    </xf>
    <xf numFmtId="177" fontId="0" fillId="0" borderId="149" xfId="0" applyNumberFormat="1" applyFont="1" applyFill="1" applyBorder="1" applyAlignment="1">
      <alignment horizontal="center" vertical="center"/>
    </xf>
    <xf numFmtId="177" fontId="0" fillId="0" borderId="226" xfId="0" applyNumberFormat="1" applyFill="1" applyBorder="1" applyAlignment="1">
      <alignment vertical="center"/>
    </xf>
    <xf numFmtId="0" fontId="0" fillId="0" borderId="226" xfId="0" applyFont="1" applyFill="1" applyBorder="1" applyAlignment="1">
      <alignment vertical="center"/>
    </xf>
    <xf numFmtId="0" fontId="0" fillId="0" borderId="242" xfId="0" applyFont="1" applyFill="1" applyBorder="1" applyAlignment="1">
      <alignment vertical="center"/>
    </xf>
    <xf numFmtId="177" fontId="0" fillId="0" borderId="246" xfId="0" applyNumberFormat="1" applyBorder="1" applyAlignment="1">
      <alignment horizontal="center" vertical="center" textRotation="255" shrinkToFit="1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54" xfId="3" applyNumberFormat="1" applyFont="1" applyBorder="1" applyAlignment="1">
      <alignment horizontal="center" vertical="center" shrinkToFit="1"/>
    </xf>
    <xf numFmtId="177" fontId="0" fillId="0" borderId="104" xfId="3" applyNumberFormat="1" applyFont="1" applyBorder="1" applyAlignment="1">
      <alignment horizontal="center" vertical="center" shrinkToFit="1"/>
    </xf>
    <xf numFmtId="177" fontId="0" fillId="0" borderId="163" xfId="3" applyNumberFormat="1" applyFont="1" applyBorder="1" applyAlignment="1">
      <alignment horizontal="center" vertical="center" shrinkToFit="1"/>
    </xf>
    <xf numFmtId="177" fontId="0" fillId="0" borderId="154" xfId="3" applyNumberFormat="1" applyFont="1" applyBorder="1" applyAlignment="1">
      <alignment horizontal="center" vertical="center" textRotation="255" shrinkToFit="1"/>
    </xf>
    <xf numFmtId="177" fontId="0" fillId="0" borderId="104" xfId="3" applyNumberFormat="1" applyFont="1" applyBorder="1" applyAlignment="1">
      <alignment horizontal="center" vertical="center" textRotation="255" shrinkToFit="1"/>
    </xf>
    <xf numFmtId="177" fontId="0" fillId="0" borderId="163" xfId="3" applyNumberFormat="1" applyFont="1" applyBorder="1" applyAlignment="1">
      <alignment horizontal="center" vertical="center" textRotation="255" shrinkToFit="1"/>
    </xf>
    <xf numFmtId="176" fontId="0" fillId="0" borderId="130" xfId="0" applyNumberFormat="1" applyFont="1" applyBorder="1" applyAlignment="1">
      <alignment horizontal="center" vertical="center" textRotation="255" shrinkToFit="1"/>
    </xf>
    <xf numFmtId="176" fontId="0" fillId="0" borderId="125" xfId="0" applyNumberFormat="1" applyFont="1" applyBorder="1" applyAlignment="1">
      <alignment horizontal="center" vertical="center" textRotation="255" shrinkToFit="1"/>
    </xf>
    <xf numFmtId="177" fontId="0" fillId="0" borderId="157" xfId="3" applyNumberFormat="1" applyFont="1" applyBorder="1" applyAlignment="1">
      <alignment horizontal="center" vertical="center" textRotation="255" shrinkToFit="1"/>
    </xf>
    <xf numFmtId="177" fontId="0" fillId="0" borderId="97" xfId="3" applyNumberFormat="1" applyFont="1" applyBorder="1" applyAlignment="1">
      <alignment horizontal="center" vertical="center" textRotation="255" shrinkToFit="1"/>
    </xf>
    <xf numFmtId="177" fontId="0" fillId="0" borderId="155" xfId="3" applyNumberFormat="1" applyFont="1" applyBorder="1" applyAlignment="1">
      <alignment horizontal="center" vertical="center" textRotation="255" shrinkToFit="1"/>
    </xf>
    <xf numFmtId="176" fontId="0" fillId="0" borderId="158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2" borderId="48" xfId="0" applyNumberFormat="1" applyFont="1" applyFill="1" applyBorder="1" applyAlignment="1">
      <alignment vertical="center" shrinkToFit="1"/>
    </xf>
    <xf numFmtId="176" fontId="0" fillId="0" borderId="48" xfId="0" applyNumberFormat="1" applyFont="1" applyBorder="1" applyAlignment="1">
      <alignment vertical="center"/>
    </xf>
    <xf numFmtId="176" fontId="0" fillId="0" borderId="195" xfId="0" applyNumberFormat="1" applyFont="1" applyBorder="1" applyAlignment="1">
      <alignment horizontal="center" vertical="center" textRotation="255" shrinkToFit="1"/>
    </xf>
    <xf numFmtId="176" fontId="0" fillId="0" borderId="191" xfId="0" applyNumberFormat="1" applyFont="1" applyBorder="1" applyAlignment="1">
      <alignment horizontal="center" vertical="center" textRotation="255" shrinkToFit="1"/>
    </xf>
    <xf numFmtId="176" fontId="0" fillId="0" borderId="193" xfId="0" applyNumberFormat="1" applyFont="1" applyBorder="1" applyAlignment="1">
      <alignment horizontal="center" vertical="center" textRotation="255" shrinkToFit="1"/>
    </xf>
    <xf numFmtId="177" fontId="0" fillId="0" borderId="33" xfId="3" applyNumberFormat="1" applyFont="1" applyBorder="1" applyAlignment="1">
      <alignment horizontal="center" vertical="center" shrinkToFit="1"/>
    </xf>
    <xf numFmtId="177" fontId="0" fillId="0" borderId="62" xfId="3" applyNumberFormat="1" applyFont="1" applyBorder="1" applyAlignment="1">
      <alignment horizontal="center" vertical="center" shrinkToFit="1"/>
    </xf>
    <xf numFmtId="176" fontId="0" fillId="0" borderId="197" xfId="0" applyNumberFormat="1" applyFont="1" applyBorder="1" applyAlignment="1">
      <alignment horizontal="center" vertical="center" textRotation="255" shrinkToFit="1"/>
    </xf>
    <xf numFmtId="176" fontId="0" fillId="0" borderId="160" xfId="3" applyNumberFormat="1" applyFont="1" applyFill="1" applyBorder="1" applyAlignment="1">
      <alignment vertical="center" shrinkToFit="1"/>
    </xf>
    <xf numFmtId="176" fontId="0" fillId="0" borderId="161" xfId="3" applyNumberFormat="1" applyFont="1" applyFill="1" applyBorder="1" applyAlignment="1">
      <alignment vertical="center" shrinkToFit="1"/>
    </xf>
    <xf numFmtId="176" fontId="0" fillId="0" borderId="217" xfId="3" applyNumberFormat="1" applyFont="1" applyFill="1" applyBorder="1" applyAlignment="1">
      <alignment vertical="center" shrinkToFit="1"/>
    </xf>
    <xf numFmtId="176" fontId="0" fillId="0" borderId="216" xfId="3" applyNumberFormat="1" applyFont="1" applyFill="1" applyBorder="1" applyAlignment="1">
      <alignment vertical="center" shrinkToFit="1"/>
    </xf>
    <xf numFmtId="176" fontId="0" fillId="0" borderId="32" xfId="3" applyNumberFormat="1" applyFont="1" applyFill="1" applyBorder="1" applyAlignment="1">
      <alignment vertical="center" shrinkToFit="1"/>
    </xf>
    <xf numFmtId="176" fontId="0" fillId="0" borderId="37" xfId="3" applyNumberFormat="1" applyFont="1" applyFill="1" applyBorder="1" applyAlignment="1">
      <alignment vertical="center" shrinkToFit="1"/>
    </xf>
    <xf numFmtId="176" fontId="0" fillId="0" borderId="32" xfId="0" applyNumberFormat="1" applyFont="1" applyFill="1" applyBorder="1" applyAlignment="1">
      <alignment vertical="center"/>
    </xf>
    <xf numFmtId="176" fontId="0" fillId="0" borderId="37" xfId="0" applyNumberFormat="1" applyFont="1" applyFill="1" applyBorder="1" applyAlignment="1">
      <alignment vertical="center"/>
    </xf>
    <xf numFmtId="176" fontId="0" fillId="2" borderId="38" xfId="0" applyNumberFormat="1" applyFont="1" applyFill="1" applyBorder="1" applyAlignment="1">
      <alignment vertical="center" shrinkToFit="1"/>
    </xf>
    <xf numFmtId="176" fontId="0" fillId="0" borderId="38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47" xfId="0" applyNumberFormat="1" applyFont="1" applyBorder="1" applyAlignment="1">
      <alignment horizontal="center" vertical="center" shrinkToFit="1"/>
    </xf>
    <xf numFmtId="176" fontId="0" fillId="0" borderId="31" xfId="0" applyNumberFormat="1" applyFont="1" applyBorder="1" applyAlignment="1">
      <alignment horizontal="center" vertical="center" textRotation="255" shrinkToFit="1"/>
    </xf>
    <xf numFmtId="176" fontId="0" fillId="2" borderId="128" xfId="0" applyNumberFormat="1" applyFont="1" applyFill="1" applyBorder="1" applyAlignment="1">
      <alignment horizontal="center" vertical="center" shrinkToFit="1"/>
    </xf>
    <xf numFmtId="176" fontId="0" fillId="2" borderId="83" xfId="0" applyNumberFormat="1" applyFont="1" applyFill="1" applyBorder="1" applyAlignment="1">
      <alignment horizontal="center" vertical="center" shrinkToFit="1"/>
    </xf>
    <xf numFmtId="176" fontId="0" fillId="0" borderId="186" xfId="0" applyNumberFormat="1" applyFont="1" applyBorder="1" applyAlignment="1">
      <alignment horizontal="center" vertical="center" shrinkToFit="1"/>
    </xf>
    <xf numFmtId="176" fontId="0" fillId="0" borderId="182" xfId="0" applyNumberFormat="1" applyFont="1" applyBorder="1" applyAlignment="1">
      <alignment horizontal="center" vertical="center" shrinkToFit="1"/>
    </xf>
    <xf numFmtId="176" fontId="0" fillId="0" borderId="105" xfId="0" applyNumberFormat="1" applyFont="1" applyBorder="1" applyAlignment="1">
      <alignment horizontal="center" vertical="center" textRotation="255" shrinkToFit="1"/>
    </xf>
    <xf numFmtId="176" fontId="0" fillId="0" borderId="188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165" xfId="0" applyNumberFormat="1" applyFont="1" applyBorder="1" applyAlignment="1">
      <alignment horizontal="center" vertical="center" shrinkToFit="1"/>
    </xf>
    <xf numFmtId="176" fontId="0" fillId="0" borderId="202" xfId="0" applyNumberFormat="1" applyFont="1" applyBorder="1" applyAlignment="1">
      <alignment horizontal="center" vertical="center" textRotation="255" shrinkToFit="1"/>
    </xf>
    <xf numFmtId="176" fontId="0" fillId="0" borderId="192" xfId="0" applyNumberFormat="1" applyFont="1" applyBorder="1" applyAlignment="1">
      <alignment horizontal="center" vertical="center" textRotation="255" shrinkToFit="1"/>
    </xf>
    <xf numFmtId="176" fontId="0" fillId="0" borderId="203" xfId="0" applyNumberFormat="1" applyFon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6" fontId="0" fillId="0" borderId="186" xfId="0" applyNumberFormat="1" applyFont="1" applyFill="1" applyBorder="1" applyAlignment="1">
      <alignment horizontal="center" vertical="center" shrinkToFit="1"/>
    </xf>
    <xf numFmtId="176" fontId="0" fillId="0" borderId="182" xfId="0" applyNumberFormat="1" applyFont="1" applyFill="1" applyBorder="1" applyAlignment="1">
      <alignment horizontal="center" vertical="center" shrinkToFit="1"/>
    </xf>
    <xf numFmtId="176" fontId="0" fillId="0" borderId="187" xfId="0" applyNumberFormat="1" applyFont="1" applyBorder="1" applyAlignment="1">
      <alignment horizontal="center" vertical="center" shrinkToFit="1"/>
    </xf>
    <xf numFmtId="176" fontId="0" fillId="0" borderId="189" xfId="0" applyNumberFormat="1" applyFont="1" applyBorder="1" applyAlignment="1">
      <alignment horizontal="center" vertical="center" shrinkToFit="1"/>
    </xf>
    <xf numFmtId="177" fontId="0" fillId="2" borderId="128" xfId="0" applyNumberFormat="1" applyFont="1" applyFill="1" applyBorder="1" applyAlignment="1">
      <alignment horizontal="center" vertical="center" shrinkToFit="1"/>
    </xf>
    <xf numFmtId="177" fontId="0" fillId="2" borderId="83" xfId="0" applyNumberFormat="1" applyFont="1" applyFill="1" applyBorder="1" applyAlignment="1">
      <alignment horizontal="center" vertical="center" shrinkToFit="1"/>
    </xf>
    <xf numFmtId="177" fontId="0" fillId="2" borderId="166" xfId="0" applyNumberFormat="1" applyFont="1" applyFill="1" applyBorder="1" applyAlignment="1">
      <alignment horizontal="center" vertical="center" shrinkToFit="1"/>
    </xf>
    <xf numFmtId="177" fontId="0" fillId="2" borderId="167" xfId="0" applyNumberFormat="1" applyFont="1" applyFill="1" applyBorder="1" applyAlignment="1">
      <alignment horizontal="center" vertical="center" shrinkToFit="1"/>
    </xf>
    <xf numFmtId="3" fontId="0" fillId="0" borderId="49" xfId="5" applyNumberFormat="1" applyFont="1" applyFill="1" applyBorder="1" applyAlignment="1">
      <alignment horizontal="center" vertical="center" shrinkToFit="1"/>
    </xf>
    <xf numFmtId="3" fontId="0" fillId="0" borderId="40" xfId="5" applyNumberFormat="1" applyFont="1" applyFill="1" applyBorder="1" applyAlignment="1">
      <alignment horizontal="center" vertical="center" shrinkToFit="1"/>
    </xf>
    <xf numFmtId="3" fontId="0" fillId="0" borderId="132" xfId="5" applyNumberFormat="1" applyFont="1" applyFill="1" applyBorder="1" applyAlignment="1">
      <alignment horizontal="center" vertical="center" shrinkToFit="1"/>
    </xf>
    <xf numFmtId="177" fontId="0" fillId="0" borderId="170" xfId="3" applyNumberFormat="1" applyFont="1" applyBorder="1" applyAlignment="1">
      <alignment horizontal="center" vertical="center" shrinkToFit="1"/>
    </xf>
    <xf numFmtId="177" fontId="0" fillId="0" borderId="171" xfId="3" applyNumberFormat="1" applyFont="1" applyBorder="1" applyAlignment="1">
      <alignment horizontal="center" vertical="center" shrinkToFit="1"/>
    </xf>
    <xf numFmtId="177" fontId="0" fillId="2" borderId="82" xfId="0" applyNumberFormat="1" applyFont="1" applyFill="1" applyBorder="1" applyAlignment="1">
      <alignment horizontal="center" vertical="center" shrinkToFit="1"/>
    </xf>
  </cellXfs>
  <cellStyles count="14">
    <cellStyle name="パーセント" xfId="4" builtinId="5"/>
    <cellStyle name="パーセント 2" xfId="6"/>
    <cellStyle name="桁区切り" xfId="1" builtinId="6"/>
    <cellStyle name="桁区切り 2" xfId="7"/>
    <cellStyle name="桁区切り 3" xfId="13"/>
    <cellStyle name="標準" xfId="0" builtinId="0"/>
    <cellStyle name="標準 2" xfId="8"/>
    <cellStyle name="標準 2 2" xfId="10"/>
    <cellStyle name="標準 3" xfId="11"/>
    <cellStyle name="標準 4" xfId="12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9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9528</xdr:colOff>
      <xdr:row>20</xdr:row>
      <xdr:rowOff>0</xdr:rowOff>
    </xdr:from>
    <xdr:to>
      <xdr:col>28</xdr:col>
      <xdr:colOff>13747</xdr:colOff>
      <xdr:row>21</xdr:row>
      <xdr:rowOff>4350</xdr:rowOff>
    </xdr:to>
    <xdr:sp macro="" textlink="">
      <xdr:nvSpPr>
        <xdr:cNvPr id="5128" name="Rectangle 8" descr="10%"/>
        <xdr:cNvSpPr>
          <a:spLocks noChangeArrowheads="1"/>
        </xdr:cNvSpPr>
      </xdr:nvSpPr>
      <xdr:spPr bwMode="auto">
        <a:xfrm>
          <a:off x="8939216" y="5072063"/>
          <a:ext cx="540000" cy="254381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50799</xdr:colOff>
      <xdr:row>12</xdr:row>
      <xdr:rowOff>38100</xdr:rowOff>
    </xdr:from>
    <xdr:to>
      <xdr:col>31</xdr:col>
      <xdr:colOff>200024</xdr:colOff>
      <xdr:row>12</xdr:row>
      <xdr:rowOff>133350</xdr:rowOff>
    </xdr:to>
    <xdr:sp macro="" textlink="">
      <xdr:nvSpPr>
        <xdr:cNvPr id="4" name="Rectangle 8" descr="10%"/>
        <xdr:cNvSpPr>
          <a:spLocks noChangeArrowheads="1"/>
        </xdr:cNvSpPr>
      </xdr:nvSpPr>
      <xdr:spPr bwMode="auto">
        <a:xfrm>
          <a:off x="9556749" y="3086100"/>
          <a:ext cx="682625" cy="9525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231775</xdr:colOff>
      <xdr:row>13</xdr:row>
      <xdr:rowOff>25400</xdr:rowOff>
    </xdr:from>
    <xdr:to>
      <xdr:col>32</xdr:col>
      <xdr:colOff>257174</xdr:colOff>
      <xdr:row>13</xdr:row>
      <xdr:rowOff>190500</xdr:rowOff>
    </xdr:to>
    <xdr:sp macro="" textlink="">
      <xdr:nvSpPr>
        <xdr:cNvPr id="5" name="Rectangle 8" descr="10%"/>
        <xdr:cNvSpPr>
          <a:spLocks noChangeArrowheads="1"/>
        </xdr:cNvSpPr>
      </xdr:nvSpPr>
      <xdr:spPr bwMode="auto">
        <a:xfrm>
          <a:off x="10271125" y="3321050"/>
          <a:ext cx="292099" cy="16510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152400</xdr:colOff>
      <xdr:row>12</xdr:row>
      <xdr:rowOff>85725</xdr:rowOff>
    </xdr:from>
    <xdr:to>
      <xdr:col>29</xdr:col>
      <xdr:colOff>50799</xdr:colOff>
      <xdr:row>12</xdr:row>
      <xdr:rowOff>127001</xdr:rowOff>
    </xdr:to>
    <xdr:cxnSp macro="">
      <xdr:nvCxnSpPr>
        <xdr:cNvPr id="7" name="直線コネクタ 6"/>
        <xdr:cNvCxnSpPr>
          <a:endCxn id="4" idx="1"/>
        </xdr:cNvCxnSpPr>
      </xdr:nvCxnSpPr>
      <xdr:spPr>
        <a:xfrm flipV="1">
          <a:off x="5657850" y="3133725"/>
          <a:ext cx="3898899" cy="412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209550</xdr:colOff>
      <xdr:row>13</xdr:row>
      <xdr:rowOff>107950</xdr:rowOff>
    </xdr:from>
    <xdr:to>
      <xdr:col>31</xdr:col>
      <xdr:colOff>231775</xdr:colOff>
      <xdr:row>13</xdr:row>
      <xdr:rowOff>142875</xdr:rowOff>
    </xdr:to>
    <xdr:cxnSp macro="">
      <xdr:nvCxnSpPr>
        <xdr:cNvPr id="9" name="直線コネクタ 8"/>
        <xdr:cNvCxnSpPr>
          <a:endCxn id="5" idx="1"/>
        </xdr:cNvCxnSpPr>
      </xdr:nvCxnSpPr>
      <xdr:spPr>
        <a:xfrm flipV="1">
          <a:off x="6515100" y="3403600"/>
          <a:ext cx="3756025" cy="34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406400</xdr:colOff>
      <xdr:row>5</xdr:row>
      <xdr:rowOff>139700</xdr:rowOff>
    </xdr:from>
    <xdr:to>
      <xdr:col>25</xdr:col>
      <xdr:colOff>0</xdr:colOff>
      <xdr:row>5</xdr:row>
      <xdr:rowOff>139700</xdr:rowOff>
    </xdr:to>
    <xdr:cxnSp macro="">
      <xdr:nvCxnSpPr>
        <xdr:cNvPr id="3" name="直線コネクタ 2"/>
        <xdr:cNvCxnSpPr/>
      </xdr:nvCxnSpPr>
      <xdr:spPr>
        <a:xfrm>
          <a:off x="7937500" y="1346200"/>
          <a:ext cx="3365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P34"/>
  <sheetViews>
    <sheetView tabSelected="1" zoomScale="75" zoomScaleNormal="75" workbookViewId="0"/>
  </sheetViews>
  <sheetFormatPr defaultColWidth="9" defaultRowHeight="13.5" x14ac:dyDescent="0.15"/>
  <cols>
    <col min="1" max="1" width="1.625" style="136" customWidth="1"/>
    <col min="2" max="3" width="7.625" style="136" customWidth="1"/>
    <col min="4" max="6" width="9" style="136"/>
    <col min="7" max="7" width="3.5" style="136" customWidth="1"/>
    <col min="8" max="8" width="3.625" style="136" customWidth="1"/>
    <col min="9" max="9" width="3.75" style="136" customWidth="1"/>
    <col min="10" max="42" width="3.5" style="136" customWidth="1"/>
    <col min="43" max="43" width="1.375" style="136" customWidth="1"/>
    <col min="44" max="16384" width="9" style="136"/>
  </cols>
  <sheetData>
    <row r="1" spans="1:42" ht="9.9499999999999993" customHeight="1" thickBot="1" x14ac:dyDescent="0.2"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42" ht="39.950000000000003" customHeight="1" thickBot="1" x14ac:dyDescent="0.2">
      <c r="A2" s="139"/>
      <c r="B2" s="140" t="s">
        <v>88</v>
      </c>
      <c r="C2" s="600" t="s">
        <v>395</v>
      </c>
      <c r="D2" s="601"/>
      <c r="E2" s="305" t="s">
        <v>74</v>
      </c>
      <c r="F2" s="600" t="s">
        <v>418</v>
      </c>
      <c r="G2" s="602"/>
      <c r="H2" s="602"/>
      <c r="I2" s="602"/>
      <c r="J2" s="602"/>
      <c r="K2" s="602"/>
      <c r="L2" s="602"/>
      <c r="M2" s="602"/>
      <c r="N2" s="601"/>
      <c r="O2" s="615" t="s">
        <v>75</v>
      </c>
      <c r="P2" s="616"/>
      <c r="Q2" s="617"/>
      <c r="R2" s="618" t="s">
        <v>489</v>
      </c>
      <c r="S2" s="619"/>
      <c r="T2" s="619"/>
      <c r="U2" s="619"/>
      <c r="V2" s="618" t="s">
        <v>76</v>
      </c>
      <c r="W2" s="619"/>
      <c r="X2" s="619"/>
      <c r="Y2" s="612" t="s">
        <v>394</v>
      </c>
      <c r="Z2" s="613"/>
      <c r="AA2" s="614"/>
      <c r="AB2" s="141"/>
      <c r="AC2" s="141"/>
      <c r="AD2" s="141"/>
    </row>
    <row r="3" spans="1:42" ht="9.9499999999999993" customHeight="1" x14ac:dyDescent="0.15">
      <c r="B3" s="142"/>
    </row>
    <row r="4" spans="1:42" ht="24.95" customHeight="1" thickBot="1" x14ac:dyDescent="0.2">
      <c r="B4" s="136" t="s">
        <v>118</v>
      </c>
    </row>
    <row r="5" spans="1:42" ht="20.100000000000001" customHeight="1" x14ac:dyDescent="0.15">
      <c r="B5" s="605" t="s">
        <v>119</v>
      </c>
      <c r="C5" s="606"/>
      <c r="D5" s="607"/>
      <c r="E5" s="608"/>
      <c r="F5" s="608"/>
      <c r="G5" s="609"/>
      <c r="H5" s="610" t="s">
        <v>77</v>
      </c>
      <c r="I5" s="606"/>
      <c r="J5" s="606"/>
      <c r="K5" s="606"/>
      <c r="L5" s="606"/>
      <c r="M5" s="606"/>
      <c r="N5" s="606"/>
      <c r="O5" s="606"/>
      <c r="P5" s="606"/>
      <c r="Q5" s="606"/>
      <c r="R5" s="606"/>
      <c r="S5" s="606"/>
      <c r="T5" s="606"/>
      <c r="U5" s="606"/>
      <c r="V5" s="606"/>
      <c r="W5" s="606"/>
      <c r="X5" s="606"/>
      <c r="Y5" s="606"/>
      <c r="Z5" s="606"/>
      <c r="AA5" s="611"/>
      <c r="AD5" s="141"/>
      <c r="AE5" s="141"/>
      <c r="AF5" s="141"/>
      <c r="AG5" s="141"/>
      <c r="AH5" s="141"/>
      <c r="AI5" s="141"/>
      <c r="AJ5" s="141"/>
      <c r="AK5" s="141"/>
      <c r="AL5" s="141"/>
    </row>
    <row r="6" spans="1:42" ht="20.100000000000001" customHeight="1" x14ac:dyDescent="0.15">
      <c r="B6" s="647" t="s">
        <v>78</v>
      </c>
      <c r="C6" s="648"/>
      <c r="D6" s="648"/>
      <c r="E6" s="648"/>
      <c r="F6" s="648"/>
      <c r="G6" s="623"/>
      <c r="H6" s="623" t="s">
        <v>79</v>
      </c>
      <c r="I6" s="603"/>
      <c r="J6" s="603"/>
      <c r="K6" s="603"/>
      <c r="L6" s="603"/>
      <c r="M6" s="603"/>
      <c r="N6" s="623" t="s">
        <v>80</v>
      </c>
      <c r="O6" s="603"/>
      <c r="P6" s="603"/>
      <c r="Q6" s="623" t="s">
        <v>81</v>
      </c>
      <c r="R6" s="603"/>
      <c r="S6" s="603"/>
      <c r="T6" s="603"/>
      <c r="U6" s="603"/>
      <c r="V6" s="603"/>
      <c r="W6" s="603"/>
      <c r="X6" s="624"/>
      <c r="Y6" s="603" t="s">
        <v>82</v>
      </c>
      <c r="Z6" s="603"/>
      <c r="AA6" s="604"/>
    </row>
    <row r="7" spans="1:42" ht="20.100000000000001" customHeight="1" x14ac:dyDescent="0.15">
      <c r="B7" s="652" t="s">
        <v>83</v>
      </c>
      <c r="C7" s="653"/>
      <c r="D7" s="654" t="s">
        <v>413</v>
      </c>
      <c r="E7" s="655"/>
      <c r="F7" s="655"/>
      <c r="G7" s="655"/>
      <c r="H7" s="656" t="s">
        <v>10</v>
      </c>
      <c r="I7" s="657"/>
      <c r="J7" s="657"/>
      <c r="K7" s="657"/>
      <c r="L7" s="657"/>
      <c r="M7" s="658"/>
      <c r="N7" s="620">
        <f>SUM(F13:F14)</f>
        <v>15</v>
      </c>
      <c r="O7" s="621"/>
      <c r="P7" s="622"/>
      <c r="Q7" s="630"/>
      <c r="R7" s="631"/>
      <c r="S7" s="631"/>
      <c r="T7" s="631"/>
      <c r="U7" s="631"/>
      <c r="V7" s="631"/>
      <c r="W7" s="631"/>
      <c r="X7" s="632"/>
      <c r="Y7" s="633"/>
      <c r="Z7" s="633"/>
      <c r="AA7" s="634"/>
    </row>
    <row r="8" spans="1:42" ht="20.100000000000001" customHeight="1" x14ac:dyDescent="0.15">
      <c r="B8" s="647" t="s">
        <v>84</v>
      </c>
      <c r="C8" s="648"/>
      <c r="D8" s="649"/>
      <c r="E8" s="649"/>
      <c r="F8" s="649"/>
      <c r="G8" s="650"/>
      <c r="H8" s="623"/>
      <c r="I8" s="603"/>
      <c r="J8" s="603"/>
      <c r="K8" s="603"/>
      <c r="L8" s="603"/>
      <c r="M8" s="624"/>
      <c r="N8" s="641"/>
      <c r="O8" s="642"/>
      <c r="P8" s="651"/>
      <c r="Q8" s="638"/>
      <c r="R8" s="639"/>
      <c r="S8" s="639"/>
      <c r="T8" s="639"/>
      <c r="U8" s="639"/>
      <c r="V8" s="639"/>
      <c r="W8" s="639"/>
      <c r="X8" s="640"/>
      <c r="Y8" s="641"/>
      <c r="Z8" s="642"/>
      <c r="AA8" s="643"/>
    </row>
    <row r="9" spans="1:42" ht="20.100000000000001" customHeight="1" x14ac:dyDescent="0.15">
      <c r="B9" s="647" t="s">
        <v>85</v>
      </c>
      <c r="C9" s="648"/>
      <c r="D9" s="649"/>
      <c r="E9" s="649"/>
      <c r="F9" s="649"/>
      <c r="G9" s="650"/>
      <c r="H9" s="623"/>
      <c r="I9" s="603"/>
      <c r="J9" s="603"/>
      <c r="K9" s="603"/>
      <c r="L9" s="603"/>
      <c r="M9" s="624"/>
      <c r="N9" s="641"/>
      <c r="O9" s="642"/>
      <c r="P9" s="651"/>
      <c r="Q9" s="638"/>
      <c r="R9" s="639"/>
      <c r="S9" s="639"/>
      <c r="T9" s="639"/>
      <c r="U9" s="639"/>
      <c r="V9" s="639"/>
      <c r="W9" s="639"/>
      <c r="X9" s="640"/>
      <c r="Y9" s="641"/>
      <c r="Z9" s="642"/>
      <c r="AA9" s="643"/>
    </row>
    <row r="10" spans="1:42" ht="20.100000000000001" customHeight="1" x14ac:dyDescent="0.15">
      <c r="B10" s="647" t="s">
        <v>86</v>
      </c>
      <c r="C10" s="648"/>
      <c r="D10" s="649"/>
      <c r="E10" s="649"/>
      <c r="F10" s="649"/>
      <c r="G10" s="650"/>
      <c r="H10" s="659"/>
      <c r="I10" s="660"/>
      <c r="J10" s="660"/>
      <c r="K10" s="660"/>
      <c r="L10" s="660"/>
      <c r="M10" s="660"/>
      <c r="N10" s="641"/>
      <c r="O10" s="642"/>
      <c r="P10" s="651"/>
      <c r="Q10" s="638"/>
      <c r="R10" s="639"/>
      <c r="S10" s="639"/>
      <c r="T10" s="639"/>
      <c r="U10" s="639"/>
      <c r="V10" s="639"/>
      <c r="W10" s="639"/>
      <c r="X10" s="640"/>
      <c r="Y10" s="642"/>
      <c r="Z10" s="642"/>
      <c r="AA10" s="643"/>
    </row>
    <row r="11" spans="1:42" ht="20.100000000000001" customHeight="1" thickBot="1" x14ac:dyDescent="0.2">
      <c r="B11" s="664" t="s">
        <v>87</v>
      </c>
      <c r="C11" s="653"/>
      <c r="D11" s="665"/>
      <c r="E11" s="665"/>
      <c r="F11" s="665"/>
      <c r="G11" s="666"/>
      <c r="H11" s="667"/>
      <c r="I11" s="668"/>
      <c r="J11" s="668"/>
      <c r="K11" s="668"/>
      <c r="L11" s="668"/>
      <c r="M11" s="668"/>
      <c r="N11" s="674"/>
      <c r="O11" s="671"/>
      <c r="P11" s="671"/>
      <c r="Q11" s="644"/>
      <c r="R11" s="645"/>
      <c r="S11" s="645"/>
      <c r="T11" s="645"/>
      <c r="U11" s="645"/>
      <c r="V11" s="645"/>
      <c r="W11" s="645"/>
      <c r="X11" s="646"/>
      <c r="Y11" s="671"/>
      <c r="Z11" s="671"/>
      <c r="AA11" s="672"/>
    </row>
    <row r="12" spans="1:42" ht="20.100000000000001" customHeight="1" x14ac:dyDescent="0.15">
      <c r="B12" s="669" t="s">
        <v>116</v>
      </c>
      <c r="C12" s="661" t="s">
        <v>120</v>
      </c>
      <c r="D12" s="606"/>
      <c r="E12" s="662"/>
      <c r="F12" s="137" t="s">
        <v>117</v>
      </c>
      <c r="G12" s="661">
        <v>1</v>
      </c>
      <c r="H12" s="606"/>
      <c r="I12" s="606"/>
      <c r="J12" s="661">
        <v>2</v>
      </c>
      <c r="K12" s="606"/>
      <c r="L12" s="662"/>
      <c r="M12" s="606">
        <v>3</v>
      </c>
      <c r="N12" s="606"/>
      <c r="O12" s="663"/>
      <c r="P12" s="661">
        <v>4</v>
      </c>
      <c r="Q12" s="606"/>
      <c r="R12" s="662"/>
      <c r="S12" s="673">
        <v>5</v>
      </c>
      <c r="T12" s="606"/>
      <c r="U12" s="663"/>
      <c r="V12" s="661">
        <v>6</v>
      </c>
      <c r="W12" s="606"/>
      <c r="X12" s="662"/>
      <c r="Y12" s="673">
        <v>7</v>
      </c>
      <c r="Z12" s="606"/>
      <c r="AA12" s="663"/>
      <c r="AB12" s="661">
        <v>8</v>
      </c>
      <c r="AC12" s="606"/>
      <c r="AD12" s="662"/>
      <c r="AE12" s="673">
        <v>9</v>
      </c>
      <c r="AF12" s="606"/>
      <c r="AG12" s="663"/>
      <c r="AH12" s="661">
        <v>10</v>
      </c>
      <c r="AI12" s="606"/>
      <c r="AJ12" s="662"/>
      <c r="AK12" s="661">
        <v>11</v>
      </c>
      <c r="AL12" s="606"/>
      <c r="AM12" s="662"/>
      <c r="AN12" s="606">
        <v>12</v>
      </c>
      <c r="AO12" s="606"/>
      <c r="AP12" s="611"/>
    </row>
    <row r="13" spans="1:42" ht="20.100000000000001" customHeight="1" x14ac:dyDescent="0.15">
      <c r="B13" s="670"/>
      <c r="C13" s="365" t="s">
        <v>284</v>
      </c>
      <c r="D13" s="363"/>
      <c r="E13" s="364"/>
      <c r="F13" s="528">
        <f>AB26+AM26+AB27+AM27+AB28</f>
        <v>10</v>
      </c>
      <c r="G13" s="514"/>
      <c r="H13" s="515"/>
      <c r="I13" s="515"/>
      <c r="J13" s="514"/>
      <c r="K13" s="515"/>
      <c r="L13" s="143"/>
      <c r="M13" s="515"/>
      <c r="N13" s="515"/>
      <c r="O13" s="442" t="s">
        <v>397</v>
      </c>
      <c r="P13" s="514"/>
      <c r="Q13" s="515"/>
      <c r="R13" s="445" t="s">
        <v>398</v>
      </c>
      <c r="S13" s="443" t="s">
        <v>397</v>
      </c>
      <c r="T13" s="515"/>
      <c r="U13" s="442" t="s">
        <v>398</v>
      </c>
      <c r="V13" s="514"/>
      <c r="W13" s="515"/>
      <c r="X13" s="143"/>
      <c r="Y13" s="145"/>
      <c r="Z13" s="515"/>
      <c r="AA13" s="144"/>
      <c r="AB13" s="514"/>
      <c r="AC13" s="515"/>
      <c r="AD13" s="143"/>
      <c r="AE13" s="514"/>
      <c r="AF13" s="515"/>
      <c r="AG13" s="143"/>
      <c r="AH13" s="514"/>
      <c r="AI13" s="515"/>
      <c r="AJ13" s="143"/>
      <c r="AK13" s="514"/>
      <c r="AL13" s="515"/>
      <c r="AM13" s="143"/>
      <c r="AN13" s="515"/>
      <c r="AO13" s="515"/>
      <c r="AP13" s="516"/>
    </row>
    <row r="14" spans="1:42" ht="20.100000000000001" customHeight="1" x14ac:dyDescent="0.15">
      <c r="B14" s="670"/>
      <c r="C14" s="366" t="s">
        <v>283</v>
      </c>
      <c r="D14" s="363"/>
      <c r="E14" s="364"/>
      <c r="F14" s="529">
        <f>AM28</f>
        <v>5</v>
      </c>
      <c r="G14" s="530"/>
      <c r="H14" s="531"/>
      <c r="I14" s="531"/>
      <c r="J14" s="530"/>
      <c r="K14" s="531"/>
      <c r="L14" s="146"/>
      <c r="M14" s="531"/>
      <c r="N14" s="531"/>
      <c r="O14" s="147"/>
      <c r="P14" s="530"/>
      <c r="Q14" s="531"/>
      <c r="R14" s="444" t="s">
        <v>397</v>
      </c>
      <c r="S14" s="148"/>
      <c r="T14" s="532" t="s">
        <v>398</v>
      </c>
      <c r="U14" s="147"/>
      <c r="V14" s="530"/>
      <c r="W14" s="531"/>
      <c r="X14" s="146"/>
      <c r="Y14" s="148"/>
      <c r="Z14" s="531"/>
      <c r="AA14" s="147"/>
      <c r="AB14" s="530"/>
      <c r="AC14" s="531"/>
      <c r="AD14" s="146"/>
      <c r="AE14" s="530"/>
      <c r="AF14" s="531"/>
      <c r="AG14" s="146"/>
      <c r="AH14" s="530"/>
      <c r="AI14" s="531"/>
      <c r="AJ14" s="146"/>
      <c r="AK14" s="530"/>
      <c r="AL14" s="531"/>
      <c r="AM14" s="146"/>
      <c r="AN14" s="531"/>
      <c r="AO14" s="531"/>
      <c r="AP14" s="533"/>
    </row>
    <row r="15" spans="1:42" ht="20.100000000000001" customHeight="1" x14ac:dyDescent="0.15">
      <c r="B15" s="670"/>
      <c r="C15" s="366" t="s">
        <v>435</v>
      </c>
      <c r="D15" s="363"/>
      <c r="E15" s="364"/>
      <c r="F15" s="529">
        <v>2</v>
      </c>
      <c r="G15" s="530"/>
      <c r="H15" s="531"/>
      <c r="I15" s="531"/>
      <c r="J15" s="530"/>
      <c r="K15" s="531"/>
      <c r="L15" s="146"/>
      <c r="M15" s="531"/>
      <c r="N15" s="531"/>
      <c r="O15" s="147"/>
      <c r="P15" s="530"/>
      <c r="Q15" s="531"/>
      <c r="R15" s="146"/>
      <c r="S15" s="148"/>
      <c r="T15" s="531"/>
      <c r="U15" s="147"/>
      <c r="V15" s="530"/>
      <c r="W15" s="531"/>
      <c r="X15" s="146"/>
      <c r="Y15" s="148"/>
      <c r="Z15" s="531"/>
      <c r="AA15" s="147"/>
      <c r="AB15" s="530"/>
      <c r="AC15" s="531"/>
      <c r="AD15" s="146"/>
      <c r="AE15" s="530"/>
      <c r="AF15" s="531"/>
      <c r="AG15" s="146"/>
      <c r="AH15" s="530"/>
      <c r="AI15" s="531"/>
      <c r="AJ15" s="146"/>
      <c r="AK15" s="530"/>
      <c r="AL15" s="531"/>
      <c r="AM15" s="146"/>
      <c r="AN15" s="531"/>
      <c r="AO15" s="531"/>
      <c r="AP15" s="533"/>
    </row>
    <row r="16" spans="1:42" ht="20.100000000000001" customHeight="1" x14ac:dyDescent="0.15">
      <c r="B16" s="670"/>
      <c r="C16" s="366" t="s">
        <v>436</v>
      </c>
      <c r="D16" s="363"/>
      <c r="E16" s="364"/>
      <c r="F16" s="529">
        <v>2</v>
      </c>
      <c r="G16" s="530"/>
      <c r="H16" s="531"/>
      <c r="I16" s="531"/>
      <c r="J16" s="530"/>
      <c r="K16" s="531"/>
      <c r="L16" s="146"/>
      <c r="M16" s="531"/>
      <c r="N16" s="531"/>
      <c r="O16" s="147"/>
      <c r="P16" s="530"/>
      <c r="Q16" s="531"/>
      <c r="R16" s="146"/>
      <c r="S16" s="148"/>
      <c r="T16" s="531"/>
      <c r="U16" s="147"/>
      <c r="V16" s="530"/>
      <c r="W16" s="531"/>
      <c r="X16" s="146"/>
      <c r="Y16" s="148"/>
      <c r="Z16" s="531"/>
      <c r="AA16" s="147"/>
      <c r="AB16" s="530"/>
      <c r="AC16" s="531"/>
      <c r="AD16" s="146"/>
      <c r="AE16" s="530"/>
      <c r="AF16" s="531"/>
      <c r="AG16" s="146"/>
      <c r="AH16" s="530"/>
      <c r="AI16" s="531"/>
      <c r="AJ16" s="146"/>
      <c r="AK16" s="530"/>
      <c r="AL16" s="531"/>
      <c r="AM16" s="146"/>
      <c r="AN16" s="531"/>
      <c r="AO16" s="531"/>
      <c r="AP16" s="533"/>
    </row>
    <row r="17" spans="2:42" ht="20.100000000000001" customHeight="1" x14ac:dyDescent="0.15">
      <c r="B17" s="670"/>
      <c r="C17" s="366" t="s">
        <v>423</v>
      </c>
      <c r="D17" s="363"/>
      <c r="E17" s="364"/>
      <c r="F17" s="529">
        <v>2</v>
      </c>
      <c r="G17" s="530"/>
      <c r="H17" s="531"/>
      <c r="I17" s="531"/>
      <c r="J17" s="530"/>
      <c r="K17" s="531"/>
      <c r="L17" s="146"/>
      <c r="M17" s="531"/>
      <c r="N17" s="531"/>
      <c r="O17" s="147"/>
      <c r="P17" s="530"/>
      <c r="Q17" s="531"/>
      <c r="R17" s="146"/>
      <c r="S17" s="148"/>
      <c r="T17" s="531"/>
      <c r="U17" s="147"/>
      <c r="V17" s="530"/>
      <c r="W17" s="531"/>
      <c r="X17" s="146"/>
      <c r="Y17" s="148"/>
      <c r="Z17" s="531"/>
      <c r="AA17" s="147"/>
      <c r="AB17" s="530"/>
      <c r="AC17" s="531"/>
      <c r="AD17" s="146"/>
      <c r="AE17" s="530"/>
      <c r="AF17" s="531"/>
      <c r="AG17" s="146"/>
      <c r="AH17" s="530"/>
      <c r="AI17" s="531"/>
      <c r="AJ17" s="146"/>
      <c r="AK17" s="530"/>
      <c r="AL17" s="531"/>
      <c r="AM17" s="146"/>
      <c r="AN17" s="531"/>
      <c r="AO17" s="531"/>
      <c r="AP17" s="533"/>
    </row>
    <row r="18" spans="2:42" ht="20.100000000000001" customHeight="1" x14ac:dyDescent="0.15">
      <c r="B18" s="670"/>
      <c r="C18" s="366" t="s">
        <v>437</v>
      </c>
      <c r="D18" s="363"/>
      <c r="E18" s="364"/>
      <c r="F18" s="529">
        <v>2</v>
      </c>
      <c r="G18" s="530"/>
      <c r="H18" s="531"/>
      <c r="I18" s="531"/>
      <c r="J18" s="530"/>
      <c r="K18" s="531"/>
      <c r="L18" s="146"/>
      <c r="M18" s="531"/>
      <c r="N18" s="531"/>
      <c r="O18" s="147"/>
      <c r="P18" s="530"/>
      <c r="Q18" s="531"/>
      <c r="R18" s="146"/>
      <c r="S18" s="148"/>
      <c r="T18" s="531"/>
      <c r="U18" s="147"/>
      <c r="V18" s="530"/>
      <c r="W18" s="531"/>
      <c r="X18" s="146"/>
      <c r="Y18" s="148"/>
      <c r="Z18" s="531"/>
      <c r="AA18" s="147"/>
      <c r="AB18" s="530"/>
      <c r="AC18" s="531"/>
      <c r="AD18" s="146"/>
      <c r="AE18" s="530"/>
      <c r="AF18" s="531"/>
      <c r="AG18" s="146"/>
      <c r="AH18" s="530"/>
      <c r="AI18" s="531"/>
      <c r="AJ18" s="146"/>
      <c r="AK18" s="530"/>
      <c r="AL18" s="531"/>
      <c r="AM18" s="146"/>
      <c r="AN18" s="531"/>
      <c r="AO18" s="531"/>
      <c r="AP18" s="533"/>
    </row>
    <row r="19" spans="2:42" ht="20.100000000000001" customHeight="1" x14ac:dyDescent="0.15">
      <c r="B19" s="670"/>
      <c r="C19" s="534"/>
      <c r="D19" s="535"/>
      <c r="E19" s="536"/>
      <c r="F19" s="528"/>
      <c r="G19" s="546"/>
      <c r="H19" s="547"/>
      <c r="I19" s="547"/>
      <c r="J19" s="546"/>
      <c r="K19" s="547"/>
      <c r="L19" s="548"/>
      <c r="M19" s="547"/>
      <c r="N19" s="547"/>
      <c r="O19" s="549"/>
      <c r="P19" s="546"/>
      <c r="Q19" s="547"/>
      <c r="R19" s="548"/>
      <c r="S19" s="550"/>
      <c r="T19" s="547"/>
      <c r="U19" s="549"/>
      <c r="V19" s="546"/>
      <c r="W19" s="547"/>
      <c r="X19" s="548"/>
      <c r="Y19" s="550"/>
      <c r="Z19" s="547"/>
      <c r="AA19" s="549"/>
      <c r="AB19" s="546"/>
      <c r="AC19" s="547"/>
      <c r="AD19" s="548"/>
      <c r="AE19" s="546"/>
      <c r="AF19" s="547"/>
      <c r="AG19" s="548"/>
      <c r="AH19" s="546"/>
      <c r="AI19" s="547"/>
      <c r="AJ19" s="548"/>
      <c r="AK19" s="546"/>
      <c r="AL19" s="547"/>
      <c r="AM19" s="548"/>
      <c r="AN19" s="547"/>
      <c r="AO19" s="547"/>
      <c r="AP19" s="551"/>
    </row>
    <row r="20" spans="2:42" ht="20.100000000000001" customHeight="1" x14ac:dyDescent="0.15">
      <c r="B20" s="670"/>
      <c r="C20" s="537" t="s">
        <v>481</v>
      </c>
      <c r="D20" s="538"/>
      <c r="E20" s="539"/>
      <c r="F20" s="529">
        <v>2</v>
      </c>
      <c r="G20" s="540"/>
      <c r="H20" s="541"/>
      <c r="I20" s="541"/>
      <c r="J20" s="540"/>
      <c r="K20" s="541"/>
      <c r="L20" s="542"/>
      <c r="M20" s="541"/>
      <c r="N20" s="541"/>
      <c r="O20" s="543"/>
      <c r="P20" s="540"/>
      <c r="Q20" s="541"/>
      <c r="R20" s="542"/>
      <c r="S20" s="544"/>
      <c r="T20" s="541"/>
      <c r="U20" s="543"/>
      <c r="V20" s="540"/>
      <c r="W20" s="541"/>
      <c r="X20" s="542"/>
      <c r="Y20" s="544"/>
      <c r="Z20" s="541"/>
      <c r="AA20" s="543"/>
      <c r="AB20" s="540"/>
      <c r="AC20" s="541"/>
      <c r="AD20" s="542"/>
      <c r="AE20" s="540"/>
      <c r="AF20" s="541"/>
      <c r="AG20" s="542"/>
      <c r="AH20" s="540"/>
      <c r="AI20" s="541"/>
      <c r="AJ20" s="542"/>
      <c r="AK20" s="540"/>
      <c r="AL20" s="541"/>
      <c r="AM20" s="542"/>
      <c r="AN20" s="541"/>
      <c r="AO20" s="541"/>
      <c r="AP20" s="545"/>
    </row>
    <row r="21" spans="2:42" ht="20.100000000000001" customHeight="1" x14ac:dyDescent="0.15">
      <c r="B21" s="652" t="s">
        <v>480</v>
      </c>
      <c r="C21" s="684" t="s">
        <v>396</v>
      </c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149"/>
      <c r="W21" s="149"/>
      <c r="Y21" s="655" t="s">
        <v>121</v>
      </c>
      <c r="Z21" s="655"/>
      <c r="AA21" s="655"/>
      <c r="AB21" s="655"/>
      <c r="AC21" s="149"/>
      <c r="AD21" s="149"/>
      <c r="AI21" s="149"/>
      <c r="AJ21" s="149"/>
      <c r="AK21" s="149"/>
      <c r="AL21" s="149"/>
      <c r="AM21" s="149"/>
      <c r="AN21" s="149"/>
      <c r="AO21" s="149"/>
      <c r="AP21" s="150"/>
    </row>
    <row r="22" spans="2:42" ht="20.100000000000001" customHeight="1" thickBot="1" x14ac:dyDescent="0.2">
      <c r="B22" s="664"/>
      <c r="C22" s="675"/>
      <c r="D22" s="676"/>
      <c r="E22" s="676"/>
      <c r="F22" s="676"/>
      <c r="G22" s="676"/>
      <c r="H22" s="676"/>
      <c r="I22" s="676"/>
      <c r="J22" s="676"/>
      <c r="K22" s="676"/>
      <c r="L22" s="676"/>
      <c r="M22" s="676"/>
      <c r="N22" s="676"/>
      <c r="O22" s="676"/>
      <c r="P22" s="676"/>
      <c r="Q22" s="676"/>
      <c r="R22" s="676"/>
      <c r="S22" s="676"/>
      <c r="T22" s="676"/>
      <c r="U22" s="676"/>
      <c r="V22" s="676"/>
      <c r="W22" s="676"/>
      <c r="X22" s="676"/>
      <c r="Y22" s="676"/>
      <c r="Z22" s="676"/>
      <c r="AA22" s="676"/>
      <c r="AB22" s="676"/>
      <c r="AC22" s="676"/>
      <c r="AD22" s="676"/>
      <c r="AE22" s="676"/>
      <c r="AF22" s="676"/>
      <c r="AG22" s="676"/>
      <c r="AH22" s="676"/>
      <c r="AI22" s="676"/>
      <c r="AJ22" s="676"/>
      <c r="AK22" s="676"/>
      <c r="AL22" s="676"/>
      <c r="AM22" s="676"/>
      <c r="AN22" s="676"/>
      <c r="AO22" s="676"/>
      <c r="AP22" s="677"/>
    </row>
    <row r="23" spans="2:42" ht="9.9499999999999993" customHeight="1" x14ac:dyDescent="0.15"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</row>
    <row r="24" spans="2:42" ht="24.95" customHeight="1" thickBot="1" x14ac:dyDescent="0.2">
      <c r="B24" s="136" t="s">
        <v>122</v>
      </c>
    </row>
    <row r="25" spans="2:42" ht="20.100000000000001" customHeight="1" thickBot="1" x14ac:dyDescent="0.2">
      <c r="B25" s="678" t="s">
        <v>19</v>
      </c>
      <c r="C25" s="679"/>
      <c r="D25" s="679"/>
      <c r="E25" s="679"/>
      <c r="F25" s="679"/>
      <c r="G25" s="679"/>
      <c r="H25" s="679"/>
      <c r="I25" s="679"/>
      <c r="J25" s="679"/>
      <c r="K25" s="679"/>
      <c r="L25" s="679"/>
      <c r="M25" s="679"/>
      <c r="N25" s="680"/>
      <c r="O25" s="681" t="s">
        <v>18</v>
      </c>
      <c r="P25" s="682"/>
      <c r="Q25" s="682"/>
      <c r="R25" s="682"/>
      <c r="S25" s="682"/>
      <c r="T25" s="682"/>
      <c r="U25" s="682"/>
      <c r="V25" s="682"/>
      <c r="W25" s="682"/>
      <c r="X25" s="682"/>
      <c r="Y25" s="682"/>
      <c r="Z25" s="682"/>
      <c r="AA25" s="682"/>
      <c r="AB25" s="682"/>
      <c r="AC25" s="682"/>
      <c r="AD25" s="682"/>
      <c r="AE25" s="682"/>
      <c r="AF25" s="682"/>
      <c r="AG25" s="682"/>
      <c r="AH25" s="682"/>
      <c r="AI25" s="682"/>
      <c r="AJ25" s="682"/>
      <c r="AK25" s="682"/>
      <c r="AL25" s="682"/>
      <c r="AM25" s="682"/>
      <c r="AN25" s="682"/>
      <c r="AO25" s="682"/>
      <c r="AP25" s="683"/>
    </row>
    <row r="26" spans="2:42" ht="19.899999999999999" customHeight="1" x14ac:dyDescent="0.15">
      <c r="B26" s="686" t="s">
        <v>14</v>
      </c>
      <c r="C26" s="687"/>
      <c r="D26" s="688"/>
      <c r="E26" s="695" t="s">
        <v>404</v>
      </c>
      <c r="F26" s="696"/>
      <c r="G26" s="696"/>
      <c r="H26" s="696"/>
      <c r="I26" s="696"/>
      <c r="J26" s="696"/>
      <c r="K26" s="696"/>
      <c r="L26" s="696"/>
      <c r="M26" s="696"/>
      <c r="N26" s="697"/>
      <c r="O26" s="686" t="s">
        <v>11</v>
      </c>
      <c r="P26" s="687"/>
      <c r="Q26" s="687"/>
      <c r="R26" s="687"/>
      <c r="S26" s="688"/>
      <c r="T26" s="711" t="s">
        <v>344</v>
      </c>
      <c r="U26" s="705"/>
      <c r="V26" s="705"/>
      <c r="W26" s="705"/>
      <c r="X26" s="705"/>
      <c r="Y26" s="705"/>
      <c r="Z26" s="439"/>
      <c r="AA26" s="439"/>
      <c r="AB26" s="439">
        <v>2</v>
      </c>
      <c r="AC26" s="706" t="s">
        <v>335</v>
      </c>
      <c r="AD26" s="707"/>
      <c r="AE26" s="704" t="s">
        <v>345</v>
      </c>
      <c r="AF26" s="705"/>
      <c r="AG26" s="705"/>
      <c r="AH26" s="705"/>
      <c r="AI26" s="705"/>
      <c r="AJ26" s="705"/>
      <c r="AK26" s="439"/>
      <c r="AL26" s="439"/>
      <c r="AM26" s="439">
        <v>8</v>
      </c>
      <c r="AN26" s="708" t="s">
        <v>335</v>
      </c>
      <c r="AO26" s="709"/>
      <c r="AP26" s="710"/>
    </row>
    <row r="27" spans="2:42" ht="19.899999999999999" customHeight="1" x14ac:dyDescent="0.15">
      <c r="B27" s="689"/>
      <c r="C27" s="690"/>
      <c r="D27" s="691"/>
      <c r="E27" s="698"/>
      <c r="F27" s="699"/>
      <c r="G27" s="699"/>
      <c r="H27" s="699"/>
      <c r="I27" s="699"/>
      <c r="J27" s="699"/>
      <c r="K27" s="699"/>
      <c r="L27" s="699"/>
      <c r="M27" s="699"/>
      <c r="N27" s="700"/>
      <c r="O27" s="689"/>
      <c r="P27" s="690"/>
      <c r="Q27" s="690"/>
      <c r="R27" s="690"/>
      <c r="S27" s="691"/>
      <c r="T27" s="635"/>
      <c r="U27" s="627"/>
      <c r="V27" s="627"/>
      <c r="W27" s="627"/>
      <c r="X27" s="627"/>
      <c r="Y27" s="627"/>
      <c r="Z27" s="440"/>
      <c r="AA27" s="440"/>
      <c r="AB27" s="440"/>
      <c r="AC27" s="599"/>
      <c r="AD27" s="599"/>
      <c r="AE27" s="626"/>
      <c r="AF27" s="627"/>
      <c r="AG27" s="627"/>
      <c r="AH27" s="627"/>
      <c r="AI27" s="627"/>
      <c r="AJ27" s="627"/>
      <c r="AK27" s="440"/>
      <c r="AL27" s="440"/>
      <c r="AM27" s="440"/>
      <c r="AN27" s="597"/>
      <c r="AO27" s="597"/>
      <c r="AP27" s="598"/>
    </row>
    <row r="28" spans="2:42" ht="19.899999999999999" customHeight="1" x14ac:dyDescent="0.15">
      <c r="B28" s="689"/>
      <c r="C28" s="690"/>
      <c r="D28" s="691"/>
      <c r="E28" s="698"/>
      <c r="F28" s="699"/>
      <c r="G28" s="699"/>
      <c r="H28" s="699"/>
      <c r="I28" s="699"/>
      <c r="J28" s="699"/>
      <c r="K28" s="699"/>
      <c r="L28" s="699"/>
      <c r="M28" s="699"/>
      <c r="N28" s="700"/>
      <c r="O28" s="689"/>
      <c r="P28" s="690"/>
      <c r="Q28" s="690"/>
      <c r="R28" s="690"/>
      <c r="S28" s="691"/>
      <c r="T28" s="635"/>
      <c r="U28" s="627"/>
      <c r="V28" s="627"/>
      <c r="W28" s="627"/>
      <c r="X28" s="627"/>
      <c r="Y28" s="627"/>
      <c r="Z28" s="440"/>
      <c r="AA28" s="440"/>
      <c r="AB28" s="440"/>
      <c r="AC28" s="599"/>
      <c r="AD28" s="599"/>
      <c r="AE28" s="636" t="s">
        <v>358</v>
      </c>
      <c r="AF28" s="637"/>
      <c r="AG28" s="637"/>
      <c r="AH28" s="637"/>
      <c r="AI28" s="637"/>
      <c r="AJ28" s="637"/>
      <c r="AK28" s="440"/>
      <c r="AL28" s="440"/>
      <c r="AM28" s="440">
        <v>5</v>
      </c>
      <c r="AN28" s="597" t="s">
        <v>334</v>
      </c>
      <c r="AO28" s="597"/>
      <c r="AP28" s="598"/>
    </row>
    <row r="29" spans="2:42" ht="19.899999999999999" customHeight="1" x14ac:dyDescent="0.15">
      <c r="B29" s="689"/>
      <c r="C29" s="690"/>
      <c r="D29" s="691"/>
      <c r="E29" s="698"/>
      <c r="F29" s="699"/>
      <c r="G29" s="699"/>
      <c r="H29" s="699"/>
      <c r="I29" s="699"/>
      <c r="J29" s="699"/>
      <c r="K29" s="699"/>
      <c r="L29" s="699"/>
      <c r="M29" s="699"/>
      <c r="N29" s="700"/>
      <c r="O29" s="689"/>
      <c r="P29" s="690"/>
      <c r="Q29" s="690"/>
      <c r="R29" s="690"/>
      <c r="S29" s="691"/>
      <c r="T29" s="635"/>
      <c r="U29" s="627"/>
      <c r="V29" s="627"/>
      <c r="W29" s="627"/>
      <c r="X29" s="627"/>
      <c r="Y29" s="627"/>
      <c r="Z29" s="440"/>
      <c r="AA29" s="440"/>
      <c r="AB29" s="440"/>
      <c r="AC29" s="599"/>
      <c r="AD29" s="599"/>
      <c r="AE29" s="626"/>
      <c r="AF29" s="627"/>
      <c r="AG29" s="627"/>
      <c r="AH29" s="627"/>
      <c r="AI29" s="627"/>
      <c r="AJ29" s="627"/>
      <c r="AK29" s="440"/>
      <c r="AL29" s="440"/>
      <c r="AM29" s="440"/>
      <c r="AN29" s="597"/>
      <c r="AO29" s="597"/>
      <c r="AP29" s="598"/>
    </row>
    <row r="30" spans="2:42" ht="19.899999999999999" customHeight="1" x14ac:dyDescent="0.15">
      <c r="B30" s="692"/>
      <c r="C30" s="693"/>
      <c r="D30" s="694"/>
      <c r="E30" s="701"/>
      <c r="F30" s="702"/>
      <c r="G30" s="702"/>
      <c r="H30" s="702"/>
      <c r="I30" s="702"/>
      <c r="J30" s="702"/>
      <c r="K30" s="702"/>
      <c r="L30" s="702"/>
      <c r="M30" s="702"/>
      <c r="N30" s="703"/>
      <c r="O30" s="692"/>
      <c r="P30" s="693"/>
      <c r="Q30" s="693"/>
      <c r="R30" s="693"/>
      <c r="S30" s="694"/>
      <c r="T30" s="712"/>
      <c r="U30" s="629"/>
      <c r="V30" s="629"/>
      <c r="W30" s="629"/>
      <c r="X30" s="629"/>
      <c r="Y30" s="629"/>
      <c r="Z30" s="441"/>
      <c r="AA30" s="441"/>
      <c r="AB30" s="441"/>
      <c r="AC30" s="625"/>
      <c r="AD30" s="625"/>
      <c r="AE30" s="628"/>
      <c r="AF30" s="629"/>
      <c r="AG30" s="629"/>
      <c r="AH30" s="629"/>
      <c r="AI30" s="629"/>
      <c r="AJ30" s="629"/>
      <c r="AK30" s="441"/>
      <c r="AL30" s="441"/>
      <c r="AM30" s="441"/>
      <c r="AN30" s="713"/>
      <c r="AO30" s="713"/>
      <c r="AP30" s="714"/>
    </row>
    <row r="31" spans="2:42" ht="39.950000000000003" customHeight="1" x14ac:dyDescent="0.15">
      <c r="B31" s="718" t="s">
        <v>15</v>
      </c>
      <c r="C31" s="719"/>
      <c r="D31" s="719"/>
      <c r="E31" s="720" t="s">
        <v>419</v>
      </c>
      <c r="F31" s="721"/>
      <c r="G31" s="721"/>
      <c r="H31" s="721"/>
      <c r="I31" s="721"/>
      <c r="J31" s="721"/>
      <c r="K31" s="721"/>
      <c r="L31" s="721"/>
      <c r="M31" s="721"/>
      <c r="N31" s="722"/>
      <c r="O31" s="723" t="s">
        <v>12</v>
      </c>
      <c r="P31" s="719"/>
      <c r="Q31" s="719"/>
      <c r="R31" s="719"/>
      <c r="S31" s="719"/>
      <c r="T31" s="720" t="s">
        <v>405</v>
      </c>
      <c r="U31" s="721"/>
      <c r="V31" s="721"/>
      <c r="W31" s="721"/>
      <c r="X31" s="721"/>
      <c r="Y31" s="721"/>
      <c r="Z31" s="721"/>
      <c r="AA31" s="721"/>
      <c r="AB31" s="721"/>
      <c r="AC31" s="721"/>
      <c r="AD31" s="721"/>
      <c r="AE31" s="721"/>
      <c r="AF31" s="721"/>
      <c r="AG31" s="721"/>
      <c r="AH31" s="721"/>
      <c r="AI31" s="721"/>
      <c r="AJ31" s="721"/>
      <c r="AK31" s="721"/>
      <c r="AL31" s="721"/>
      <c r="AM31" s="721"/>
      <c r="AN31" s="721"/>
      <c r="AO31" s="721"/>
      <c r="AP31" s="722"/>
    </row>
    <row r="32" spans="2:42" ht="39.950000000000003" customHeight="1" x14ac:dyDescent="0.15">
      <c r="B32" s="718" t="s">
        <v>16</v>
      </c>
      <c r="C32" s="719"/>
      <c r="D32" s="719"/>
      <c r="E32" s="720" t="s">
        <v>483</v>
      </c>
      <c r="F32" s="721"/>
      <c r="G32" s="721"/>
      <c r="H32" s="721"/>
      <c r="I32" s="721"/>
      <c r="J32" s="721"/>
      <c r="K32" s="721"/>
      <c r="L32" s="721"/>
      <c r="M32" s="721"/>
      <c r="N32" s="722"/>
      <c r="O32" s="723" t="s">
        <v>13</v>
      </c>
      <c r="P32" s="719"/>
      <c r="Q32" s="719"/>
      <c r="R32" s="719"/>
      <c r="S32" s="719"/>
      <c r="T32" s="720" t="s">
        <v>490</v>
      </c>
      <c r="U32" s="721"/>
      <c r="V32" s="721"/>
      <c r="W32" s="721"/>
      <c r="X32" s="721"/>
      <c r="Y32" s="721"/>
      <c r="Z32" s="721"/>
      <c r="AA32" s="721"/>
      <c r="AB32" s="721"/>
      <c r="AC32" s="721"/>
      <c r="AD32" s="721"/>
      <c r="AE32" s="721"/>
      <c r="AF32" s="721"/>
      <c r="AG32" s="721"/>
      <c r="AH32" s="721"/>
      <c r="AI32" s="721"/>
      <c r="AJ32" s="721"/>
      <c r="AK32" s="721"/>
      <c r="AL32" s="721"/>
      <c r="AM32" s="721"/>
      <c r="AN32" s="721"/>
      <c r="AO32" s="721"/>
      <c r="AP32" s="722"/>
    </row>
    <row r="33" spans="2:42" ht="39.950000000000003" customHeight="1" thickBot="1" x14ac:dyDescent="0.2">
      <c r="B33" s="726" t="s">
        <v>17</v>
      </c>
      <c r="C33" s="725"/>
      <c r="D33" s="725"/>
      <c r="E33" s="715" t="s">
        <v>420</v>
      </c>
      <c r="F33" s="716"/>
      <c r="G33" s="716"/>
      <c r="H33" s="716"/>
      <c r="I33" s="716"/>
      <c r="J33" s="716"/>
      <c r="K33" s="716"/>
      <c r="L33" s="716"/>
      <c r="M33" s="716"/>
      <c r="N33" s="717"/>
      <c r="O33" s="724"/>
      <c r="P33" s="725"/>
      <c r="Q33" s="725"/>
      <c r="R33" s="725"/>
      <c r="S33" s="725"/>
      <c r="T33" s="716"/>
      <c r="U33" s="716"/>
      <c r="V33" s="716"/>
      <c r="W33" s="716"/>
      <c r="X33" s="716"/>
      <c r="Y33" s="716"/>
      <c r="Z33" s="716"/>
      <c r="AA33" s="716"/>
      <c r="AB33" s="716"/>
      <c r="AC33" s="716"/>
      <c r="AD33" s="716"/>
      <c r="AE33" s="716"/>
      <c r="AF33" s="716"/>
      <c r="AG33" s="716"/>
      <c r="AH33" s="716"/>
      <c r="AI33" s="716"/>
      <c r="AJ33" s="716"/>
      <c r="AK33" s="716"/>
      <c r="AL33" s="716"/>
      <c r="AM33" s="716"/>
      <c r="AN33" s="716"/>
      <c r="AO33" s="716"/>
      <c r="AP33" s="717"/>
    </row>
    <row r="34" spans="2:42" ht="9.75" customHeight="1" x14ac:dyDescent="0.15">
      <c r="B34" s="138"/>
    </row>
  </sheetData>
  <mergeCells count="97">
    <mergeCell ref="E33:N33"/>
    <mergeCell ref="B31:D31"/>
    <mergeCell ref="E31:N31"/>
    <mergeCell ref="O31:S31"/>
    <mergeCell ref="T31:AP31"/>
    <mergeCell ref="B32:D32"/>
    <mergeCell ref="E32:N32"/>
    <mergeCell ref="O32:S33"/>
    <mergeCell ref="T32:AP33"/>
    <mergeCell ref="B33:D33"/>
    <mergeCell ref="B25:N25"/>
    <mergeCell ref="O25:AP25"/>
    <mergeCell ref="C21:U21"/>
    <mergeCell ref="B21:B22"/>
    <mergeCell ref="B26:D30"/>
    <mergeCell ref="E26:N30"/>
    <mergeCell ref="AE26:AJ26"/>
    <mergeCell ref="AC26:AD26"/>
    <mergeCell ref="AN26:AP26"/>
    <mergeCell ref="O26:S30"/>
    <mergeCell ref="T26:Y26"/>
    <mergeCell ref="T27:Y27"/>
    <mergeCell ref="T29:Y29"/>
    <mergeCell ref="T30:Y30"/>
    <mergeCell ref="AC27:AD27"/>
    <mergeCell ref="AN30:AP30"/>
    <mergeCell ref="AN12:AP12"/>
    <mergeCell ref="AB12:AD12"/>
    <mergeCell ref="AE12:AG12"/>
    <mergeCell ref="Y21:AB21"/>
    <mergeCell ref="C22:AP22"/>
    <mergeCell ref="Y11:AA11"/>
    <mergeCell ref="AH12:AJ12"/>
    <mergeCell ref="AK12:AM12"/>
    <mergeCell ref="P12:R12"/>
    <mergeCell ref="S12:U12"/>
    <mergeCell ref="V12:X12"/>
    <mergeCell ref="Y12:AA12"/>
    <mergeCell ref="N11:P11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20"/>
    <mergeCell ref="B6:G6"/>
    <mergeCell ref="H6:M6"/>
    <mergeCell ref="N6:P6"/>
    <mergeCell ref="B7:C7"/>
    <mergeCell ref="D7:G7"/>
    <mergeCell ref="H7:M7"/>
    <mergeCell ref="B9:C9"/>
    <mergeCell ref="D9:G9"/>
    <mergeCell ref="H9:M9"/>
    <mergeCell ref="N9:P9"/>
    <mergeCell ref="B8:C8"/>
    <mergeCell ref="D8:G8"/>
    <mergeCell ref="H8:M8"/>
    <mergeCell ref="N8:P8"/>
    <mergeCell ref="AC30:AD30"/>
    <mergeCell ref="AE27:AJ27"/>
    <mergeCell ref="AE29:AJ29"/>
    <mergeCell ref="AE30:AJ30"/>
    <mergeCell ref="Q7:X7"/>
    <mergeCell ref="Y7:AA7"/>
    <mergeCell ref="T28:Y28"/>
    <mergeCell ref="AC28:AD28"/>
    <mergeCell ref="AE28:AJ28"/>
    <mergeCell ref="Q8:X8"/>
    <mergeCell ref="Y8:AA8"/>
    <mergeCell ref="Q9:X9"/>
    <mergeCell ref="Y9:AA9"/>
    <mergeCell ref="Q10:X10"/>
    <mergeCell ref="Y10:AA10"/>
    <mergeCell ref="Q11:X11"/>
    <mergeCell ref="AN27:AP27"/>
    <mergeCell ref="AN29:AP29"/>
    <mergeCell ref="AN28:AP28"/>
    <mergeCell ref="AC29:AD29"/>
    <mergeCell ref="C2:D2"/>
    <mergeCell ref="F2:N2"/>
    <mergeCell ref="Y6:AA6"/>
    <mergeCell ref="B5:C5"/>
    <mergeCell ref="D5:G5"/>
    <mergeCell ref="H5:AA5"/>
    <mergeCell ref="Y2:AA2"/>
    <mergeCell ref="O2:Q2"/>
    <mergeCell ref="R2:U2"/>
    <mergeCell ref="V2:X2"/>
    <mergeCell ref="N7:P7"/>
    <mergeCell ref="Q6:X6"/>
  </mergeCells>
  <phoneticPr fontId="5"/>
  <pageMargins left="0.78740157480314965" right="0.78740157480314965" top="0.78740157480314965" bottom="0.78740157480314965" header="0.39370078740157483" footer="0.39370078740157483"/>
  <pageSetup paperSize="9" scale="71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52" customWidth="1"/>
    <col min="2" max="2" width="5.875" style="152" customWidth="1"/>
    <col min="3" max="3" width="10.625" style="152" customWidth="1"/>
    <col min="4" max="4" width="12.375" style="152" customWidth="1"/>
    <col min="5" max="5" width="14.625" style="152" customWidth="1"/>
    <col min="6" max="7" width="15.875" style="152" customWidth="1"/>
    <col min="8" max="8" width="10.875" style="152"/>
    <col min="9" max="9" width="11.375" style="152" bestFit="1" customWidth="1"/>
    <col min="10" max="10" width="13.375" style="152" customWidth="1"/>
    <col min="11" max="11" width="7.125" style="152" customWidth="1"/>
    <col min="12" max="12" width="15.375" style="152" customWidth="1"/>
    <col min="13" max="13" width="9.375" style="152" bestFit="1" customWidth="1"/>
    <col min="14" max="14" width="10.875" style="152"/>
    <col min="15" max="15" width="7.25" style="152" customWidth="1"/>
    <col min="16" max="16" width="9.625" style="152" customWidth="1"/>
    <col min="17" max="17" width="10.875" style="152" customWidth="1"/>
    <col min="18" max="18" width="7.5" style="152" customWidth="1"/>
    <col min="19" max="19" width="3.75" style="152" customWidth="1"/>
    <col min="20" max="16384" width="10.875" style="152"/>
  </cols>
  <sheetData>
    <row r="1" spans="2:19" s="153" customFormat="1" ht="9.9499999999999993" customHeight="1" x14ac:dyDescent="0.15"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spans="2:19" s="153" customFormat="1" ht="24.95" customHeight="1" thickBot="1" x14ac:dyDescent="0.2">
      <c r="B2" s="3" t="s">
        <v>509</v>
      </c>
      <c r="H2" s="154" t="s">
        <v>267</v>
      </c>
      <c r="I2" s="3" t="s">
        <v>337</v>
      </c>
      <c r="K2" s="154" t="s">
        <v>268</v>
      </c>
      <c r="L2" s="3" t="s">
        <v>270</v>
      </c>
      <c r="N2" s="152"/>
      <c r="O2" s="152"/>
      <c r="Q2" s="4"/>
      <c r="R2" s="4"/>
    </row>
    <row r="3" spans="2:19" s="153" customFormat="1" ht="18" customHeight="1" x14ac:dyDescent="0.15">
      <c r="B3" s="848" t="s">
        <v>20</v>
      </c>
      <c r="C3" s="849"/>
      <c r="D3" s="849"/>
      <c r="E3" s="850"/>
      <c r="F3" s="183" t="s">
        <v>21</v>
      </c>
      <c r="G3" s="156"/>
      <c r="H3" s="157" t="s">
        <v>22</v>
      </c>
      <c r="I3" s="155"/>
      <c r="J3" s="155"/>
      <c r="K3" s="865" t="s">
        <v>232</v>
      </c>
      <c r="L3" s="866"/>
      <c r="M3" s="866"/>
      <c r="N3" s="866"/>
      <c r="O3" s="866"/>
      <c r="P3" s="866"/>
      <c r="Q3" s="866"/>
      <c r="R3" s="866"/>
      <c r="S3" s="867"/>
    </row>
    <row r="4" spans="2:19" s="153" customFormat="1" ht="18" customHeight="1" x14ac:dyDescent="0.15">
      <c r="B4" s="846" t="s">
        <v>23</v>
      </c>
      <c r="C4" s="847"/>
      <c r="D4" s="253" t="s">
        <v>225</v>
      </c>
      <c r="E4" s="272"/>
      <c r="F4" s="265">
        <f>+R11</f>
        <v>798000</v>
      </c>
      <c r="G4" s="253" t="s">
        <v>208</v>
      </c>
      <c r="H4" s="248"/>
      <c r="I4" s="248"/>
      <c r="J4" s="248"/>
      <c r="K4" s="261" t="s">
        <v>57</v>
      </c>
      <c r="L4" s="348" t="s">
        <v>273</v>
      </c>
      <c r="M4" s="263" t="s">
        <v>24</v>
      </c>
      <c r="N4" s="263" t="s">
        <v>23</v>
      </c>
      <c r="O4" s="263" t="s">
        <v>57</v>
      </c>
      <c r="P4" s="348" t="s">
        <v>274</v>
      </c>
      <c r="Q4" s="263" t="s">
        <v>24</v>
      </c>
      <c r="R4" s="870" t="s">
        <v>23</v>
      </c>
      <c r="S4" s="871"/>
    </row>
    <row r="5" spans="2:19" s="153" customFormat="1" ht="18" customHeight="1" x14ac:dyDescent="0.15">
      <c r="B5" s="846"/>
      <c r="C5" s="847"/>
      <c r="D5" s="253" t="s">
        <v>91</v>
      </c>
      <c r="E5" s="272"/>
      <c r="F5" s="265">
        <v>0</v>
      </c>
      <c r="G5" s="219"/>
      <c r="H5" s="273"/>
      <c r="I5" s="273"/>
      <c r="J5" s="273"/>
      <c r="K5" s="344" t="s">
        <v>360</v>
      </c>
      <c r="L5" s="265">
        <f>6000*'１　対象経営の概要，２　前提条件'!$AM$28/'１　対象経営の概要，２　前提条件'!$AM$28</f>
        <v>6000</v>
      </c>
      <c r="M5" s="265">
        <v>133</v>
      </c>
      <c r="N5" s="265">
        <f>L5*M5</f>
        <v>798000</v>
      </c>
      <c r="O5" s="265"/>
      <c r="P5" s="265"/>
      <c r="Q5" s="265"/>
      <c r="R5" s="868">
        <f>P5*Q5</f>
        <v>0</v>
      </c>
      <c r="S5" s="869"/>
    </row>
    <row r="6" spans="2:19" s="153" customFormat="1" ht="18" customHeight="1" x14ac:dyDescent="0.15">
      <c r="B6" s="854" t="s">
        <v>230</v>
      </c>
      <c r="C6" s="851" t="s">
        <v>216</v>
      </c>
      <c r="D6" s="265" t="s">
        <v>59</v>
      </c>
      <c r="E6" s="274"/>
      <c r="F6" s="265">
        <f>P15</f>
        <v>19250</v>
      </c>
      <c r="G6" s="219" t="s">
        <v>209</v>
      </c>
      <c r="H6" s="273"/>
      <c r="I6" s="273"/>
      <c r="J6" s="273"/>
      <c r="K6" s="271"/>
      <c r="L6" s="268"/>
      <c r="M6" s="265"/>
      <c r="N6" s="265">
        <f>L6*M6</f>
        <v>0</v>
      </c>
      <c r="O6" s="265"/>
      <c r="P6" s="265"/>
      <c r="Q6" s="265"/>
      <c r="R6" s="868">
        <f t="shared" ref="R6:R9" si="0">P6*Q6</f>
        <v>0</v>
      </c>
      <c r="S6" s="869"/>
    </row>
    <row r="7" spans="2:19" s="153" customFormat="1" ht="18" customHeight="1" x14ac:dyDescent="0.15">
      <c r="B7" s="855"/>
      <c r="C7" s="852"/>
      <c r="D7" s="265" t="s">
        <v>60</v>
      </c>
      <c r="E7" s="274"/>
      <c r="F7" s="265">
        <f>P22</f>
        <v>139623.85</v>
      </c>
      <c r="G7" s="253" t="s">
        <v>512</v>
      </c>
      <c r="H7" s="248"/>
      <c r="I7" s="248"/>
      <c r="J7" s="275"/>
      <c r="K7" s="269"/>
      <c r="L7" s="278"/>
      <c r="M7" s="265"/>
      <c r="N7" s="265">
        <f t="shared" ref="N7:N11" si="1">L7*M7</f>
        <v>0</v>
      </c>
      <c r="O7" s="265"/>
      <c r="P7" s="265"/>
      <c r="Q7" s="265"/>
      <c r="R7" s="868">
        <f t="shared" si="0"/>
        <v>0</v>
      </c>
      <c r="S7" s="869"/>
    </row>
    <row r="8" spans="2:19" s="153" customFormat="1" ht="18" customHeight="1" x14ac:dyDescent="0.15">
      <c r="B8" s="855"/>
      <c r="C8" s="852"/>
      <c r="D8" s="265" t="s">
        <v>61</v>
      </c>
      <c r="E8" s="274"/>
      <c r="F8" s="265">
        <f>P28</f>
        <v>72085.600000000006</v>
      </c>
      <c r="G8" s="225" t="s">
        <v>513</v>
      </c>
      <c r="H8" s="240"/>
      <c r="I8" s="240"/>
      <c r="J8" s="276"/>
      <c r="K8" s="267"/>
      <c r="L8" s="265"/>
      <c r="M8" s="265"/>
      <c r="N8" s="265">
        <f t="shared" si="1"/>
        <v>0</v>
      </c>
      <c r="O8" s="265"/>
      <c r="P8" s="265"/>
      <c r="Q8" s="265"/>
      <c r="R8" s="868">
        <f t="shared" si="0"/>
        <v>0</v>
      </c>
      <c r="S8" s="869"/>
    </row>
    <row r="9" spans="2:19" s="153" customFormat="1" ht="18" customHeight="1" x14ac:dyDescent="0.15">
      <c r="B9" s="855"/>
      <c r="C9" s="852"/>
      <c r="D9" s="265" t="s">
        <v>92</v>
      </c>
      <c r="E9" s="274"/>
      <c r="F9" s="265">
        <f>P37</f>
        <v>27333.630799999995</v>
      </c>
      <c r="G9" s="225" t="s">
        <v>514</v>
      </c>
      <c r="H9" s="240"/>
      <c r="I9" s="240"/>
      <c r="J9" s="276"/>
      <c r="K9" s="267"/>
      <c r="L9" s="265"/>
      <c r="M9" s="265"/>
      <c r="N9" s="265">
        <f t="shared" si="1"/>
        <v>0</v>
      </c>
      <c r="O9" s="265"/>
      <c r="P9" s="265"/>
      <c r="Q9" s="265"/>
      <c r="R9" s="868">
        <f t="shared" si="0"/>
        <v>0</v>
      </c>
      <c r="S9" s="869"/>
    </row>
    <row r="10" spans="2:19" s="153" customFormat="1" ht="18" customHeight="1" x14ac:dyDescent="0.15">
      <c r="B10" s="855"/>
      <c r="C10" s="852"/>
      <c r="D10" s="265" t="s">
        <v>62</v>
      </c>
      <c r="E10" s="274"/>
      <c r="F10" s="265">
        <f>'８－２　水稲算出基礎（加工用品種）'!V21</f>
        <v>5806.666666666667</v>
      </c>
      <c r="G10" s="895"/>
      <c r="H10" s="896"/>
      <c r="I10" s="896"/>
      <c r="J10" s="869"/>
      <c r="K10" s="267"/>
      <c r="L10" s="265"/>
      <c r="M10" s="265"/>
      <c r="N10" s="265">
        <f t="shared" si="1"/>
        <v>0</v>
      </c>
      <c r="O10" s="265"/>
      <c r="P10" s="265"/>
      <c r="Q10" s="265"/>
      <c r="R10" s="868"/>
      <c r="S10" s="869"/>
    </row>
    <row r="11" spans="2:19" s="153" customFormat="1" ht="18" customHeight="1" thickBot="1" x14ac:dyDescent="0.2">
      <c r="B11" s="855"/>
      <c r="C11" s="852"/>
      <c r="D11" s="265" t="s">
        <v>6</v>
      </c>
      <c r="E11" s="274"/>
      <c r="F11" s="265">
        <f>'８－２　水稲算出基礎（加工用品種）'!V34</f>
        <v>166.66666666666666</v>
      </c>
      <c r="G11" s="895"/>
      <c r="H11" s="896"/>
      <c r="I11" s="896"/>
      <c r="J11" s="869"/>
      <c r="K11" s="174"/>
      <c r="L11" s="159"/>
      <c r="M11" s="159"/>
      <c r="N11" s="158">
        <f t="shared" si="1"/>
        <v>0</v>
      </c>
      <c r="O11" s="160" t="s">
        <v>25</v>
      </c>
      <c r="P11" s="161">
        <f>SUM(L5:L11,P5:Q10)</f>
        <v>6000</v>
      </c>
      <c r="Q11" s="161">
        <f>R11/P11</f>
        <v>133</v>
      </c>
      <c r="R11" s="872">
        <f>SUM(N5:N11,R5:S10)</f>
        <v>798000</v>
      </c>
      <c r="S11" s="873"/>
    </row>
    <row r="12" spans="2:19" s="153" customFormat="1" ht="18" customHeight="1" thickTop="1" x14ac:dyDescent="0.15">
      <c r="B12" s="855"/>
      <c r="C12" s="852"/>
      <c r="D12" s="265" t="s">
        <v>7</v>
      </c>
      <c r="E12" s="274"/>
      <c r="F12" s="265">
        <f>J12*P11</f>
        <v>222000</v>
      </c>
      <c r="G12" s="225"/>
      <c r="H12" s="240"/>
      <c r="I12" s="525" t="s">
        <v>482</v>
      </c>
      <c r="J12" s="552">
        <v>37</v>
      </c>
      <c r="K12" s="899" t="s">
        <v>231</v>
      </c>
      <c r="L12" s="255" t="s">
        <v>179</v>
      </c>
      <c r="M12" s="259" t="s">
        <v>9</v>
      </c>
      <c r="N12" s="350" t="s">
        <v>272</v>
      </c>
      <c r="O12" s="258" t="s">
        <v>24</v>
      </c>
      <c r="P12" s="258" t="s">
        <v>27</v>
      </c>
      <c r="Q12" s="874" t="s">
        <v>28</v>
      </c>
      <c r="R12" s="875"/>
      <c r="S12" s="876"/>
    </row>
    <row r="13" spans="2:19" s="153" customFormat="1" ht="18" customHeight="1" x14ac:dyDescent="0.15">
      <c r="B13" s="855"/>
      <c r="C13" s="852"/>
      <c r="D13" s="843" t="s">
        <v>63</v>
      </c>
      <c r="E13" s="277" t="s">
        <v>205</v>
      </c>
      <c r="F13" s="265">
        <f>'６（参考）水稲資本装備'!L14*'７－２  水稲部門（加工用）収支'!H13</f>
        <v>2576.1970588235295</v>
      </c>
      <c r="G13" s="225" t="s">
        <v>210</v>
      </c>
      <c r="H13" s="554">
        <v>0.01</v>
      </c>
      <c r="I13" s="897" t="s">
        <v>212</v>
      </c>
      <c r="J13" s="898"/>
      <c r="K13" s="855"/>
      <c r="L13" s="419" t="s">
        <v>363</v>
      </c>
      <c r="M13" s="254" t="s">
        <v>171</v>
      </c>
      <c r="N13" s="187">
        <v>35</v>
      </c>
      <c r="O13" s="187">
        <v>550</v>
      </c>
      <c r="P13" s="187">
        <f>N13*O13</f>
        <v>19250</v>
      </c>
      <c r="Q13" s="892" t="s">
        <v>266</v>
      </c>
      <c r="R13" s="893"/>
      <c r="S13" s="894"/>
    </row>
    <row r="14" spans="2:19" s="153" customFormat="1" ht="18" customHeight="1" x14ac:dyDescent="0.15">
      <c r="B14" s="855"/>
      <c r="C14" s="852"/>
      <c r="D14" s="844"/>
      <c r="E14" s="277" t="s">
        <v>206</v>
      </c>
      <c r="F14" s="265">
        <f>'６（参考）水稲資本装備'!L40*'７－２  水稲部門（加工用）収支'!H14</f>
        <v>65288.3746130031</v>
      </c>
      <c r="G14" s="225" t="s">
        <v>210</v>
      </c>
      <c r="H14" s="554">
        <v>0.05</v>
      </c>
      <c r="I14" s="897" t="s">
        <v>212</v>
      </c>
      <c r="J14" s="898"/>
      <c r="K14" s="900"/>
      <c r="L14" s="266"/>
      <c r="M14" s="254"/>
      <c r="N14" s="187"/>
      <c r="O14" s="187"/>
      <c r="P14" s="187">
        <f>N14*O14</f>
        <v>0</v>
      </c>
      <c r="Q14" s="902"/>
      <c r="R14" s="893"/>
      <c r="S14" s="894"/>
    </row>
    <row r="15" spans="2:19" s="153" customFormat="1" ht="18" customHeight="1" thickBot="1" x14ac:dyDescent="0.2">
      <c r="B15" s="855"/>
      <c r="C15" s="852"/>
      <c r="D15" s="843" t="s">
        <v>93</v>
      </c>
      <c r="E15" s="277" t="s">
        <v>205</v>
      </c>
      <c r="F15" s="265">
        <f>'６（参考）水稲資本装備'!P14</f>
        <v>14357.170588235294</v>
      </c>
      <c r="G15" s="225" t="s">
        <v>212</v>
      </c>
      <c r="H15" s="232"/>
      <c r="I15" s="232"/>
      <c r="J15" s="233"/>
      <c r="K15" s="900"/>
      <c r="L15" s="165" t="s">
        <v>29</v>
      </c>
      <c r="M15" s="164"/>
      <c r="N15" s="165"/>
      <c r="O15" s="165"/>
      <c r="P15" s="165">
        <f>SUM(P13:P14)</f>
        <v>19250</v>
      </c>
      <c r="Q15" s="883"/>
      <c r="R15" s="884"/>
      <c r="S15" s="885"/>
    </row>
    <row r="16" spans="2:19" s="153" customFormat="1" ht="18" customHeight="1" thickTop="1" x14ac:dyDescent="0.15">
      <c r="B16" s="855"/>
      <c r="C16" s="852"/>
      <c r="D16" s="845"/>
      <c r="E16" s="277" t="s">
        <v>206</v>
      </c>
      <c r="F16" s="265">
        <f>'６（参考）水稲資本装備'!P40</f>
        <v>211909.64175143739</v>
      </c>
      <c r="G16" s="225" t="s">
        <v>212</v>
      </c>
      <c r="H16" s="232"/>
      <c r="I16" s="232"/>
      <c r="J16" s="233"/>
      <c r="K16" s="900"/>
      <c r="L16" s="249" t="s">
        <v>180</v>
      </c>
      <c r="M16" s="250"/>
      <c r="N16" s="349" t="s">
        <v>272</v>
      </c>
      <c r="O16" s="251" t="s">
        <v>24</v>
      </c>
      <c r="P16" s="252" t="s">
        <v>27</v>
      </c>
      <c r="Q16" s="886" t="s">
        <v>28</v>
      </c>
      <c r="R16" s="887"/>
      <c r="S16" s="888"/>
    </row>
    <row r="17" spans="1:19" s="153" customFormat="1" ht="18" customHeight="1" x14ac:dyDescent="0.15">
      <c r="B17" s="855"/>
      <c r="C17" s="852"/>
      <c r="D17" s="844"/>
      <c r="E17" s="265" t="s">
        <v>64</v>
      </c>
      <c r="F17" s="265">
        <f>'６（参考）水稲資本装備'!P45</f>
        <v>0</v>
      </c>
      <c r="G17" s="225" t="s">
        <v>212</v>
      </c>
      <c r="H17" s="232"/>
      <c r="I17" s="232"/>
      <c r="J17" s="233"/>
      <c r="K17" s="900"/>
      <c r="L17" s="253" t="s">
        <v>186</v>
      </c>
      <c r="M17" s="254"/>
      <c r="N17" s="570" t="s">
        <v>326</v>
      </c>
      <c r="O17" s="244"/>
      <c r="P17" s="242">
        <f>'８－２　水稲算出基礎（加工用品種）'!G7</f>
        <v>0</v>
      </c>
      <c r="Q17" s="877"/>
      <c r="R17" s="878"/>
      <c r="S17" s="879"/>
    </row>
    <row r="18" spans="1:19" s="153" customFormat="1" ht="18" customHeight="1" x14ac:dyDescent="0.15">
      <c r="A18" s="152"/>
      <c r="B18" s="855"/>
      <c r="C18" s="852"/>
      <c r="D18" s="857" t="s">
        <v>277</v>
      </c>
      <c r="E18" s="278" t="s">
        <v>127</v>
      </c>
      <c r="F18" s="265">
        <v>0</v>
      </c>
      <c r="G18" s="225"/>
      <c r="H18" s="232"/>
      <c r="I18" s="232"/>
      <c r="J18" s="233"/>
      <c r="K18" s="900"/>
      <c r="L18" s="253" t="s">
        <v>184</v>
      </c>
      <c r="M18" s="254"/>
      <c r="N18" s="570" t="s">
        <v>289</v>
      </c>
      <c r="O18" s="244"/>
      <c r="P18" s="242">
        <f>'８－２　水稲算出基礎（加工用品種）'!G11</f>
        <v>38400</v>
      </c>
      <c r="Q18" s="877"/>
      <c r="R18" s="878"/>
      <c r="S18" s="879"/>
    </row>
    <row r="19" spans="1:19" s="153" customFormat="1" ht="18" customHeight="1" x14ac:dyDescent="0.15">
      <c r="A19" s="152"/>
      <c r="B19" s="855"/>
      <c r="C19" s="852"/>
      <c r="D19" s="857"/>
      <c r="E19" s="278" t="s">
        <v>123</v>
      </c>
      <c r="F19" s="265">
        <f>J19*'５－１　水稲（食用，加工用米，飼料用米）作業時間'!AO34</f>
        <v>0</v>
      </c>
      <c r="G19" s="225"/>
      <c r="H19" s="232"/>
      <c r="I19" s="166" t="s">
        <v>339</v>
      </c>
      <c r="J19" s="413">
        <v>0</v>
      </c>
      <c r="K19" s="900"/>
      <c r="L19" s="225" t="s">
        <v>185</v>
      </c>
      <c r="M19" s="240"/>
      <c r="N19" s="570" t="s">
        <v>289</v>
      </c>
      <c r="O19" s="244"/>
      <c r="P19" s="242">
        <f>'８－２　水稲算出基礎（加工用品種）'!G16</f>
        <v>80500</v>
      </c>
      <c r="Q19" s="877"/>
      <c r="R19" s="878"/>
      <c r="S19" s="879"/>
    </row>
    <row r="20" spans="1:19" s="153" customFormat="1" ht="18" customHeight="1" x14ac:dyDescent="0.15">
      <c r="A20" s="152"/>
      <c r="B20" s="855"/>
      <c r="C20" s="852"/>
      <c r="D20" s="857"/>
      <c r="E20" s="278" t="s">
        <v>124</v>
      </c>
      <c r="F20" s="265">
        <f>J20*'５－１　水稲（食用，加工用米，飼料用米）作業時間'!AP34</f>
        <v>0</v>
      </c>
      <c r="G20" s="225"/>
      <c r="H20" s="232"/>
      <c r="I20" s="166" t="s">
        <v>340</v>
      </c>
      <c r="J20" s="413">
        <v>0</v>
      </c>
      <c r="K20" s="900"/>
      <c r="L20" s="225" t="s">
        <v>187</v>
      </c>
      <c r="M20" s="240"/>
      <c r="N20" s="570"/>
      <c r="O20" s="244"/>
      <c r="P20" s="242">
        <f>'８－２　水稲算出基礎（加工用品種）'!G20</f>
        <v>0</v>
      </c>
      <c r="Q20" s="877"/>
      <c r="R20" s="878"/>
      <c r="S20" s="879"/>
    </row>
    <row r="21" spans="1:19" s="153" customFormat="1" ht="18" customHeight="1" x14ac:dyDescent="0.15">
      <c r="A21" s="152"/>
      <c r="B21" s="855"/>
      <c r="C21" s="852"/>
      <c r="D21" s="857"/>
      <c r="E21" s="278" t="s">
        <v>125</v>
      </c>
      <c r="F21" s="265">
        <f>(F19+F20)*0.012</f>
        <v>0</v>
      </c>
      <c r="G21" s="225"/>
      <c r="H21" s="232"/>
      <c r="I21" s="232"/>
      <c r="J21" s="233"/>
      <c r="K21" s="900"/>
      <c r="L21" s="225" t="s">
        <v>188</v>
      </c>
      <c r="M21" s="240"/>
      <c r="N21" s="570" t="s">
        <v>326</v>
      </c>
      <c r="O21" s="242"/>
      <c r="P21" s="242">
        <f>'８－２　水稲算出基礎（加工用品種）'!G24</f>
        <v>20723.849999999999</v>
      </c>
      <c r="Q21" s="877"/>
      <c r="R21" s="878"/>
      <c r="S21" s="879"/>
    </row>
    <row r="22" spans="1:19" s="153" customFormat="1" ht="18" customHeight="1" thickBot="1" x14ac:dyDescent="0.2">
      <c r="A22" s="152"/>
      <c r="B22" s="855"/>
      <c r="C22" s="852"/>
      <c r="D22" s="857" t="s">
        <v>65</v>
      </c>
      <c r="E22" s="278" t="s">
        <v>66</v>
      </c>
      <c r="F22" s="265">
        <f t="shared" ref="F22:F23" si="2">I22*10</f>
        <v>23760</v>
      </c>
      <c r="G22" s="225"/>
      <c r="H22" s="232"/>
      <c r="I22" s="240">
        <v>2376</v>
      </c>
      <c r="J22" s="233" t="s">
        <v>338</v>
      </c>
      <c r="K22" s="900"/>
      <c r="L22" s="165" t="s">
        <v>29</v>
      </c>
      <c r="M22" s="164"/>
      <c r="N22" s="571"/>
      <c r="O22" s="165"/>
      <c r="P22" s="165">
        <f>SUM(P17:P21)</f>
        <v>139623.85</v>
      </c>
      <c r="Q22" s="883"/>
      <c r="R22" s="884"/>
      <c r="S22" s="885"/>
    </row>
    <row r="23" spans="1:19" s="153" customFormat="1" ht="18" customHeight="1" thickTop="1" x14ac:dyDescent="0.15">
      <c r="A23" s="152"/>
      <c r="B23" s="855"/>
      <c r="C23" s="852"/>
      <c r="D23" s="857"/>
      <c r="E23" s="278" t="s">
        <v>94</v>
      </c>
      <c r="F23" s="265">
        <f t="shared" si="2"/>
        <v>50000</v>
      </c>
      <c r="G23" s="225"/>
      <c r="H23" s="232"/>
      <c r="I23" s="240">
        <v>5000</v>
      </c>
      <c r="J23" s="233" t="s">
        <v>338</v>
      </c>
      <c r="K23" s="900"/>
      <c r="L23" s="225" t="s">
        <v>181</v>
      </c>
      <c r="M23" s="240"/>
      <c r="N23" s="241" t="s">
        <v>26</v>
      </c>
      <c r="O23" s="241" t="s">
        <v>24</v>
      </c>
      <c r="P23" s="241" t="s">
        <v>27</v>
      </c>
      <c r="Q23" s="886" t="s">
        <v>28</v>
      </c>
      <c r="R23" s="887"/>
      <c r="S23" s="888"/>
    </row>
    <row r="24" spans="1:19" s="153" customFormat="1" ht="18" customHeight="1" x14ac:dyDescent="0.15">
      <c r="A24" s="152"/>
      <c r="B24" s="855"/>
      <c r="C24" s="852"/>
      <c r="D24" s="265" t="s">
        <v>67</v>
      </c>
      <c r="E24" s="274"/>
      <c r="F24" s="265">
        <f>I24*10</f>
        <v>30000</v>
      </c>
      <c r="G24" s="225"/>
      <c r="H24" s="232"/>
      <c r="I24" s="487">
        <v>3000</v>
      </c>
      <c r="J24" s="233" t="s">
        <v>338</v>
      </c>
      <c r="K24" s="900"/>
      <c r="L24" s="242" t="s">
        <v>30</v>
      </c>
      <c r="M24" s="240"/>
      <c r="N24" s="570" t="s">
        <v>328</v>
      </c>
      <c r="O24" s="242"/>
      <c r="P24" s="242">
        <f>'８－２　水稲算出基礎（加工用品種）'!G38</f>
        <v>5512.1</v>
      </c>
      <c r="Q24" s="877"/>
      <c r="R24" s="878"/>
      <c r="S24" s="879"/>
    </row>
    <row r="25" spans="1:19" s="153" customFormat="1" ht="18" customHeight="1" x14ac:dyDescent="0.15">
      <c r="A25" s="152"/>
      <c r="B25" s="855"/>
      <c r="C25" s="852"/>
      <c r="D25" s="265" t="s">
        <v>183</v>
      </c>
      <c r="E25" s="274"/>
      <c r="F25" s="265">
        <f>SUM(F6:F24)/99</f>
        <v>8930.8868499478049</v>
      </c>
      <c r="G25" s="279" t="s">
        <v>233</v>
      </c>
      <c r="H25" s="293">
        <v>0.01</v>
      </c>
      <c r="I25" s="167"/>
      <c r="J25" s="18"/>
      <c r="K25" s="900"/>
      <c r="L25" s="242" t="s">
        <v>31</v>
      </c>
      <c r="M25" s="240"/>
      <c r="N25" s="570" t="s">
        <v>330</v>
      </c>
      <c r="O25" s="242"/>
      <c r="P25" s="242">
        <f>'８－２　水稲算出基礎（加工用品種）'!G49</f>
        <v>4975</v>
      </c>
      <c r="Q25" s="877"/>
      <c r="R25" s="878"/>
      <c r="S25" s="879"/>
    </row>
    <row r="26" spans="1:19" s="153" customFormat="1" ht="18" customHeight="1" x14ac:dyDescent="0.15">
      <c r="A26" s="152"/>
      <c r="B26" s="855"/>
      <c r="C26" s="853"/>
      <c r="D26" s="863" t="s">
        <v>224</v>
      </c>
      <c r="E26" s="864"/>
      <c r="F26" s="184">
        <f>SUM(F6:F25)</f>
        <v>893088.68499478057</v>
      </c>
      <c r="G26" s="234"/>
      <c r="H26" s="167"/>
      <c r="I26" s="167"/>
      <c r="J26" s="170"/>
      <c r="K26" s="900"/>
      <c r="L26" s="242" t="s">
        <v>32</v>
      </c>
      <c r="M26" s="240"/>
      <c r="N26" s="570" t="s">
        <v>326</v>
      </c>
      <c r="O26" s="242"/>
      <c r="P26" s="242">
        <f>'８－２　水稲算出基礎（加工用品種）'!G53</f>
        <v>24330</v>
      </c>
      <c r="Q26" s="877"/>
      <c r="R26" s="878"/>
      <c r="S26" s="879"/>
    </row>
    <row r="27" spans="1:19" s="153" customFormat="1" ht="18" customHeight="1" x14ac:dyDescent="0.15">
      <c r="A27" s="152"/>
      <c r="B27" s="855"/>
      <c r="C27" s="858" t="s">
        <v>211</v>
      </c>
      <c r="D27" s="767" t="s">
        <v>68</v>
      </c>
      <c r="E27" s="56" t="s">
        <v>3</v>
      </c>
      <c r="F27" s="158">
        <f>P11/30*J27</f>
        <v>16000</v>
      </c>
      <c r="G27" s="253"/>
      <c r="H27" s="240"/>
      <c r="I27" s="163" t="s">
        <v>346</v>
      </c>
      <c r="J27" s="414">
        <v>80</v>
      </c>
      <c r="K27" s="900"/>
      <c r="L27" s="242" t="s">
        <v>327</v>
      </c>
      <c r="M27" s="240"/>
      <c r="N27" s="570" t="s">
        <v>330</v>
      </c>
      <c r="O27" s="242"/>
      <c r="P27" s="242">
        <f>'８－２　水稲算出基礎（加工用品種）'!G57</f>
        <v>37268.5</v>
      </c>
      <c r="Q27" s="877"/>
      <c r="R27" s="878"/>
      <c r="S27" s="879"/>
    </row>
    <row r="28" spans="1:19" s="153" customFormat="1" ht="18" customHeight="1" thickBot="1" x14ac:dyDescent="0.2">
      <c r="A28" s="152"/>
      <c r="B28" s="855"/>
      <c r="C28" s="859"/>
      <c r="D28" s="770"/>
      <c r="E28" s="56" t="s">
        <v>4</v>
      </c>
      <c r="F28" s="185">
        <v>0</v>
      </c>
      <c r="G28" s="253"/>
      <c r="H28" s="280"/>
      <c r="I28" s="280"/>
      <c r="J28" s="281"/>
      <c r="K28" s="900"/>
      <c r="L28" s="165" t="s">
        <v>29</v>
      </c>
      <c r="M28" s="164"/>
      <c r="N28" s="571"/>
      <c r="O28" s="165"/>
      <c r="P28" s="165">
        <f>SUM(P24:P27)</f>
        <v>72085.600000000006</v>
      </c>
      <c r="Q28" s="883"/>
      <c r="R28" s="884"/>
      <c r="S28" s="885"/>
    </row>
    <row r="29" spans="1:19" s="153" customFormat="1" ht="18" customHeight="1" thickTop="1" x14ac:dyDescent="0.15">
      <c r="A29" s="152"/>
      <c r="B29" s="855"/>
      <c r="C29" s="859"/>
      <c r="D29" s="768"/>
      <c r="E29" s="56" t="s">
        <v>8</v>
      </c>
      <c r="F29" s="158">
        <f>P11/30*J29</f>
        <v>5000</v>
      </c>
      <c r="G29" s="253"/>
      <c r="H29" s="248"/>
      <c r="I29" s="280" t="s">
        <v>347</v>
      </c>
      <c r="J29" s="415">
        <v>25</v>
      </c>
      <c r="K29" s="900"/>
      <c r="L29" s="225" t="s">
        <v>182</v>
      </c>
      <c r="M29" s="240"/>
      <c r="N29" s="241" t="s">
        <v>26</v>
      </c>
      <c r="O29" s="241" t="s">
        <v>24</v>
      </c>
      <c r="P29" s="241" t="s">
        <v>27</v>
      </c>
      <c r="Q29" s="886" t="s">
        <v>28</v>
      </c>
      <c r="R29" s="887"/>
      <c r="S29" s="888"/>
    </row>
    <row r="30" spans="1:19" s="153" customFormat="1" ht="18" customHeight="1" x14ac:dyDescent="0.15">
      <c r="A30" s="152"/>
      <c r="B30" s="855"/>
      <c r="C30" s="859"/>
      <c r="D30" s="56" t="s">
        <v>69</v>
      </c>
      <c r="E30" s="57"/>
      <c r="F30" s="158">
        <v>0</v>
      </c>
      <c r="G30" s="253"/>
      <c r="H30" s="248"/>
      <c r="I30" s="280"/>
      <c r="J30" s="282"/>
      <c r="K30" s="900"/>
      <c r="L30" s="242" t="s">
        <v>49</v>
      </c>
      <c r="M30" s="243"/>
      <c r="N30" s="570" t="s">
        <v>331</v>
      </c>
      <c r="O30" s="244"/>
      <c r="P30" s="242">
        <f>'８－２　水稲算出基礎（加工用品種）'!N12</f>
        <v>19311.599999999999</v>
      </c>
      <c r="Q30" s="889"/>
      <c r="R30" s="890"/>
      <c r="S30" s="891"/>
    </row>
    <row r="31" spans="1:19" s="153" customFormat="1" ht="18" customHeight="1" x14ac:dyDescent="0.15">
      <c r="A31" s="152"/>
      <c r="B31" s="855"/>
      <c r="C31" s="859"/>
      <c r="D31" s="736" t="s">
        <v>278</v>
      </c>
      <c r="E31" s="66" t="s">
        <v>127</v>
      </c>
      <c r="F31" s="158">
        <v>0</v>
      </c>
      <c r="G31" s="253"/>
      <c r="H31" s="283"/>
      <c r="I31" s="283"/>
      <c r="J31" s="284"/>
      <c r="K31" s="900"/>
      <c r="L31" s="242" t="s">
        <v>48</v>
      </c>
      <c r="M31" s="243"/>
      <c r="N31" s="570" t="s">
        <v>332</v>
      </c>
      <c r="O31" s="244"/>
      <c r="P31" s="242">
        <f>'８－２　水稲算出基礎（加工用品種）'!N16</f>
        <v>1463.6159999999998</v>
      </c>
      <c r="Q31" s="889"/>
      <c r="R31" s="890"/>
      <c r="S31" s="891"/>
    </row>
    <row r="32" spans="1:19" s="153" customFormat="1" ht="18" customHeight="1" x14ac:dyDescent="0.15">
      <c r="A32" s="152"/>
      <c r="B32" s="855"/>
      <c r="C32" s="859"/>
      <c r="D32" s="736"/>
      <c r="E32" s="66" t="s">
        <v>126</v>
      </c>
      <c r="F32" s="158">
        <v>0</v>
      </c>
      <c r="G32" s="253"/>
      <c r="H32" s="285"/>
      <c r="I32" s="285"/>
      <c r="J32" s="286"/>
      <c r="K32" s="900"/>
      <c r="L32" s="242" t="s">
        <v>50</v>
      </c>
      <c r="M32" s="240"/>
      <c r="N32" s="572"/>
      <c r="O32" s="244"/>
      <c r="P32" s="242">
        <f>SUM(P30:P31)*R32</f>
        <v>6232.5647999999992</v>
      </c>
      <c r="Q32" s="247" t="s">
        <v>33</v>
      </c>
      <c r="R32" s="246">
        <v>0.3</v>
      </c>
      <c r="S32" s="169"/>
    </row>
    <row r="33" spans="1:23" ht="18" customHeight="1" x14ac:dyDescent="0.15">
      <c r="B33" s="855"/>
      <c r="C33" s="859"/>
      <c r="D33" s="56" t="s">
        <v>70</v>
      </c>
      <c r="E33" s="67"/>
      <c r="F33" s="158">
        <v>0</v>
      </c>
      <c r="G33" s="253"/>
      <c r="H33" s="287"/>
      <c r="I33" s="288"/>
      <c r="J33" s="282"/>
      <c r="K33" s="900"/>
      <c r="L33" s="242" t="s">
        <v>51</v>
      </c>
      <c r="M33" s="243"/>
      <c r="N33" s="570"/>
      <c r="O33" s="244"/>
      <c r="P33" s="242">
        <f>'８－２　水稲算出基礎（加工用品種）'!N20</f>
        <v>0</v>
      </c>
      <c r="Q33" s="877"/>
      <c r="R33" s="878"/>
      <c r="S33" s="879"/>
    </row>
    <row r="34" spans="1:23" ht="18" customHeight="1" x14ac:dyDescent="0.15">
      <c r="B34" s="855"/>
      <c r="C34" s="859"/>
      <c r="D34" s="56" t="s">
        <v>95</v>
      </c>
      <c r="E34" s="67"/>
      <c r="F34" s="158">
        <v>0</v>
      </c>
      <c r="G34" s="253"/>
      <c r="H34" s="289"/>
      <c r="I34" s="290"/>
      <c r="J34" s="291"/>
      <c r="K34" s="900"/>
      <c r="L34" s="242" t="s">
        <v>52</v>
      </c>
      <c r="M34" s="243"/>
      <c r="N34" s="570" t="s">
        <v>332</v>
      </c>
      <c r="O34" s="244"/>
      <c r="P34" s="242">
        <f>'８－２　水稲算出基礎（加工用品種）'!N24</f>
        <v>0</v>
      </c>
      <c r="Q34" s="877"/>
      <c r="R34" s="878"/>
      <c r="S34" s="879"/>
    </row>
    <row r="35" spans="1:23" ht="18" customHeight="1" x14ac:dyDescent="0.15">
      <c r="B35" s="855"/>
      <c r="C35" s="859"/>
      <c r="D35" s="56" t="s">
        <v>130</v>
      </c>
      <c r="E35" s="57"/>
      <c r="F35" s="185">
        <f>'８－２　水稲算出基礎（加工用品種）'!V57</f>
        <v>9334</v>
      </c>
      <c r="G35" s="895"/>
      <c r="H35" s="896"/>
      <c r="I35" s="896"/>
      <c r="J35" s="869"/>
      <c r="K35" s="900"/>
      <c r="L35" s="242" t="s">
        <v>276</v>
      </c>
      <c r="M35" s="243"/>
      <c r="N35" s="570"/>
      <c r="O35" s="244"/>
      <c r="P35" s="242">
        <f>'８－２　水稲算出基礎（加工用品種）'!N28</f>
        <v>0</v>
      </c>
      <c r="Q35" s="877"/>
      <c r="R35" s="878"/>
      <c r="S35" s="879"/>
    </row>
    <row r="36" spans="1:23" ht="18" customHeight="1" x14ac:dyDescent="0.15">
      <c r="B36" s="855"/>
      <c r="C36" s="859"/>
      <c r="D36" s="77" t="s">
        <v>96</v>
      </c>
      <c r="E36" s="78"/>
      <c r="F36" s="292">
        <v>0</v>
      </c>
      <c r="G36" s="225"/>
      <c r="H36" s="289"/>
      <c r="I36" s="290"/>
      <c r="J36" s="282"/>
      <c r="K36" s="900"/>
      <c r="L36" s="242" t="s">
        <v>53</v>
      </c>
      <c r="M36" s="240"/>
      <c r="N36" s="570" t="s">
        <v>333</v>
      </c>
      <c r="O36" s="244"/>
      <c r="P36" s="242">
        <f>'８－２　水稲算出基礎（加工用品種）'!N32</f>
        <v>325.84999999999997</v>
      </c>
      <c r="Q36" s="877"/>
      <c r="R36" s="878"/>
      <c r="S36" s="879"/>
    </row>
    <row r="37" spans="1:23" ht="18" customHeight="1" thickBot="1" x14ac:dyDescent="0.2">
      <c r="B37" s="855"/>
      <c r="C37" s="859"/>
      <c r="D37" s="56" t="s">
        <v>71</v>
      </c>
      <c r="E37" s="57"/>
      <c r="F37" s="185">
        <f>'８－２　水稲算出基礎（加工用品種）'!N57</f>
        <v>2478.6714953560372</v>
      </c>
      <c r="G37" s="895"/>
      <c r="H37" s="896"/>
      <c r="I37" s="896"/>
      <c r="J37" s="869"/>
      <c r="K37" s="901"/>
      <c r="L37" s="177" t="s">
        <v>29</v>
      </c>
      <c r="M37" s="176"/>
      <c r="N37" s="177"/>
      <c r="O37" s="177"/>
      <c r="P37" s="177">
        <f>SUM(P30:P36)</f>
        <v>27333.630799999995</v>
      </c>
      <c r="Q37" s="880"/>
      <c r="R37" s="881"/>
      <c r="S37" s="882"/>
    </row>
    <row r="38" spans="1:23" s="171" customFormat="1" ht="18" customHeight="1" x14ac:dyDescent="0.15">
      <c r="A38" s="152"/>
      <c r="B38" s="855"/>
      <c r="C38" s="859"/>
      <c r="D38" s="56" t="s">
        <v>0</v>
      </c>
      <c r="E38" s="67"/>
      <c r="F38" s="185">
        <v>0</v>
      </c>
      <c r="G38" s="17"/>
      <c r="H38" s="236"/>
      <c r="I38" s="237"/>
      <c r="J38" s="235"/>
    </row>
    <row r="39" spans="1:23" s="171" customFormat="1" ht="18" customHeight="1" thickBot="1" x14ac:dyDescent="0.2">
      <c r="A39" s="152"/>
      <c r="B39" s="856"/>
      <c r="C39" s="860"/>
      <c r="D39" s="861" t="s">
        <v>223</v>
      </c>
      <c r="E39" s="862"/>
      <c r="F39" s="227">
        <f>SUM(F27:F38)</f>
        <v>32812.671495356037</v>
      </c>
      <c r="G39" s="228"/>
      <c r="H39" s="229"/>
      <c r="I39" s="230"/>
      <c r="J39" s="231"/>
      <c r="T39" s="172"/>
    </row>
    <row r="40" spans="1:23" s="171" customFormat="1" ht="18" customHeight="1" x14ac:dyDescent="0.15">
      <c r="A40" s="152"/>
      <c r="B40" s="832" t="s">
        <v>227</v>
      </c>
      <c r="C40" s="835" t="s">
        <v>73</v>
      </c>
      <c r="D40" s="222" t="s">
        <v>129</v>
      </c>
      <c r="E40" s="223"/>
      <c r="F40" s="224">
        <f>J40*10</f>
        <v>470000</v>
      </c>
      <c r="G40" s="225"/>
      <c r="H40" s="903" t="s">
        <v>517</v>
      </c>
      <c r="I40" s="903"/>
      <c r="J40" s="416">
        <v>47000</v>
      </c>
      <c r="T40" s="153"/>
      <c r="U40" s="153"/>
      <c r="V40" s="153"/>
      <c r="W40" s="153"/>
    </row>
    <row r="41" spans="1:23" s="171" customFormat="1" ht="18" customHeight="1" x14ac:dyDescent="0.15">
      <c r="A41" s="152"/>
      <c r="B41" s="833"/>
      <c r="C41" s="836"/>
      <c r="D41" s="56" t="s">
        <v>128</v>
      </c>
      <c r="E41" s="57"/>
      <c r="F41" s="217">
        <v>0</v>
      </c>
      <c r="G41" s="225"/>
      <c r="H41" s="178"/>
      <c r="I41" s="178"/>
      <c r="J41" s="238"/>
      <c r="T41" s="173"/>
      <c r="U41" s="174"/>
      <c r="V41" s="175"/>
      <c r="W41" s="173"/>
    </row>
    <row r="42" spans="1:23" s="171" customFormat="1" ht="18" customHeight="1" x14ac:dyDescent="0.15">
      <c r="A42" s="152"/>
      <c r="B42" s="833"/>
      <c r="C42" s="837"/>
      <c r="D42" s="77" t="s">
        <v>72</v>
      </c>
      <c r="E42" s="57"/>
      <c r="F42" s="217">
        <v>0</v>
      </c>
      <c r="G42" s="225"/>
      <c r="H42" s="178"/>
      <c r="I42" s="178"/>
      <c r="J42" s="238"/>
      <c r="T42" s="153"/>
      <c r="U42" s="153"/>
      <c r="V42" s="153"/>
      <c r="W42" s="153"/>
    </row>
    <row r="43" spans="1:23" s="171" customFormat="1" ht="18" customHeight="1" x14ac:dyDescent="0.15">
      <c r="B43" s="833"/>
      <c r="C43" s="838" t="s">
        <v>226</v>
      </c>
      <c r="D43" s="77" t="s">
        <v>279</v>
      </c>
      <c r="E43" s="78"/>
      <c r="F43" s="217">
        <v>0</v>
      </c>
      <c r="G43" s="225"/>
      <c r="H43" s="178"/>
      <c r="I43" s="178"/>
      <c r="J43" s="238"/>
      <c r="T43" s="154"/>
      <c r="U43" s="172"/>
      <c r="V43" s="153"/>
      <c r="W43" s="173"/>
    </row>
    <row r="44" spans="1:23" s="171" customFormat="1" ht="18" customHeight="1" x14ac:dyDescent="0.15">
      <c r="B44" s="833"/>
      <c r="C44" s="839"/>
      <c r="D44" s="79" t="s">
        <v>1</v>
      </c>
      <c r="E44" s="80"/>
      <c r="F44" s="217">
        <v>0</v>
      </c>
      <c r="G44" s="225"/>
      <c r="H44" s="178"/>
      <c r="I44" s="178"/>
      <c r="J44" s="238"/>
      <c r="T44" s="154"/>
      <c r="U44" s="172"/>
      <c r="V44" s="153"/>
      <c r="W44" s="173"/>
    </row>
    <row r="45" spans="1:23" s="171" customFormat="1" ht="18" customHeight="1" thickBot="1" x14ac:dyDescent="0.2">
      <c r="B45" s="834"/>
      <c r="C45" s="840" t="s">
        <v>98</v>
      </c>
      <c r="D45" s="841"/>
      <c r="E45" s="842"/>
      <c r="F45" s="218">
        <f>SUM(F40:F42)-SUM(F43:F44)</f>
        <v>470000</v>
      </c>
      <c r="G45" s="179"/>
      <c r="H45" s="180"/>
      <c r="I45" s="180"/>
      <c r="J45" s="239"/>
      <c r="T45" s="153"/>
      <c r="U45" s="153"/>
      <c r="V45" s="174"/>
      <c r="W45" s="153"/>
    </row>
  </sheetData>
  <mergeCells count="59">
    <mergeCell ref="Q33:S33"/>
    <mergeCell ref="G37:J37"/>
    <mergeCell ref="B6:B39"/>
    <mergeCell ref="D26:E26"/>
    <mergeCell ref="Q26:S26"/>
    <mergeCell ref="C27:C39"/>
    <mergeCell ref="D27:D29"/>
    <mergeCell ref="Q27:S27"/>
    <mergeCell ref="Q28:S28"/>
    <mergeCell ref="Q37:S37"/>
    <mergeCell ref="D39:E39"/>
    <mergeCell ref="R6:S6"/>
    <mergeCell ref="R7:S7"/>
    <mergeCell ref="R8:S8"/>
    <mergeCell ref="Q34:S34"/>
    <mergeCell ref="Q18:S18"/>
    <mergeCell ref="D22:D23"/>
    <mergeCell ref="D31:D32"/>
    <mergeCell ref="Q31:S31"/>
    <mergeCell ref="Q15:S15"/>
    <mergeCell ref="Q16:S16"/>
    <mergeCell ref="Q17:S17"/>
    <mergeCell ref="B40:B45"/>
    <mergeCell ref="C40:C42"/>
    <mergeCell ref="C43:C44"/>
    <mergeCell ref="C45:E45"/>
    <mergeCell ref="H40:I40"/>
    <mergeCell ref="Q36:S36"/>
    <mergeCell ref="R9:S9"/>
    <mergeCell ref="G10:J10"/>
    <mergeCell ref="R10:S10"/>
    <mergeCell ref="G11:J11"/>
    <mergeCell ref="R11:S11"/>
    <mergeCell ref="I13:J13"/>
    <mergeCell ref="Q13:S13"/>
    <mergeCell ref="I14:J14"/>
    <mergeCell ref="Q14:S14"/>
    <mergeCell ref="Q22:S22"/>
    <mergeCell ref="Q23:S23"/>
    <mergeCell ref="G35:J35"/>
    <mergeCell ref="K12:K37"/>
    <mergeCell ref="Q25:S25"/>
    <mergeCell ref="Q24:S24"/>
    <mergeCell ref="Q35:S35"/>
    <mergeCell ref="B3:E3"/>
    <mergeCell ref="K3:S3"/>
    <mergeCell ref="B4:C5"/>
    <mergeCell ref="R4:S4"/>
    <mergeCell ref="R5:S5"/>
    <mergeCell ref="Q30:S30"/>
    <mergeCell ref="Q19:S19"/>
    <mergeCell ref="Q20:S20"/>
    <mergeCell ref="Q21:S21"/>
    <mergeCell ref="Q29:S29"/>
    <mergeCell ref="Q12:S12"/>
    <mergeCell ref="C6:C26"/>
    <mergeCell ref="D18:D21"/>
    <mergeCell ref="D13:D14"/>
    <mergeCell ref="D15:D17"/>
  </mergeCells>
  <phoneticPr fontId="6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52" customWidth="1"/>
    <col min="2" max="2" width="5.875" style="152" customWidth="1"/>
    <col min="3" max="3" width="10.625" style="152" customWidth="1"/>
    <col min="4" max="4" width="12.375" style="152" customWidth="1"/>
    <col min="5" max="5" width="14.625" style="152" customWidth="1"/>
    <col min="6" max="7" width="15.875" style="152" customWidth="1"/>
    <col min="8" max="8" width="10.875" style="152"/>
    <col min="9" max="9" width="11.375" style="152" bestFit="1" customWidth="1"/>
    <col min="10" max="10" width="13.375" style="152" customWidth="1"/>
    <col min="11" max="11" width="7.125" style="152" customWidth="1"/>
    <col min="12" max="12" width="15.375" style="152" customWidth="1"/>
    <col min="13" max="13" width="9.375" style="152" bestFit="1" customWidth="1"/>
    <col min="14" max="14" width="10.875" style="152"/>
    <col min="15" max="15" width="9.375" style="152" customWidth="1"/>
    <col min="16" max="16" width="9.625" style="152" customWidth="1"/>
    <col min="17" max="17" width="10.875" style="152" customWidth="1"/>
    <col min="18" max="18" width="7.5" style="152" customWidth="1"/>
    <col min="19" max="19" width="3.75" style="152" customWidth="1"/>
    <col min="20" max="16384" width="10.875" style="152"/>
  </cols>
  <sheetData>
    <row r="1" spans="2:19" s="153" customFormat="1" ht="9.9499999999999993" customHeight="1" x14ac:dyDescent="0.15"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spans="2:19" s="153" customFormat="1" ht="24.95" customHeight="1" thickBot="1" x14ac:dyDescent="0.2">
      <c r="B2" s="3" t="s">
        <v>510</v>
      </c>
      <c r="H2" s="154" t="s">
        <v>267</v>
      </c>
      <c r="I2" s="3" t="s">
        <v>440</v>
      </c>
      <c r="K2" s="154" t="s">
        <v>268</v>
      </c>
      <c r="L2" s="3" t="s">
        <v>270</v>
      </c>
      <c r="M2" s="153" t="s">
        <v>447</v>
      </c>
      <c r="N2" s="152"/>
      <c r="O2" s="152"/>
      <c r="Q2" s="4"/>
      <c r="R2" s="4"/>
    </row>
    <row r="3" spans="2:19" s="153" customFormat="1" ht="18" customHeight="1" x14ac:dyDescent="0.15">
      <c r="B3" s="848" t="s">
        <v>20</v>
      </c>
      <c r="C3" s="849"/>
      <c r="D3" s="849"/>
      <c r="E3" s="850"/>
      <c r="F3" s="481" t="s">
        <v>21</v>
      </c>
      <c r="G3" s="156"/>
      <c r="H3" s="157" t="s">
        <v>22</v>
      </c>
      <c r="I3" s="155"/>
      <c r="J3" s="155"/>
      <c r="K3" s="865" t="s">
        <v>232</v>
      </c>
      <c r="L3" s="866"/>
      <c r="M3" s="866"/>
      <c r="N3" s="866"/>
      <c r="O3" s="866"/>
      <c r="P3" s="866"/>
      <c r="Q3" s="866"/>
      <c r="R3" s="866"/>
      <c r="S3" s="867"/>
    </row>
    <row r="4" spans="2:19" s="153" customFormat="1" ht="18" customHeight="1" x14ac:dyDescent="0.15">
      <c r="B4" s="846" t="s">
        <v>23</v>
      </c>
      <c r="C4" s="847"/>
      <c r="D4" s="253" t="s">
        <v>225</v>
      </c>
      <c r="E4" s="272"/>
      <c r="F4" s="265">
        <v>0</v>
      </c>
      <c r="G4" s="253" t="s">
        <v>208</v>
      </c>
      <c r="H4" s="474"/>
      <c r="I4" s="474"/>
      <c r="J4" s="474"/>
      <c r="K4" s="261" t="s">
        <v>438</v>
      </c>
      <c r="L4" s="348" t="s">
        <v>425</v>
      </c>
      <c r="M4" s="470" t="s">
        <v>439</v>
      </c>
      <c r="N4" s="470" t="s">
        <v>23</v>
      </c>
      <c r="O4" s="470" t="s">
        <v>438</v>
      </c>
      <c r="P4" s="348" t="s">
        <v>425</v>
      </c>
      <c r="Q4" s="470" t="s">
        <v>24</v>
      </c>
      <c r="R4" s="870" t="s">
        <v>23</v>
      </c>
      <c r="S4" s="871"/>
    </row>
    <row r="5" spans="2:19" s="153" customFormat="1" ht="18" customHeight="1" x14ac:dyDescent="0.15">
      <c r="B5" s="846"/>
      <c r="C5" s="847"/>
      <c r="D5" s="253" t="s">
        <v>91</v>
      </c>
      <c r="E5" s="272"/>
      <c r="F5" s="265">
        <f>R11</f>
        <v>1595600</v>
      </c>
      <c r="G5" s="219"/>
      <c r="H5" s="273"/>
      <c r="I5" s="273"/>
      <c r="J5" s="273"/>
      <c r="K5" s="344" t="s">
        <v>428</v>
      </c>
      <c r="L5" s="265">
        <f>'１　対象経営の概要，２　前提条件'!$F$15</f>
        <v>2</v>
      </c>
      <c r="M5" s="265">
        <f>'８－３　水稲算出基礎（作業受託）'!G7</f>
        <v>202800</v>
      </c>
      <c r="N5" s="265">
        <f>L5*M5</f>
        <v>405600</v>
      </c>
      <c r="O5" s="265"/>
      <c r="P5" s="265"/>
      <c r="Q5" s="265"/>
      <c r="R5" s="868">
        <f>P5*Q5</f>
        <v>0</v>
      </c>
      <c r="S5" s="869"/>
    </row>
    <row r="6" spans="2:19" s="153" customFormat="1" ht="18" customHeight="1" x14ac:dyDescent="0.15">
      <c r="B6" s="854" t="s">
        <v>230</v>
      </c>
      <c r="C6" s="851" t="s">
        <v>216</v>
      </c>
      <c r="D6" s="265" t="s">
        <v>59</v>
      </c>
      <c r="E6" s="274"/>
      <c r="F6" s="265">
        <f>P17</f>
        <v>15206.4</v>
      </c>
      <c r="G6" s="219" t="s">
        <v>209</v>
      </c>
      <c r="H6" s="273"/>
      <c r="I6" s="273"/>
      <c r="J6" s="273"/>
      <c r="K6" s="271" t="s">
        <v>433</v>
      </c>
      <c r="L6" s="268">
        <f>'１　対象経営の概要，２　前提条件'!$F$16</f>
        <v>2</v>
      </c>
      <c r="M6" s="265">
        <f>'８－３　水稲算出基礎（作業受託）'!$G$11</f>
        <v>212800</v>
      </c>
      <c r="N6" s="265">
        <f>L6*M6</f>
        <v>425600</v>
      </c>
      <c r="O6" s="265"/>
      <c r="P6" s="265"/>
      <c r="Q6" s="265"/>
      <c r="R6" s="868">
        <f t="shared" ref="R6:R9" si="0">P6*Q6</f>
        <v>0</v>
      </c>
      <c r="S6" s="869"/>
    </row>
    <row r="7" spans="2:19" s="153" customFormat="1" ht="18" customHeight="1" x14ac:dyDescent="0.15">
      <c r="B7" s="855"/>
      <c r="C7" s="852"/>
      <c r="D7" s="265" t="s">
        <v>60</v>
      </c>
      <c r="E7" s="274"/>
      <c r="F7" s="265">
        <f>P22</f>
        <v>0</v>
      </c>
      <c r="G7" s="253" t="s">
        <v>512</v>
      </c>
      <c r="H7" s="474"/>
      <c r="I7" s="474"/>
      <c r="J7" s="475"/>
      <c r="K7" s="269" t="s">
        <v>316</v>
      </c>
      <c r="L7" s="468">
        <f>'１　対象経営の概要，２　前提条件'!$F$17</f>
        <v>2</v>
      </c>
      <c r="M7" s="265">
        <f>'８－３　水稲算出基礎（作業受託）'!$G$16</f>
        <v>101400</v>
      </c>
      <c r="N7" s="265">
        <f t="shared" ref="N7:N11" si="1">L7*M7</f>
        <v>202800</v>
      </c>
      <c r="O7" s="265"/>
      <c r="P7" s="265"/>
      <c r="Q7" s="265"/>
      <c r="R7" s="868">
        <f t="shared" si="0"/>
        <v>0</v>
      </c>
      <c r="S7" s="869"/>
    </row>
    <row r="8" spans="2:19" s="153" customFormat="1" ht="18" customHeight="1" x14ac:dyDescent="0.15">
      <c r="B8" s="855"/>
      <c r="C8" s="852"/>
      <c r="D8" s="265" t="s">
        <v>61</v>
      </c>
      <c r="E8" s="274"/>
      <c r="F8" s="265">
        <v>0</v>
      </c>
      <c r="G8" s="225" t="s">
        <v>513</v>
      </c>
      <c r="H8" s="240"/>
      <c r="I8" s="240"/>
      <c r="J8" s="276"/>
      <c r="K8" s="267" t="s">
        <v>324</v>
      </c>
      <c r="L8" s="265">
        <f>'１　対象経営の概要，２　前提条件'!$F$18</f>
        <v>2</v>
      </c>
      <c r="M8" s="265">
        <f>'８－３　水稲算出基礎（作業受託）'!$G$20</f>
        <v>280800</v>
      </c>
      <c r="N8" s="265">
        <f t="shared" si="1"/>
        <v>561600</v>
      </c>
      <c r="O8" s="265"/>
      <c r="P8" s="265"/>
      <c r="Q8" s="265"/>
      <c r="R8" s="868">
        <f t="shared" si="0"/>
        <v>0</v>
      </c>
      <c r="S8" s="869"/>
    </row>
    <row r="9" spans="2:19" s="153" customFormat="1" ht="18" customHeight="1" x14ac:dyDescent="0.15">
      <c r="B9" s="855"/>
      <c r="C9" s="852"/>
      <c r="D9" s="265" t="s">
        <v>92</v>
      </c>
      <c r="E9" s="274"/>
      <c r="F9" s="265">
        <f>P37</f>
        <v>25819.5448</v>
      </c>
      <c r="G9" s="225" t="s">
        <v>514</v>
      </c>
      <c r="H9" s="240"/>
      <c r="I9" s="240"/>
      <c r="J9" s="276"/>
      <c r="K9" s="267" t="s">
        <v>322</v>
      </c>
      <c r="L9" s="265"/>
      <c r="M9" s="265"/>
      <c r="N9" s="265"/>
      <c r="O9" s="265"/>
      <c r="P9" s="265"/>
      <c r="Q9" s="265"/>
      <c r="R9" s="868">
        <f t="shared" si="0"/>
        <v>0</v>
      </c>
      <c r="S9" s="869"/>
    </row>
    <row r="10" spans="2:19" s="153" customFormat="1" ht="18" customHeight="1" x14ac:dyDescent="0.15">
      <c r="B10" s="855"/>
      <c r="C10" s="852"/>
      <c r="D10" s="265" t="s">
        <v>62</v>
      </c>
      <c r="E10" s="274"/>
      <c r="F10" s="265">
        <f>'８－３　水稲算出基礎（作業受託）'!V21*P11</f>
        <v>0</v>
      </c>
      <c r="G10" s="895"/>
      <c r="H10" s="896"/>
      <c r="I10" s="896"/>
      <c r="J10" s="869"/>
      <c r="K10" s="525" t="s">
        <v>477</v>
      </c>
      <c r="L10" s="268"/>
      <c r="M10" s="265">
        <f>700*15*10</f>
        <v>105000</v>
      </c>
      <c r="N10" s="268">
        <f t="shared" si="1"/>
        <v>0</v>
      </c>
      <c r="O10" s="265"/>
      <c r="P10" s="265"/>
      <c r="Q10" s="265"/>
      <c r="R10" s="868"/>
      <c r="S10" s="869"/>
    </row>
    <row r="11" spans="2:19" s="153" customFormat="1" ht="18" customHeight="1" thickBot="1" x14ac:dyDescent="0.2">
      <c r="B11" s="855"/>
      <c r="C11" s="852"/>
      <c r="D11" s="265" t="s">
        <v>6</v>
      </c>
      <c r="E11" s="274"/>
      <c r="F11" s="265">
        <f>'８－３　水稲算出基礎（作業受託）'!V34*P11</f>
        <v>1333.3333333333333</v>
      </c>
      <c r="G11" s="895"/>
      <c r="H11" s="896"/>
      <c r="I11" s="896"/>
      <c r="J11" s="869"/>
      <c r="K11" s="174"/>
      <c r="L11" s="493"/>
      <c r="M11" s="159"/>
      <c r="N11" s="493">
        <f t="shared" si="1"/>
        <v>0</v>
      </c>
      <c r="O11" s="160" t="s">
        <v>25</v>
      </c>
      <c r="P11" s="161">
        <f>SUM(L5:L11,P5:Q10)</f>
        <v>8</v>
      </c>
      <c r="Q11" s="162"/>
      <c r="R11" s="872">
        <f>SUM(N5:N11,R5:S10)</f>
        <v>1595600</v>
      </c>
      <c r="S11" s="873"/>
    </row>
    <row r="12" spans="2:19" s="153" customFormat="1" ht="18" customHeight="1" thickTop="1" x14ac:dyDescent="0.15">
      <c r="B12" s="855"/>
      <c r="C12" s="852"/>
      <c r="D12" s="265" t="s">
        <v>7</v>
      </c>
      <c r="E12" s="274"/>
      <c r="F12" s="265">
        <v>0</v>
      </c>
      <c r="G12" s="225"/>
      <c r="H12" s="240"/>
      <c r="I12" s="240"/>
      <c r="J12" s="276"/>
      <c r="K12" s="922" t="s">
        <v>231</v>
      </c>
      <c r="L12" s="526" t="s">
        <v>438</v>
      </c>
      <c r="M12" s="472"/>
      <c r="N12" s="348" t="s">
        <v>425</v>
      </c>
      <c r="O12" s="350" t="s">
        <v>443</v>
      </c>
      <c r="P12" s="471" t="s">
        <v>27</v>
      </c>
      <c r="Q12" s="923" t="s">
        <v>442</v>
      </c>
      <c r="R12" s="875"/>
      <c r="S12" s="876"/>
    </row>
    <row r="13" spans="2:19" s="153" customFormat="1" ht="18" customHeight="1" x14ac:dyDescent="0.15">
      <c r="B13" s="855"/>
      <c r="C13" s="852"/>
      <c r="D13" s="843" t="s">
        <v>63</v>
      </c>
      <c r="E13" s="277" t="s">
        <v>205</v>
      </c>
      <c r="F13" s="265">
        <f>F15*0.01</f>
        <v>608.25599999999997</v>
      </c>
      <c r="G13" s="225" t="s">
        <v>210</v>
      </c>
      <c r="H13" s="554">
        <v>0.01</v>
      </c>
      <c r="I13" s="897" t="s">
        <v>212</v>
      </c>
      <c r="J13" s="898"/>
      <c r="K13" s="855"/>
      <c r="L13" s="527" t="s">
        <v>428</v>
      </c>
      <c r="M13" s="494" t="s">
        <v>444</v>
      </c>
      <c r="N13" s="265">
        <f>'１　対象経営の概要，２　前提条件'!$F$15</f>
        <v>2</v>
      </c>
      <c r="O13" s="478">
        <f>('６（参考）水稲資本装備'!$P$5)</f>
        <v>7603.2</v>
      </c>
      <c r="P13" s="478">
        <f>O13*N13</f>
        <v>15206.4</v>
      </c>
      <c r="Q13" s="919"/>
      <c r="R13" s="920"/>
      <c r="S13" s="921"/>
    </row>
    <row r="14" spans="2:19" s="153" customFormat="1" ht="18" customHeight="1" x14ac:dyDescent="0.15">
      <c r="B14" s="855"/>
      <c r="C14" s="852"/>
      <c r="D14" s="844"/>
      <c r="E14" s="277" t="s">
        <v>206</v>
      </c>
      <c r="F14" s="265">
        <f>P28*0.05</f>
        <v>31473.793896505973</v>
      </c>
      <c r="G14" s="225" t="s">
        <v>210</v>
      </c>
      <c r="H14" s="554">
        <v>0.05</v>
      </c>
      <c r="I14" s="897" t="s">
        <v>212</v>
      </c>
      <c r="J14" s="898"/>
      <c r="K14" s="900"/>
      <c r="L14" s="225"/>
      <c r="M14" s="243" t="s">
        <v>446</v>
      </c>
      <c r="N14" s="265">
        <f>'１　対象経営の概要，２　前提条件'!$F$15</f>
        <v>2</v>
      </c>
      <c r="O14" s="488">
        <f>('６（参考）水稲資本装備'!$P$15+'６（参考）水稲資本装備'!$P$16+'６（参考）水稲資本装備'!$P$25+'６（参考）水稲資本装備'!$P$26)</f>
        <v>78372.330827067664</v>
      </c>
      <c r="P14" s="488">
        <f t="shared" ref="P14:P24" si="2">O14*N14</f>
        <v>156744.66165413533</v>
      </c>
      <c r="Q14" s="913"/>
      <c r="R14" s="914"/>
      <c r="S14" s="915"/>
    </row>
    <row r="15" spans="2:19" s="153" customFormat="1" ht="18" customHeight="1" x14ac:dyDescent="0.15">
      <c r="B15" s="855"/>
      <c r="C15" s="852"/>
      <c r="D15" s="843" t="s">
        <v>93</v>
      </c>
      <c r="E15" s="277" t="s">
        <v>205</v>
      </c>
      <c r="F15" s="265">
        <f>P27</f>
        <v>60825.599999999999</v>
      </c>
      <c r="G15" s="225" t="s">
        <v>212</v>
      </c>
      <c r="H15" s="232"/>
      <c r="I15" s="232"/>
      <c r="J15" s="233"/>
      <c r="K15" s="900"/>
      <c r="L15" s="225" t="s">
        <v>433</v>
      </c>
      <c r="M15" s="494" t="s">
        <v>444</v>
      </c>
      <c r="N15" s="241">
        <f>'１　対象経営の概要，２　前提条件'!$F$16</f>
        <v>2</v>
      </c>
      <c r="O15" s="488">
        <f>('６（参考）水稲資本装備'!$P$5)</f>
        <v>7603.2</v>
      </c>
      <c r="P15" s="488">
        <f t="shared" si="2"/>
        <v>15206.4</v>
      </c>
      <c r="Q15" s="913"/>
      <c r="R15" s="914"/>
      <c r="S15" s="915"/>
    </row>
    <row r="16" spans="2:19" s="153" customFormat="1" ht="18" customHeight="1" x14ac:dyDescent="0.15">
      <c r="B16" s="855"/>
      <c r="C16" s="852"/>
      <c r="D16" s="845"/>
      <c r="E16" s="277" t="s">
        <v>206</v>
      </c>
      <c r="F16" s="265">
        <f>P28</f>
        <v>629475.8779301194</v>
      </c>
      <c r="G16" s="225" t="s">
        <v>212</v>
      </c>
      <c r="H16" s="232"/>
      <c r="I16" s="232"/>
      <c r="J16" s="233"/>
      <c r="K16" s="900"/>
      <c r="L16" s="225"/>
      <c r="M16" s="243" t="s">
        <v>446</v>
      </c>
      <c r="N16" s="241">
        <f>'１　対象経営の概要，２　前提条件'!$F$16</f>
        <v>2</v>
      </c>
      <c r="O16" s="488">
        <f>('６（参考）水稲資本装備'!$P$15+'６（参考）水稲資本装備'!$P$16+'６（参考）水稲資本装備'!$P$25+'６（参考）水稲資本装備'!$P$26)</f>
        <v>78372.330827067664</v>
      </c>
      <c r="P16" s="488">
        <f t="shared" si="2"/>
        <v>156744.66165413533</v>
      </c>
      <c r="Q16" s="913"/>
      <c r="R16" s="914"/>
      <c r="S16" s="915"/>
    </row>
    <row r="17" spans="1:19" s="153" customFormat="1" ht="18" customHeight="1" x14ac:dyDescent="0.15">
      <c r="B17" s="855"/>
      <c r="C17" s="852"/>
      <c r="D17" s="844"/>
      <c r="E17" s="265" t="s">
        <v>64</v>
      </c>
      <c r="F17" s="265">
        <f>'６（参考）水稲資本装備'!P45</f>
        <v>0</v>
      </c>
      <c r="G17" s="225" t="s">
        <v>212</v>
      </c>
      <c r="H17" s="232"/>
      <c r="I17" s="232"/>
      <c r="J17" s="233"/>
      <c r="K17" s="900"/>
      <c r="L17" s="225" t="s">
        <v>316</v>
      </c>
      <c r="M17" s="494" t="s">
        <v>444</v>
      </c>
      <c r="N17" s="241">
        <f>'１　対象経営の概要，２　前提条件'!$F$17</f>
        <v>2</v>
      </c>
      <c r="O17" s="241">
        <f>'６（参考）水稲資本装備'!$P$5</f>
        <v>7603.2</v>
      </c>
      <c r="P17" s="488">
        <f t="shared" si="2"/>
        <v>15206.4</v>
      </c>
      <c r="Q17" s="913"/>
      <c r="R17" s="914"/>
      <c r="S17" s="915"/>
    </row>
    <row r="18" spans="1:19" s="153" customFormat="1" ht="18" customHeight="1" x14ac:dyDescent="0.15">
      <c r="A18" s="152"/>
      <c r="B18" s="855"/>
      <c r="C18" s="852"/>
      <c r="D18" s="857" t="s">
        <v>277</v>
      </c>
      <c r="E18" s="468" t="s">
        <v>127</v>
      </c>
      <c r="F18" s="265">
        <v>0</v>
      </c>
      <c r="G18" s="225"/>
      <c r="H18" s="232"/>
      <c r="I18" s="232"/>
      <c r="J18" s="233"/>
      <c r="K18" s="900"/>
      <c r="L18" s="225"/>
      <c r="M18" s="243" t="s">
        <v>446</v>
      </c>
      <c r="N18" s="241">
        <f>'１　対象経営の概要，２　前提条件'!$F$17</f>
        <v>2</v>
      </c>
      <c r="O18" s="241">
        <f>'６（参考）水稲資本装備'!$P$17+'６（参考）水稲資本装備'!$P$25+'６（参考）水稲資本装備'!$P$26</f>
        <v>57078.991596638654</v>
      </c>
      <c r="P18" s="488">
        <f t="shared" si="2"/>
        <v>114157.98319327731</v>
      </c>
      <c r="Q18" s="913"/>
      <c r="R18" s="914"/>
      <c r="S18" s="915"/>
    </row>
    <row r="19" spans="1:19" s="153" customFormat="1" ht="18" customHeight="1" x14ac:dyDescent="0.15">
      <c r="A19" s="152"/>
      <c r="B19" s="855"/>
      <c r="C19" s="852"/>
      <c r="D19" s="857"/>
      <c r="E19" s="468" t="s">
        <v>123</v>
      </c>
      <c r="F19" s="265">
        <f>J19*'５－１　水稲（食用，加工用米，飼料用米）作業時間'!AO34</f>
        <v>0</v>
      </c>
      <c r="G19" s="225"/>
      <c r="H19" s="232"/>
      <c r="I19" s="166"/>
      <c r="J19" s="413"/>
      <c r="K19" s="900"/>
      <c r="L19" s="225" t="s">
        <v>324</v>
      </c>
      <c r="M19" s="494" t="s">
        <v>444</v>
      </c>
      <c r="N19" s="241">
        <f>'１　対象経営の概要，２　前提条件'!$F$18</f>
        <v>2</v>
      </c>
      <c r="O19" s="241">
        <f>'６（参考）水稲資本装備'!$P$5</f>
        <v>7603.2</v>
      </c>
      <c r="P19" s="488">
        <f t="shared" si="2"/>
        <v>15206.4</v>
      </c>
      <c r="Q19" s="913"/>
      <c r="R19" s="914"/>
      <c r="S19" s="915"/>
    </row>
    <row r="20" spans="1:19" s="153" customFormat="1" ht="18" customHeight="1" x14ac:dyDescent="0.15">
      <c r="A20" s="152"/>
      <c r="B20" s="855"/>
      <c r="C20" s="852"/>
      <c r="D20" s="857"/>
      <c r="E20" s="468" t="s">
        <v>124</v>
      </c>
      <c r="F20" s="265">
        <f>J20*'５－１　水稲（食用，加工用米，飼料用米）作業時間'!AP34</f>
        <v>0</v>
      </c>
      <c r="G20" s="225"/>
      <c r="H20" s="232"/>
      <c r="I20" s="166"/>
      <c r="J20" s="413"/>
      <c r="K20" s="900"/>
      <c r="L20" s="225"/>
      <c r="M20" s="243" t="s">
        <v>446</v>
      </c>
      <c r="N20" s="241">
        <f>'１　対象経営の概要，２　前提条件'!$F$18</f>
        <v>2</v>
      </c>
      <c r="O20" s="241">
        <f>'６（参考）水稲資本装備'!$P$18+'６（参考）水稲資本装備'!$P$25+'６（参考）水稲資本装備'!$P$26</f>
        <v>100914.28571428572</v>
      </c>
      <c r="P20" s="488">
        <f t="shared" si="2"/>
        <v>201828.57142857145</v>
      </c>
      <c r="Q20" s="913"/>
      <c r="R20" s="914"/>
      <c r="S20" s="915"/>
    </row>
    <row r="21" spans="1:19" s="153" customFormat="1" ht="18" customHeight="1" x14ac:dyDescent="0.15">
      <c r="A21" s="152"/>
      <c r="B21" s="855"/>
      <c r="C21" s="852"/>
      <c r="D21" s="857"/>
      <c r="E21" s="468" t="s">
        <v>125</v>
      </c>
      <c r="F21" s="265">
        <f>(F19+F20)*0.012</f>
        <v>0</v>
      </c>
      <c r="G21" s="225"/>
      <c r="H21" s="232"/>
      <c r="I21" s="232"/>
      <c r="J21" s="233"/>
      <c r="K21" s="900"/>
      <c r="L21" s="225" t="s">
        <v>322</v>
      </c>
      <c r="M21" s="494" t="s">
        <v>444</v>
      </c>
      <c r="N21" s="241"/>
      <c r="O21" s="241"/>
      <c r="P21" s="488"/>
      <c r="Q21" s="913"/>
      <c r="R21" s="914"/>
      <c r="S21" s="915"/>
    </row>
    <row r="22" spans="1:19" s="153" customFormat="1" ht="18" customHeight="1" x14ac:dyDescent="0.15">
      <c r="A22" s="152"/>
      <c r="B22" s="855"/>
      <c r="C22" s="852"/>
      <c r="D22" s="857" t="s">
        <v>65</v>
      </c>
      <c r="E22" s="468" t="s">
        <v>66</v>
      </c>
      <c r="F22" s="265">
        <v>0</v>
      </c>
      <c r="G22" s="225"/>
      <c r="H22" s="232"/>
      <c r="I22" s="240"/>
      <c r="J22" s="233"/>
      <c r="K22" s="900"/>
      <c r="L22" s="225"/>
      <c r="M22" s="243" t="s">
        <v>446</v>
      </c>
      <c r="N22" s="241"/>
      <c r="O22" s="241"/>
      <c r="P22" s="488"/>
      <c r="Q22" s="916"/>
      <c r="R22" s="917"/>
      <c r="S22" s="918"/>
    </row>
    <row r="23" spans="1:19" s="153" customFormat="1" ht="18" customHeight="1" x14ac:dyDescent="0.15">
      <c r="A23" s="152"/>
      <c r="B23" s="855"/>
      <c r="C23" s="852"/>
      <c r="D23" s="857"/>
      <c r="E23" s="468" t="s">
        <v>94</v>
      </c>
      <c r="F23" s="265">
        <v>0</v>
      </c>
      <c r="G23" s="225"/>
      <c r="H23" s="232"/>
      <c r="I23" s="240"/>
      <c r="J23" s="233"/>
      <c r="K23" s="900"/>
      <c r="L23" s="225" t="s">
        <v>477</v>
      </c>
      <c r="M23" s="243" t="s">
        <v>444</v>
      </c>
      <c r="N23" s="241">
        <f>'１　対象経営の概要，２　前提条件'!$F$20</f>
        <v>2</v>
      </c>
      <c r="O23" s="241">
        <f>'６（参考）水稲資本装備'!P6+'６（参考）水稲資本装備'!P5</f>
        <v>14357.170588235294</v>
      </c>
      <c r="P23" s="517">
        <f t="shared" si="2"/>
        <v>28714.341176470589</v>
      </c>
      <c r="Q23" s="910"/>
      <c r="R23" s="911"/>
      <c r="S23" s="912"/>
    </row>
    <row r="24" spans="1:19" s="153" customFormat="1" ht="18" customHeight="1" x14ac:dyDescent="0.15">
      <c r="A24" s="152"/>
      <c r="B24" s="855"/>
      <c r="C24" s="852"/>
      <c r="D24" s="265" t="s">
        <v>67</v>
      </c>
      <c r="E24" s="274"/>
      <c r="F24" s="265">
        <v>0</v>
      </c>
      <c r="G24" s="225"/>
      <c r="H24" s="232"/>
      <c r="I24" s="487"/>
      <c r="J24" s="233"/>
      <c r="K24" s="900"/>
      <c r="L24" s="242"/>
      <c r="M24" s="243" t="s">
        <v>478</v>
      </c>
      <c r="N24" s="241">
        <f>'１　対象経営の概要，２　前提条件'!$F$20</f>
        <v>2</v>
      </c>
      <c r="O24" s="242">
        <f>'６（参考）水稲資本装備'!P21+'６（参考）水稲資本装備'!P22+'６（参考）水稲資本装備'!P23+'６（参考）水稲資本装備'!P24+'６（参考）水稲資本装備'!P25+'６（参考）水稲資本装備'!P26</f>
        <v>54253.747899159665</v>
      </c>
      <c r="P24" s="517">
        <f t="shared" si="2"/>
        <v>108507.49579831933</v>
      </c>
      <c r="Q24" s="877"/>
      <c r="R24" s="878"/>
      <c r="S24" s="879"/>
    </row>
    <row r="25" spans="1:19" s="153" customFormat="1" ht="18" customHeight="1" x14ac:dyDescent="0.15">
      <c r="A25" s="152"/>
      <c r="B25" s="855"/>
      <c r="C25" s="852"/>
      <c r="D25" s="265" t="s">
        <v>183</v>
      </c>
      <c r="E25" s="274"/>
      <c r="F25" s="265">
        <f>SUM(F6:F24)/99</f>
        <v>7724.6748076763506</v>
      </c>
      <c r="G25" s="279" t="s">
        <v>233</v>
      </c>
      <c r="H25" s="293">
        <v>0.01</v>
      </c>
      <c r="I25" s="476"/>
      <c r="J25" s="18"/>
      <c r="K25" s="900"/>
      <c r="L25" s="242"/>
      <c r="M25" s="240"/>
      <c r="N25" s="225"/>
      <c r="O25" s="242"/>
      <c r="P25" s="242"/>
      <c r="Q25" s="877"/>
      <c r="R25" s="878"/>
      <c r="S25" s="879"/>
    </row>
    <row r="26" spans="1:19" s="153" customFormat="1" ht="18" customHeight="1" x14ac:dyDescent="0.15">
      <c r="A26" s="152"/>
      <c r="B26" s="855"/>
      <c r="C26" s="853"/>
      <c r="D26" s="863" t="s">
        <v>224</v>
      </c>
      <c r="E26" s="864"/>
      <c r="F26" s="184">
        <f>SUM(F6:F25)</f>
        <v>772467.48076763505</v>
      </c>
      <c r="G26" s="234"/>
      <c r="H26" s="476"/>
      <c r="I26" s="476"/>
      <c r="J26" s="477"/>
      <c r="K26" s="900"/>
      <c r="L26" s="242"/>
      <c r="M26" s="240"/>
      <c r="N26" s="225"/>
      <c r="O26" s="242"/>
      <c r="P26" s="242"/>
      <c r="Q26" s="877"/>
      <c r="R26" s="878"/>
      <c r="S26" s="879"/>
    </row>
    <row r="27" spans="1:19" s="153" customFormat="1" ht="18" customHeight="1" x14ac:dyDescent="0.15">
      <c r="A27" s="152"/>
      <c r="B27" s="855"/>
      <c r="C27" s="858" t="s">
        <v>211</v>
      </c>
      <c r="D27" s="767" t="s">
        <v>68</v>
      </c>
      <c r="E27" s="56" t="s">
        <v>3</v>
      </c>
      <c r="F27" s="158">
        <v>0</v>
      </c>
      <c r="G27" s="253"/>
      <c r="H27" s="240"/>
      <c r="I27" s="163"/>
      <c r="J27" s="414"/>
      <c r="K27" s="900"/>
      <c r="L27" s="521" t="s">
        <v>445</v>
      </c>
      <c r="M27" s="522" t="s">
        <v>444</v>
      </c>
      <c r="N27" s="523"/>
      <c r="O27" s="523"/>
      <c r="P27" s="524">
        <f>P13+P15+P17+P19+P21</f>
        <v>60825.599999999999</v>
      </c>
      <c r="Q27" s="904"/>
      <c r="R27" s="905"/>
      <c r="S27" s="906"/>
    </row>
    <row r="28" spans="1:19" s="153" customFormat="1" ht="18" customHeight="1" thickBot="1" x14ac:dyDescent="0.2">
      <c r="A28" s="152"/>
      <c r="B28" s="855"/>
      <c r="C28" s="859"/>
      <c r="D28" s="770"/>
      <c r="E28" s="56" t="s">
        <v>4</v>
      </c>
      <c r="F28" s="158">
        <v>0</v>
      </c>
      <c r="G28" s="253"/>
      <c r="H28" s="280"/>
      <c r="I28" s="280"/>
      <c r="J28" s="281"/>
      <c r="K28" s="900"/>
      <c r="L28" s="177" t="s">
        <v>29</v>
      </c>
      <c r="M28" s="176" t="s">
        <v>446</v>
      </c>
      <c r="N28" s="177"/>
      <c r="O28" s="177"/>
      <c r="P28" s="177">
        <f>P14+P16+P18+P20+P22</f>
        <v>629475.8779301194</v>
      </c>
      <c r="Q28" s="907"/>
      <c r="R28" s="908"/>
      <c r="S28" s="909"/>
    </row>
    <row r="29" spans="1:19" s="153" customFormat="1" ht="18" customHeight="1" x14ac:dyDescent="0.15">
      <c r="A29" s="152"/>
      <c r="B29" s="855"/>
      <c r="C29" s="859"/>
      <c r="D29" s="768"/>
      <c r="E29" s="56" t="s">
        <v>8</v>
      </c>
      <c r="F29" s="158">
        <v>0</v>
      </c>
      <c r="G29" s="253"/>
      <c r="H29" s="474"/>
      <c r="I29" s="280"/>
      <c r="J29" s="415"/>
      <c r="K29" s="900"/>
      <c r="L29" s="225" t="s">
        <v>441</v>
      </c>
      <c r="M29" s="240"/>
      <c r="N29" s="241"/>
      <c r="O29" s="241" t="s">
        <v>24</v>
      </c>
      <c r="P29" s="241" t="s">
        <v>27</v>
      </c>
      <c r="Q29" s="910" t="s">
        <v>28</v>
      </c>
      <c r="R29" s="911"/>
      <c r="S29" s="912"/>
    </row>
    <row r="30" spans="1:19" s="153" customFormat="1" ht="18" customHeight="1" x14ac:dyDescent="0.15">
      <c r="A30" s="152"/>
      <c r="B30" s="855"/>
      <c r="C30" s="859"/>
      <c r="D30" s="56" t="s">
        <v>69</v>
      </c>
      <c r="E30" s="57"/>
      <c r="F30" s="158">
        <v>0</v>
      </c>
      <c r="G30" s="253"/>
      <c r="H30" s="474"/>
      <c r="I30" s="280"/>
      <c r="J30" s="282"/>
      <c r="K30" s="900"/>
      <c r="L30" s="242" t="s">
        <v>428</v>
      </c>
      <c r="M30" s="243" t="s">
        <v>479</v>
      </c>
      <c r="N30" s="225"/>
      <c r="O30" s="244"/>
      <c r="P30" s="242">
        <f>'８－３　水稲算出基礎（作業受託）'!N12+'８－３　水稲算出基礎（作業受託）'!N12*0.3</f>
        <v>15173.157999999999</v>
      </c>
      <c r="Q30" s="889"/>
      <c r="R30" s="890"/>
      <c r="S30" s="891"/>
    </row>
    <row r="31" spans="1:19" s="153" customFormat="1" ht="18" customHeight="1" x14ac:dyDescent="0.15">
      <c r="A31" s="152"/>
      <c r="B31" s="855"/>
      <c r="C31" s="859"/>
      <c r="D31" s="736" t="s">
        <v>278</v>
      </c>
      <c r="E31" s="467" t="s">
        <v>127</v>
      </c>
      <c r="F31" s="158">
        <v>0</v>
      </c>
      <c r="G31" s="253"/>
      <c r="H31" s="283"/>
      <c r="I31" s="283"/>
      <c r="J31" s="284"/>
      <c r="K31" s="900"/>
      <c r="L31" s="242" t="s">
        <v>433</v>
      </c>
      <c r="M31" s="243" t="s">
        <v>479</v>
      </c>
      <c r="N31" s="225"/>
      <c r="O31" s="244"/>
      <c r="P31" s="242">
        <f>'８－３　水稲算出基礎（作業受託）'!N16+'８－３　水稲算出基礎（作業受託）'!N16*0.3</f>
        <v>6837.8310000000001</v>
      </c>
      <c r="Q31" s="889"/>
      <c r="R31" s="890"/>
      <c r="S31" s="891"/>
    </row>
    <row r="32" spans="1:19" s="153" customFormat="1" ht="18" customHeight="1" x14ac:dyDescent="0.15">
      <c r="A32" s="152"/>
      <c r="B32" s="855"/>
      <c r="C32" s="859"/>
      <c r="D32" s="736"/>
      <c r="E32" s="467" t="s">
        <v>126</v>
      </c>
      <c r="F32" s="158">
        <v>0</v>
      </c>
      <c r="G32" s="253"/>
      <c r="H32" s="285"/>
      <c r="I32" s="285"/>
      <c r="J32" s="286"/>
      <c r="K32" s="900"/>
      <c r="L32" s="242" t="s">
        <v>316</v>
      </c>
      <c r="M32" s="243" t="s">
        <v>479</v>
      </c>
      <c r="N32" s="244"/>
      <c r="O32" s="244"/>
      <c r="P32" s="242">
        <f>'８－３　水稲算出基礎（作業受託）'!N20+'８－３　水稲算出基礎（作業受託）'!N20*0.3</f>
        <v>1902.7007999999996</v>
      </c>
      <c r="Q32" s="473"/>
      <c r="R32" s="246"/>
      <c r="S32" s="169"/>
    </row>
    <row r="33" spans="1:23" ht="18" customHeight="1" x14ac:dyDescent="0.15">
      <c r="B33" s="855"/>
      <c r="C33" s="859"/>
      <c r="D33" s="56" t="s">
        <v>70</v>
      </c>
      <c r="E33" s="67"/>
      <c r="F33" s="158">
        <v>0</v>
      </c>
      <c r="G33" s="253"/>
      <c r="H33" s="287"/>
      <c r="I33" s="288"/>
      <c r="J33" s="282"/>
      <c r="K33" s="900"/>
      <c r="L33" s="242" t="s">
        <v>324</v>
      </c>
      <c r="M33" s="243" t="s">
        <v>479</v>
      </c>
      <c r="N33" s="225"/>
      <c r="O33" s="244"/>
      <c r="P33" s="242">
        <f>'８－３　水稲算出基礎（作業受託）'!N24+'８－３　水稲算出基礎（作業受託）'!N28*0.3</f>
        <v>1482.25</v>
      </c>
      <c r="Q33" s="877"/>
      <c r="R33" s="878"/>
      <c r="S33" s="879"/>
    </row>
    <row r="34" spans="1:23" ht="18" customHeight="1" x14ac:dyDescent="0.15">
      <c r="B34" s="855"/>
      <c r="C34" s="859"/>
      <c r="D34" s="56" t="s">
        <v>95</v>
      </c>
      <c r="E34" s="67"/>
      <c r="F34" s="158">
        <v>0</v>
      </c>
      <c r="G34" s="253"/>
      <c r="H34" s="289"/>
      <c r="I34" s="290"/>
      <c r="J34" s="291"/>
      <c r="K34" s="900"/>
      <c r="L34" s="242" t="s">
        <v>322</v>
      </c>
      <c r="M34" s="243" t="s">
        <v>479</v>
      </c>
      <c r="N34" s="225"/>
      <c r="O34" s="244"/>
      <c r="P34" s="242">
        <f>'８－３　水稲算出基礎（作業受託）'!N28+'８－３　水稲算出基礎（作業受託）'!N28*0.3</f>
        <v>0</v>
      </c>
      <c r="Q34" s="877"/>
      <c r="R34" s="878"/>
      <c r="S34" s="879"/>
    </row>
    <row r="35" spans="1:23" ht="18" customHeight="1" x14ac:dyDescent="0.15">
      <c r="B35" s="855"/>
      <c r="C35" s="859"/>
      <c r="D35" s="56" t="s">
        <v>130</v>
      </c>
      <c r="E35" s="57"/>
      <c r="F35" s="185">
        <f>'８－２　水稲算出基礎（加工用品種）'!V57-'８－３　水稲算出基礎（作業受託）'!V44*P11</f>
        <v>-21706</v>
      </c>
      <c r="G35" s="895"/>
      <c r="H35" s="896"/>
      <c r="I35" s="896"/>
      <c r="J35" s="869"/>
      <c r="K35" s="900"/>
      <c r="L35" s="225" t="s">
        <v>477</v>
      </c>
      <c r="M35" s="243" t="s">
        <v>479</v>
      </c>
      <c r="N35" s="225"/>
      <c r="O35" s="244"/>
      <c r="P35" s="242">
        <f>'８－３　水稲算出基礎（作業受託）'!N31+'８－３　水稲算出基礎（作業受託）'!N31*0.3</f>
        <v>423.60499999999996</v>
      </c>
      <c r="Q35" s="877"/>
      <c r="R35" s="878"/>
      <c r="S35" s="879"/>
    </row>
    <row r="36" spans="1:23" ht="18" customHeight="1" x14ac:dyDescent="0.15">
      <c r="B36" s="855"/>
      <c r="C36" s="859"/>
      <c r="D36" s="77" t="s">
        <v>96</v>
      </c>
      <c r="E36" s="78"/>
      <c r="F36" s="292">
        <v>0</v>
      </c>
      <c r="G36" s="225"/>
      <c r="H36" s="289"/>
      <c r="I36" s="290"/>
      <c r="J36" s="282"/>
      <c r="K36" s="900"/>
      <c r="L36" s="242"/>
      <c r="M36" s="240"/>
      <c r="N36" s="225"/>
      <c r="O36" s="244"/>
      <c r="P36" s="242"/>
      <c r="Q36" s="877"/>
      <c r="R36" s="878"/>
      <c r="S36" s="879"/>
    </row>
    <row r="37" spans="1:23" ht="18" customHeight="1" thickBot="1" x14ac:dyDescent="0.2">
      <c r="B37" s="855"/>
      <c r="C37" s="859"/>
      <c r="D37" s="56" t="s">
        <v>71</v>
      </c>
      <c r="E37" s="57"/>
      <c r="F37" s="185">
        <f>'８－３　水稲算出基礎（作業受託）'!N57*P11</f>
        <v>19829.371962848298</v>
      </c>
      <c r="G37" s="895"/>
      <c r="H37" s="896"/>
      <c r="I37" s="896"/>
      <c r="J37" s="869"/>
      <c r="K37" s="901"/>
      <c r="L37" s="177" t="s">
        <v>29</v>
      </c>
      <c r="M37" s="176"/>
      <c r="N37" s="177"/>
      <c r="O37" s="177"/>
      <c r="P37" s="177">
        <f>SUM(P30:P36)</f>
        <v>25819.5448</v>
      </c>
      <c r="Q37" s="880"/>
      <c r="R37" s="881"/>
      <c r="S37" s="882"/>
    </row>
    <row r="38" spans="1:23" s="171" customFormat="1" ht="18" customHeight="1" x14ac:dyDescent="0.15">
      <c r="A38" s="152"/>
      <c r="B38" s="855"/>
      <c r="C38" s="859"/>
      <c r="D38" s="56" t="s">
        <v>0</v>
      </c>
      <c r="E38" s="67"/>
      <c r="F38" s="185">
        <v>0</v>
      </c>
      <c r="G38" s="17"/>
      <c r="H38" s="236"/>
      <c r="I38" s="237"/>
      <c r="J38" s="235"/>
    </row>
    <row r="39" spans="1:23" s="171" customFormat="1" ht="18" customHeight="1" thickBot="1" x14ac:dyDescent="0.2">
      <c r="A39" s="152"/>
      <c r="B39" s="856"/>
      <c r="C39" s="860"/>
      <c r="D39" s="861" t="s">
        <v>223</v>
      </c>
      <c r="E39" s="862"/>
      <c r="F39" s="227">
        <f>SUM(F27:F38)</f>
        <v>-1876.6280371517023</v>
      </c>
      <c r="G39" s="228"/>
      <c r="H39" s="229"/>
      <c r="I39" s="230"/>
      <c r="J39" s="231"/>
      <c r="T39" s="172"/>
    </row>
    <row r="40" spans="1:23" s="171" customFormat="1" ht="18" customHeight="1" x14ac:dyDescent="0.15">
      <c r="A40" s="152"/>
      <c r="B40" s="832" t="s">
        <v>227</v>
      </c>
      <c r="C40" s="835" t="s">
        <v>73</v>
      </c>
      <c r="D40" s="222" t="s">
        <v>129</v>
      </c>
      <c r="E40" s="223"/>
      <c r="F40" s="224">
        <v>0</v>
      </c>
      <c r="G40" s="225"/>
      <c r="H40" s="226"/>
      <c r="I40" s="226"/>
      <c r="J40" s="416"/>
      <c r="T40" s="153"/>
      <c r="U40" s="153"/>
      <c r="V40" s="153"/>
      <c r="W40" s="153"/>
    </row>
    <row r="41" spans="1:23" s="171" customFormat="1" ht="18" customHeight="1" x14ac:dyDescent="0.15">
      <c r="A41" s="152"/>
      <c r="B41" s="833"/>
      <c r="C41" s="836"/>
      <c r="D41" s="56" t="s">
        <v>128</v>
      </c>
      <c r="E41" s="57"/>
      <c r="F41" s="224">
        <v>0</v>
      </c>
      <c r="G41" s="225"/>
      <c r="H41" s="178"/>
      <c r="I41" s="178"/>
      <c r="J41" s="238"/>
      <c r="T41" s="173"/>
      <c r="U41" s="174"/>
      <c r="V41" s="483"/>
      <c r="W41" s="173"/>
    </row>
    <row r="42" spans="1:23" s="171" customFormat="1" ht="18" customHeight="1" x14ac:dyDescent="0.15">
      <c r="A42" s="152"/>
      <c r="B42" s="833"/>
      <c r="C42" s="837"/>
      <c r="D42" s="77" t="s">
        <v>72</v>
      </c>
      <c r="E42" s="57"/>
      <c r="F42" s="224">
        <v>0</v>
      </c>
      <c r="G42" s="225"/>
      <c r="H42" s="178"/>
      <c r="I42" s="178"/>
      <c r="J42" s="238"/>
      <c r="T42" s="153"/>
      <c r="U42" s="153"/>
      <c r="V42" s="153"/>
      <c r="W42" s="153"/>
    </row>
    <row r="43" spans="1:23" s="171" customFormat="1" ht="18" customHeight="1" x14ac:dyDescent="0.15">
      <c r="B43" s="833"/>
      <c r="C43" s="838" t="s">
        <v>226</v>
      </c>
      <c r="D43" s="77" t="s">
        <v>279</v>
      </c>
      <c r="E43" s="78"/>
      <c r="F43" s="224">
        <v>0</v>
      </c>
      <c r="G43" s="225"/>
      <c r="H43" s="178"/>
      <c r="I43" s="178"/>
      <c r="J43" s="238"/>
      <c r="T43" s="154"/>
      <c r="U43" s="172"/>
      <c r="V43" s="153"/>
      <c r="W43" s="173"/>
    </row>
    <row r="44" spans="1:23" s="171" customFormat="1" ht="18" customHeight="1" x14ac:dyDescent="0.15">
      <c r="B44" s="833"/>
      <c r="C44" s="839"/>
      <c r="D44" s="79" t="s">
        <v>1</v>
      </c>
      <c r="E44" s="80"/>
      <c r="F44" s="224">
        <v>0</v>
      </c>
      <c r="G44" s="225"/>
      <c r="H44" s="178"/>
      <c r="I44" s="178"/>
      <c r="J44" s="238"/>
      <c r="T44" s="154"/>
      <c r="U44" s="172"/>
      <c r="V44" s="153"/>
      <c r="W44" s="173"/>
    </row>
    <row r="45" spans="1:23" s="171" customFormat="1" ht="18" customHeight="1" thickBot="1" x14ac:dyDescent="0.2">
      <c r="B45" s="834"/>
      <c r="C45" s="840" t="s">
        <v>98</v>
      </c>
      <c r="D45" s="841"/>
      <c r="E45" s="842"/>
      <c r="F45" s="218">
        <f>SUM(F40:F42)-SUM(F43:F44)</f>
        <v>0</v>
      </c>
      <c r="G45" s="179"/>
      <c r="H45" s="180"/>
      <c r="I45" s="180"/>
      <c r="J45" s="239"/>
      <c r="T45" s="153"/>
      <c r="U45" s="153"/>
      <c r="V45" s="174"/>
      <c r="W45" s="153"/>
    </row>
  </sheetData>
  <mergeCells count="58">
    <mergeCell ref="Q19:S19"/>
    <mergeCell ref="Q20:S20"/>
    <mergeCell ref="Q21:S21"/>
    <mergeCell ref="B3:E3"/>
    <mergeCell ref="K3:S3"/>
    <mergeCell ref="B4:C5"/>
    <mergeCell ref="R4:S4"/>
    <mergeCell ref="R5:S5"/>
    <mergeCell ref="R9:S9"/>
    <mergeCell ref="G10:J10"/>
    <mergeCell ref="R10:S10"/>
    <mergeCell ref="G11:J11"/>
    <mergeCell ref="R11:S11"/>
    <mergeCell ref="Q22:S22"/>
    <mergeCell ref="Q23:S23"/>
    <mergeCell ref="D13:D14"/>
    <mergeCell ref="I13:J13"/>
    <mergeCell ref="Q13:S13"/>
    <mergeCell ref="I14:J14"/>
    <mergeCell ref="Q15:S15"/>
    <mergeCell ref="D15:D17"/>
    <mergeCell ref="Q16:S16"/>
    <mergeCell ref="Q17:S17"/>
    <mergeCell ref="K12:K37"/>
    <mergeCell ref="Q12:S12"/>
    <mergeCell ref="Q24:S24"/>
    <mergeCell ref="Q25:S25"/>
    <mergeCell ref="D18:D21"/>
    <mergeCell ref="Q18:S18"/>
    <mergeCell ref="Q26:S26"/>
    <mergeCell ref="C27:C39"/>
    <mergeCell ref="D27:D29"/>
    <mergeCell ref="Q27:S27"/>
    <mergeCell ref="Q28:S28"/>
    <mergeCell ref="Q29:S29"/>
    <mergeCell ref="Q30:S30"/>
    <mergeCell ref="D31:D32"/>
    <mergeCell ref="Q31:S31"/>
    <mergeCell ref="Q33:S33"/>
    <mergeCell ref="C6:C26"/>
    <mergeCell ref="R6:S6"/>
    <mergeCell ref="R7:S7"/>
    <mergeCell ref="R8:S8"/>
    <mergeCell ref="Q14:S14"/>
    <mergeCell ref="D22:D23"/>
    <mergeCell ref="Q34:S34"/>
    <mergeCell ref="G35:J35"/>
    <mergeCell ref="Q35:S35"/>
    <mergeCell ref="Q36:S36"/>
    <mergeCell ref="G37:J37"/>
    <mergeCell ref="Q37:S37"/>
    <mergeCell ref="D39:E39"/>
    <mergeCell ref="B40:B45"/>
    <mergeCell ref="C40:C42"/>
    <mergeCell ref="C43:C44"/>
    <mergeCell ref="C45:E45"/>
    <mergeCell ref="B6:B39"/>
    <mergeCell ref="D26:E26"/>
  </mergeCells>
  <phoneticPr fontId="6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V192"/>
  <sheetViews>
    <sheetView zoomScale="75" zoomScaleNormal="75" zoomScaleSheetLayoutView="76" workbookViewId="0"/>
  </sheetViews>
  <sheetFormatPr defaultRowHeight="13.5" x14ac:dyDescent="0.15"/>
  <cols>
    <col min="1" max="1" width="1.625" style="86" customWidth="1"/>
    <col min="2" max="2" width="3.625" style="86" customWidth="1"/>
    <col min="3" max="3" width="19.5" style="86" customWidth="1"/>
    <col min="4" max="7" width="8.625" style="86" customWidth="1"/>
    <col min="8" max="8" width="2.375" style="210" customWidth="1"/>
    <col min="9" max="9" width="3.625" style="86" customWidth="1"/>
    <col min="10" max="10" width="15.625" style="86" customWidth="1"/>
    <col min="11" max="14" width="8.625" style="86" customWidth="1"/>
    <col min="15" max="15" width="3.5" style="86" customWidth="1"/>
    <col min="16" max="16" width="15.625" style="181" customWidth="1"/>
    <col min="17" max="17" width="8.625" style="86" customWidth="1"/>
    <col min="18" max="18" width="8.625" style="87" customWidth="1"/>
    <col min="19" max="21" width="8.625" style="86" customWidth="1"/>
    <col min="22" max="22" width="10.625" style="87" customWidth="1"/>
    <col min="23" max="262" width="9" style="86"/>
    <col min="263" max="263" width="1.375" style="86" customWidth="1"/>
    <col min="264" max="264" width="3.5" style="86" customWidth="1"/>
    <col min="265" max="265" width="22.125" style="86" customWidth="1"/>
    <col min="266" max="266" width="9.75" style="86" customWidth="1"/>
    <col min="267" max="267" width="7.375" style="86" customWidth="1"/>
    <col min="268" max="268" width="9" style="86"/>
    <col min="269" max="269" width="9.25" style="86" customWidth="1"/>
    <col min="270" max="270" width="3.5" style="86" customWidth="1"/>
    <col min="271" max="272" width="12.625" style="86" customWidth="1"/>
    <col min="273" max="273" width="9" style="86"/>
    <col min="274" max="274" width="7.75" style="86" customWidth="1"/>
    <col min="275" max="275" width="13.125" style="86" customWidth="1"/>
    <col min="276" max="276" width="6.125" style="86" customWidth="1"/>
    <col min="277" max="277" width="9.75" style="86" customWidth="1"/>
    <col min="278" max="278" width="1.375" style="86" customWidth="1"/>
    <col min="279" max="518" width="9" style="86"/>
    <col min="519" max="519" width="1.375" style="86" customWidth="1"/>
    <col min="520" max="520" width="3.5" style="86" customWidth="1"/>
    <col min="521" max="521" width="22.125" style="86" customWidth="1"/>
    <col min="522" max="522" width="9.75" style="86" customWidth="1"/>
    <col min="523" max="523" width="7.375" style="86" customWidth="1"/>
    <col min="524" max="524" width="9" style="86"/>
    <col min="525" max="525" width="9.25" style="86" customWidth="1"/>
    <col min="526" max="526" width="3.5" style="86" customWidth="1"/>
    <col min="527" max="528" width="12.625" style="86" customWidth="1"/>
    <col min="529" max="529" width="9" style="86"/>
    <col min="530" max="530" width="7.75" style="86" customWidth="1"/>
    <col min="531" max="531" width="13.125" style="86" customWidth="1"/>
    <col min="532" max="532" width="6.125" style="86" customWidth="1"/>
    <col min="533" max="533" width="9.75" style="86" customWidth="1"/>
    <col min="534" max="534" width="1.375" style="86" customWidth="1"/>
    <col min="535" max="774" width="9" style="86"/>
    <col min="775" max="775" width="1.375" style="86" customWidth="1"/>
    <col min="776" max="776" width="3.5" style="86" customWidth="1"/>
    <col min="777" max="777" width="22.125" style="86" customWidth="1"/>
    <col min="778" max="778" width="9.75" style="86" customWidth="1"/>
    <col min="779" max="779" width="7.375" style="86" customWidth="1"/>
    <col min="780" max="780" width="9" style="86"/>
    <col min="781" max="781" width="9.25" style="86" customWidth="1"/>
    <col min="782" max="782" width="3.5" style="86" customWidth="1"/>
    <col min="783" max="784" width="12.625" style="86" customWidth="1"/>
    <col min="785" max="785" width="9" style="86"/>
    <col min="786" max="786" width="7.75" style="86" customWidth="1"/>
    <col min="787" max="787" width="13.125" style="86" customWidth="1"/>
    <col min="788" max="788" width="6.125" style="86" customWidth="1"/>
    <col min="789" max="789" width="9.75" style="86" customWidth="1"/>
    <col min="790" max="790" width="1.375" style="86" customWidth="1"/>
    <col min="791" max="1030" width="9" style="86"/>
    <col min="1031" max="1031" width="1.375" style="86" customWidth="1"/>
    <col min="1032" max="1032" width="3.5" style="86" customWidth="1"/>
    <col min="1033" max="1033" width="22.125" style="86" customWidth="1"/>
    <col min="1034" max="1034" width="9.75" style="86" customWidth="1"/>
    <col min="1035" max="1035" width="7.375" style="86" customWidth="1"/>
    <col min="1036" max="1036" width="9" style="86"/>
    <col min="1037" max="1037" width="9.25" style="86" customWidth="1"/>
    <col min="1038" max="1038" width="3.5" style="86" customWidth="1"/>
    <col min="1039" max="1040" width="12.625" style="86" customWidth="1"/>
    <col min="1041" max="1041" width="9" style="86"/>
    <col min="1042" max="1042" width="7.75" style="86" customWidth="1"/>
    <col min="1043" max="1043" width="13.125" style="86" customWidth="1"/>
    <col min="1044" max="1044" width="6.125" style="86" customWidth="1"/>
    <col min="1045" max="1045" width="9.75" style="86" customWidth="1"/>
    <col min="1046" max="1046" width="1.375" style="86" customWidth="1"/>
    <col min="1047" max="1286" width="9" style="86"/>
    <col min="1287" max="1287" width="1.375" style="86" customWidth="1"/>
    <col min="1288" max="1288" width="3.5" style="86" customWidth="1"/>
    <col min="1289" max="1289" width="22.125" style="86" customWidth="1"/>
    <col min="1290" max="1290" width="9.75" style="86" customWidth="1"/>
    <col min="1291" max="1291" width="7.375" style="86" customWidth="1"/>
    <col min="1292" max="1292" width="9" style="86"/>
    <col min="1293" max="1293" width="9.25" style="86" customWidth="1"/>
    <col min="1294" max="1294" width="3.5" style="86" customWidth="1"/>
    <col min="1295" max="1296" width="12.625" style="86" customWidth="1"/>
    <col min="1297" max="1297" width="9" style="86"/>
    <col min="1298" max="1298" width="7.75" style="86" customWidth="1"/>
    <col min="1299" max="1299" width="13.125" style="86" customWidth="1"/>
    <col min="1300" max="1300" width="6.125" style="86" customWidth="1"/>
    <col min="1301" max="1301" width="9.75" style="86" customWidth="1"/>
    <col min="1302" max="1302" width="1.375" style="86" customWidth="1"/>
    <col min="1303" max="1542" width="9" style="86"/>
    <col min="1543" max="1543" width="1.375" style="86" customWidth="1"/>
    <col min="1544" max="1544" width="3.5" style="86" customWidth="1"/>
    <col min="1545" max="1545" width="22.125" style="86" customWidth="1"/>
    <col min="1546" max="1546" width="9.75" style="86" customWidth="1"/>
    <col min="1547" max="1547" width="7.375" style="86" customWidth="1"/>
    <col min="1548" max="1548" width="9" style="86"/>
    <col min="1549" max="1549" width="9.25" style="86" customWidth="1"/>
    <col min="1550" max="1550" width="3.5" style="86" customWidth="1"/>
    <col min="1551" max="1552" width="12.625" style="86" customWidth="1"/>
    <col min="1553" max="1553" width="9" style="86"/>
    <col min="1554" max="1554" width="7.75" style="86" customWidth="1"/>
    <col min="1555" max="1555" width="13.125" style="86" customWidth="1"/>
    <col min="1556" max="1556" width="6.125" style="86" customWidth="1"/>
    <col min="1557" max="1557" width="9.75" style="86" customWidth="1"/>
    <col min="1558" max="1558" width="1.375" style="86" customWidth="1"/>
    <col min="1559" max="1798" width="9" style="86"/>
    <col min="1799" max="1799" width="1.375" style="86" customWidth="1"/>
    <col min="1800" max="1800" width="3.5" style="86" customWidth="1"/>
    <col min="1801" max="1801" width="22.125" style="86" customWidth="1"/>
    <col min="1802" max="1802" width="9.75" style="86" customWidth="1"/>
    <col min="1803" max="1803" width="7.375" style="86" customWidth="1"/>
    <col min="1804" max="1804" width="9" style="86"/>
    <col min="1805" max="1805" width="9.25" style="86" customWidth="1"/>
    <col min="1806" max="1806" width="3.5" style="86" customWidth="1"/>
    <col min="1807" max="1808" width="12.625" style="86" customWidth="1"/>
    <col min="1809" max="1809" width="9" style="86"/>
    <col min="1810" max="1810" width="7.75" style="86" customWidth="1"/>
    <col min="1811" max="1811" width="13.125" style="86" customWidth="1"/>
    <col min="1812" max="1812" width="6.125" style="86" customWidth="1"/>
    <col min="1813" max="1813" width="9.75" style="86" customWidth="1"/>
    <col min="1814" max="1814" width="1.375" style="86" customWidth="1"/>
    <col min="1815" max="2054" width="9" style="86"/>
    <col min="2055" max="2055" width="1.375" style="86" customWidth="1"/>
    <col min="2056" max="2056" width="3.5" style="86" customWidth="1"/>
    <col min="2057" max="2057" width="22.125" style="86" customWidth="1"/>
    <col min="2058" max="2058" width="9.75" style="86" customWidth="1"/>
    <col min="2059" max="2059" width="7.375" style="86" customWidth="1"/>
    <col min="2060" max="2060" width="9" style="86"/>
    <col min="2061" max="2061" width="9.25" style="86" customWidth="1"/>
    <col min="2062" max="2062" width="3.5" style="86" customWidth="1"/>
    <col min="2063" max="2064" width="12.625" style="86" customWidth="1"/>
    <col min="2065" max="2065" width="9" style="86"/>
    <col min="2066" max="2066" width="7.75" style="86" customWidth="1"/>
    <col min="2067" max="2067" width="13.125" style="86" customWidth="1"/>
    <col min="2068" max="2068" width="6.125" style="86" customWidth="1"/>
    <col min="2069" max="2069" width="9.75" style="86" customWidth="1"/>
    <col min="2070" max="2070" width="1.375" style="86" customWidth="1"/>
    <col min="2071" max="2310" width="9" style="86"/>
    <col min="2311" max="2311" width="1.375" style="86" customWidth="1"/>
    <col min="2312" max="2312" width="3.5" style="86" customWidth="1"/>
    <col min="2313" max="2313" width="22.125" style="86" customWidth="1"/>
    <col min="2314" max="2314" width="9.75" style="86" customWidth="1"/>
    <col min="2315" max="2315" width="7.375" style="86" customWidth="1"/>
    <col min="2316" max="2316" width="9" style="86"/>
    <col min="2317" max="2317" width="9.25" style="86" customWidth="1"/>
    <col min="2318" max="2318" width="3.5" style="86" customWidth="1"/>
    <col min="2319" max="2320" width="12.625" style="86" customWidth="1"/>
    <col min="2321" max="2321" width="9" style="86"/>
    <col min="2322" max="2322" width="7.75" style="86" customWidth="1"/>
    <col min="2323" max="2323" width="13.125" style="86" customWidth="1"/>
    <col min="2324" max="2324" width="6.125" style="86" customWidth="1"/>
    <col min="2325" max="2325" width="9.75" style="86" customWidth="1"/>
    <col min="2326" max="2326" width="1.375" style="86" customWidth="1"/>
    <col min="2327" max="2566" width="9" style="86"/>
    <col min="2567" max="2567" width="1.375" style="86" customWidth="1"/>
    <col min="2568" max="2568" width="3.5" style="86" customWidth="1"/>
    <col min="2569" max="2569" width="22.125" style="86" customWidth="1"/>
    <col min="2570" max="2570" width="9.75" style="86" customWidth="1"/>
    <col min="2571" max="2571" width="7.375" style="86" customWidth="1"/>
    <col min="2572" max="2572" width="9" style="86"/>
    <col min="2573" max="2573" width="9.25" style="86" customWidth="1"/>
    <col min="2574" max="2574" width="3.5" style="86" customWidth="1"/>
    <col min="2575" max="2576" width="12.625" style="86" customWidth="1"/>
    <col min="2577" max="2577" width="9" style="86"/>
    <col min="2578" max="2578" width="7.75" style="86" customWidth="1"/>
    <col min="2579" max="2579" width="13.125" style="86" customWidth="1"/>
    <col min="2580" max="2580" width="6.125" style="86" customWidth="1"/>
    <col min="2581" max="2581" width="9.75" style="86" customWidth="1"/>
    <col min="2582" max="2582" width="1.375" style="86" customWidth="1"/>
    <col min="2583" max="2822" width="9" style="86"/>
    <col min="2823" max="2823" width="1.375" style="86" customWidth="1"/>
    <col min="2824" max="2824" width="3.5" style="86" customWidth="1"/>
    <col min="2825" max="2825" width="22.125" style="86" customWidth="1"/>
    <col min="2826" max="2826" width="9.75" style="86" customWidth="1"/>
    <col min="2827" max="2827" width="7.375" style="86" customWidth="1"/>
    <col min="2828" max="2828" width="9" style="86"/>
    <col min="2829" max="2829" width="9.25" style="86" customWidth="1"/>
    <col min="2830" max="2830" width="3.5" style="86" customWidth="1"/>
    <col min="2831" max="2832" width="12.625" style="86" customWidth="1"/>
    <col min="2833" max="2833" width="9" style="86"/>
    <col min="2834" max="2834" width="7.75" style="86" customWidth="1"/>
    <col min="2835" max="2835" width="13.125" style="86" customWidth="1"/>
    <col min="2836" max="2836" width="6.125" style="86" customWidth="1"/>
    <col min="2837" max="2837" width="9.75" style="86" customWidth="1"/>
    <col min="2838" max="2838" width="1.375" style="86" customWidth="1"/>
    <col min="2839" max="3078" width="9" style="86"/>
    <col min="3079" max="3079" width="1.375" style="86" customWidth="1"/>
    <col min="3080" max="3080" width="3.5" style="86" customWidth="1"/>
    <col min="3081" max="3081" width="22.125" style="86" customWidth="1"/>
    <col min="3082" max="3082" width="9.75" style="86" customWidth="1"/>
    <col min="3083" max="3083" width="7.375" style="86" customWidth="1"/>
    <col min="3084" max="3084" width="9" style="86"/>
    <col min="3085" max="3085" width="9.25" style="86" customWidth="1"/>
    <col min="3086" max="3086" width="3.5" style="86" customWidth="1"/>
    <col min="3087" max="3088" width="12.625" style="86" customWidth="1"/>
    <col min="3089" max="3089" width="9" style="86"/>
    <col min="3090" max="3090" width="7.75" style="86" customWidth="1"/>
    <col min="3091" max="3091" width="13.125" style="86" customWidth="1"/>
    <col min="3092" max="3092" width="6.125" style="86" customWidth="1"/>
    <col min="3093" max="3093" width="9.75" style="86" customWidth="1"/>
    <col min="3094" max="3094" width="1.375" style="86" customWidth="1"/>
    <col min="3095" max="3334" width="9" style="86"/>
    <col min="3335" max="3335" width="1.375" style="86" customWidth="1"/>
    <col min="3336" max="3336" width="3.5" style="86" customWidth="1"/>
    <col min="3337" max="3337" width="22.125" style="86" customWidth="1"/>
    <col min="3338" max="3338" width="9.75" style="86" customWidth="1"/>
    <col min="3339" max="3339" width="7.375" style="86" customWidth="1"/>
    <col min="3340" max="3340" width="9" style="86"/>
    <col min="3341" max="3341" width="9.25" style="86" customWidth="1"/>
    <col min="3342" max="3342" width="3.5" style="86" customWidth="1"/>
    <col min="3343" max="3344" width="12.625" style="86" customWidth="1"/>
    <col min="3345" max="3345" width="9" style="86"/>
    <col min="3346" max="3346" width="7.75" style="86" customWidth="1"/>
    <col min="3347" max="3347" width="13.125" style="86" customWidth="1"/>
    <col min="3348" max="3348" width="6.125" style="86" customWidth="1"/>
    <col min="3349" max="3349" width="9.75" style="86" customWidth="1"/>
    <col min="3350" max="3350" width="1.375" style="86" customWidth="1"/>
    <col min="3351" max="3590" width="9" style="86"/>
    <col min="3591" max="3591" width="1.375" style="86" customWidth="1"/>
    <col min="3592" max="3592" width="3.5" style="86" customWidth="1"/>
    <col min="3593" max="3593" width="22.125" style="86" customWidth="1"/>
    <col min="3594" max="3594" width="9.75" style="86" customWidth="1"/>
    <col min="3595" max="3595" width="7.375" style="86" customWidth="1"/>
    <col min="3596" max="3596" width="9" style="86"/>
    <col min="3597" max="3597" width="9.25" style="86" customWidth="1"/>
    <col min="3598" max="3598" width="3.5" style="86" customWidth="1"/>
    <col min="3599" max="3600" width="12.625" style="86" customWidth="1"/>
    <col min="3601" max="3601" width="9" style="86"/>
    <col min="3602" max="3602" width="7.75" style="86" customWidth="1"/>
    <col min="3603" max="3603" width="13.125" style="86" customWidth="1"/>
    <col min="3604" max="3604" width="6.125" style="86" customWidth="1"/>
    <col min="3605" max="3605" width="9.75" style="86" customWidth="1"/>
    <col min="3606" max="3606" width="1.375" style="86" customWidth="1"/>
    <col min="3607" max="3846" width="9" style="86"/>
    <col min="3847" max="3847" width="1.375" style="86" customWidth="1"/>
    <col min="3848" max="3848" width="3.5" style="86" customWidth="1"/>
    <col min="3849" max="3849" width="22.125" style="86" customWidth="1"/>
    <col min="3850" max="3850" width="9.75" style="86" customWidth="1"/>
    <col min="3851" max="3851" width="7.375" style="86" customWidth="1"/>
    <col min="3852" max="3852" width="9" style="86"/>
    <col min="3853" max="3853" width="9.25" style="86" customWidth="1"/>
    <col min="3854" max="3854" width="3.5" style="86" customWidth="1"/>
    <col min="3855" max="3856" width="12.625" style="86" customWidth="1"/>
    <col min="3857" max="3857" width="9" style="86"/>
    <col min="3858" max="3858" width="7.75" style="86" customWidth="1"/>
    <col min="3859" max="3859" width="13.125" style="86" customWidth="1"/>
    <col min="3860" max="3860" width="6.125" style="86" customWidth="1"/>
    <col min="3861" max="3861" width="9.75" style="86" customWidth="1"/>
    <col min="3862" max="3862" width="1.375" style="86" customWidth="1"/>
    <col min="3863" max="4102" width="9" style="86"/>
    <col min="4103" max="4103" width="1.375" style="86" customWidth="1"/>
    <col min="4104" max="4104" width="3.5" style="86" customWidth="1"/>
    <col min="4105" max="4105" width="22.125" style="86" customWidth="1"/>
    <col min="4106" max="4106" width="9.75" style="86" customWidth="1"/>
    <col min="4107" max="4107" width="7.375" style="86" customWidth="1"/>
    <col min="4108" max="4108" width="9" style="86"/>
    <col min="4109" max="4109" width="9.25" style="86" customWidth="1"/>
    <col min="4110" max="4110" width="3.5" style="86" customWidth="1"/>
    <col min="4111" max="4112" width="12.625" style="86" customWidth="1"/>
    <col min="4113" max="4113" width="9" style="86"/>
    <col min="4114" max="4114" width="7.75" style="86" customWidth="1"/>
    <col min="4115" max="4115" width="13.125" style="86" customWidth="1"/>
    <col min="4116" max="4116" width="6.125" style="86" customWidth="1"/>
    <col min="4117" max="4117" width="9.75" style="86" customWidth="1"/>
    <col min="4118" max="4118" width="1.375" style="86" customWidth="1"/>
    <col min="4119" max="4358" width="9" style="86"/>
    <col min="4359" max="4359" width="1.375" style="86" customWidth="1"/>
    <col min="4360" max="4360" width="3.5" style="86" customWidth="1"/>
    <col min="4361" max="4361" width="22.125" style="86" customWidth="1"/>
    <col min="4362" max="4362" width="9.75" style="86" customWidth="1"/>
    <col min="4363" max="4363" width="7.375" style="86" customWidth="1"/>
    <col min="4364" max="4364" width="9" style="86"/>
    <col min="4365" max="4365" width="9.25" style="86" customWidth="1"/>
    <col min="4366" max="4366" width="3.5" style="86" customWidth="1"/>
    <col min="4367" max="4368" width="12.625" style="86" customWidth="1"/>
    <col min="4369" max="4369" width="9" style="86"/>
    <col min="4370" max="4370" width="7.75" style="86" customWidth="1"/>
    <col min="4371" max="4371" width="13.125" style="86" customWidth="1"/>
    <col min="4372" max="4372" width="6.125" style="86" customWidth="1"/>
    <col min="4373" max="4373" width="9.75" style="86" customWidth="1"/>
    <col min="4374" max="4374" width="1.375" style="86" customWidth="1"/>
    <col min="4375" max="4614" width="9" style="86"/>
    <col min="4615" max="4615" width="1.375" style="86" customWidth="1"/>
    <col min="4616" max="4616" width="3.5" style="86" customWidth="1"/>
    <col min="4617" max="4617" width="22.125" style="86" customWidth="1"/>
    <col min="4618" max="4618" width="9.75" style="86" customWidth="1"/>
    <col min="4619" max="4619" width="7.375" style="86" customWidth="1"/>
    <col min="4620" max="4620" width="9" style="86"/>
    <col min="4621" max="4621" width="9.25" style="86" customWidth="1"/>
    <col min="4622" max="4622" width="3.5" style="86" customWidth="1"/>
    <col min="4623" max="4624" width="12.625" style="86" customWidth="1"/>
    <col min="4625" max="4625" width="9" style="86"/>
    <col min="4626" max="4626" width="7.75" style="86" customWidth="1"/>
    <col min="4627" max="4627" width="13.125" style="86" customWidth="1"/>
    <col min="4628" max="4628" width="6.125" style="86" customWidth="1"/>
    <col min="4629" max="4629" width="9.75" style="86" customWidth="1"/>
    <col min="4630" max="4630" width="1.375" style="86" customWidth="1"/>
    <col min="4631" max="4870" width="9" style="86"/>
    <col min="4871" max="4871" width="1.375" style="86" customWidth="1"/>
    <col min="4872" max="4872" width="3.5" style="86" customWidth="1"/>
    <col min="4873" max="4873" width="22.125" style="86" customWidth="1"/>
    <col min="4874" max="4874" width="9.75" style="86" customWidth="1"/>
    <col min="4875" max="4875" width="7.375" style="86" customWidth="1"/>
    <col min="4876" max="4876" width="9" style="86"/>
    <col min="4877" max="4877" width="9.25" style="86" customWidth="1"/>
    <col min="4878" max="4878" width="3.5" style="86" customWidth="1"/>
    <col min="4879" max="4880" width="12.625" style="86" customWidth="1"/>
    <col min="4881" max="4881" width="9" style="86"/>
    <col min="4882" max="4882" width="7.75" style="86" customWidth="1"/>
    <col min="4883" max="4883" width="13.125" style="86" customWidth="1"/>
    <col min="4884" max="4884" width="6.125" style="86" customWidth="1"/>
    <col min="4885" max="4885" width="9.75" style="86" customWidth="1"/>
    <col min="4886" max="4886" width="1.375" style="86" customWidth="1"/>
    <col min="4887" max="5126" width="9" style="86"/>
    <col min="5127" max="5127" width="1.375" style="86" customWidth="1"/>
    <col min="5128" max="5128" width="3.5" style="86" customWidth="1"/>
    <col min="5129" max="5129" width="22.125" style="86" customWidth="1"/>
    <col min="5130" max="5130" width="9.75" style="86" customWidth="1"/>
    <col min="5131" max="5131" width="7.375" style="86" customWidth="1"/>
    <col min="5132" max="5132" width="9" style="86"/>
    <col min="5133" max="5133" width="9.25" style="86" customWidth="1"/>
    <col min="5134" max="5134" width="3.5" style="86" customWidth="1"/>
    <col min="5135" max="5136" width="12.625" style="86" customWidth="1"/>
    <col min="5137" max="5137" width="9" style="86"/>
    <col min="5138" max="5138" width="7.75" style="86" customWidth="1"/>
    <col min="5139" max="5139" width="13.125" style="86" customWidth="1"/>
    <col min="5140" max="5140" width="6.125" style="86" customWidth="1"/>
    <col min="5141" max="5141" width="9.75" style="86" customWidth="1"/>
    <col min="5142" max="5142" width="1.375" style="86" customWidth="1"/>
    <col min="5143" max="5382" width="9" style="86"/>
    <col min="5383" max="5383" width="1.375" style="86" customWidth="1"/>
    <col min="5384" max="5384" width="3.5" style="86" customWidth="1"/>
    <col min="5385" max="5385" width="22.125" style="86" customWidth="1"/>
    <col min="5386" max="5386" width="9.75" style="86" customWidth="1"/>
    <col min="5387" max="5387" width="7.375" style="86" customWidth="1"/>
    <col min="5388" max="5388" width="9" style="86"/>
    <col min="5389" max="5389" width="9.25" style="86" customWidth="1"/>
    <col min="5390" max="5390" width="3.5" style="86" customWidth="1"/>
    <col min="5391" max="5392" width="12.625" style="86" customWidth="1"/>
    <col min="5393" max="5393" width="9" style="86"/>
    <col min="5394" max="5394" width="7.75" style="86" customWidth="1"/>
    <col min="5395" max="5395" width="13.125" style="86" customWidth="1"/>
    <col min="5396" max="5396" width="6.125" style="86" customWidth="1"/>
    <col min="5397" max="5397" width="9.75" style="86" customWidth="1"/>
    <col min="5398" max="5398" width="1.375" style="86" customWidth="1"/>
    <col min="5399" max="5638" width="9" style="86"/>
    <col min="5639" max="5639" width="1.375" style="86" customWidth="1"/>
    <col min="5640" max="5640" width="3.5" style="86" customWidth="1"/>
    <col min="5641" max="5641" width="22.125" style="86" customWidth="1"/>
    <col min="5642" max="5642" width="9.75" style="86" customWidth="1"/>
    <col min="5643" max="5643" width="7.375" style="86" customWidth="1"/>
    <col min="5644" max="5644" width="9" style="86"/>
    <col min="5645" max="5645" width="9.25" style="86" customWidth="1"/>
    <col min="5646" max="5646" width="3.5" style="86" customWidth="1"/>
    <col min="5647" max="5648" width="12.625" style="86" customWidth="1"/>
    <col min="5649" max="5649" width="9" style="86"/>
    <col min="5650" max="5650" width="7.75" style="86" customWidth="1"/>
    <col min="5651" max="5651" width="13.125" style="86" customWidth="1"/>
    <col min="5652" max="5652" width="6.125" style="86" customWidth="1"/>
    <col min="5653" max="5653" width="9.75" style="86" customWidth="1"/>
    <col min="5654" max="5654" width="1.375" style="86" customWidth="1"/>
    <col min="5655" max="5894" width="9" style="86"/>
    <col min="5895" max="5895" width="1.375" style="86" customWidth="1"/>
    <col min="5896" max="5896" width="3.5" style="86" customWidth="1"/>
    <col min="5897" max="5897" width="22.125" style="86" customWidth="1"/>
    <col min="5898" max="5898" width="9.75" style="86" customWidth="1"/>
    <col min="5899" max="5899" width="7.375" style="86" customWidth="1"/>
    <col min="5900" max="5900" width="9" style="86"/>
    <col min="5901" max="5901" width="9.25" style="86" customWidth="1"/>
    <col min="5902" max="5902" width="3.5" style="86" customWidth="1"/>
    <col min="5903" max="5904" width="12.625" style="86" customWidth="1"/>
    <col min="5905" max="5905" width="9" style="86"/>
    <col min="5906" max="5906" width="7.75" style="86" customWidth="1"/>
    <col min="5907" max="5907" width="13.125" style="86" customWidth="1"/>
    <col min="5908" max="5908" width="6.125" style="86" customWidth="1"/>
    <col min="5909" max="5909" width="9.75" style="86" customWidth="1"/>
    <col min="5910" max="5910" width="1.375" style="86" customWidth="1"/>
    <col min="5911" max="6150" width="9" style="86"/>
    <col min="6151" max="6151" width="1.375" style="86" customWidth="1"/>
    <col min="6152" max="6152" width="3.5" style="86" customWidth="1"/>
    <col min="6153" max="6153" width="22.125" style="86" customWidth="1"/>
    <col min="6154" max="6154" width="9.75" style="86" customWidth="1"/>
    <col min="6155" max="6155" width="7.375" style="86" customWidth="1"/>
    <col min="6156" max="6156" width="9" style="86"/>
    <col min="6157" max="6157" width="9.25" style="86" customWidth="1"/>
    <col min="6158" max="6158" width="3.5" style="86" customWidth="1"/>
    <col min="6159" max="6160" width="12.625" style="86" customWidth="1"/>
    <col min="6161" max="6161" width="9" style="86"/>
    <col min="6162" max="6162" width="7.75" style="86" customWidth="1"/>
    <col min="6163" max="6163" width="13.125" style="86" customWidth="1"/>
    <col min="6164" max="6164" width="6.125" style="86" customWidth="1"/>
    <col min="6165" max="6165" width="9.75" style="86" customWidth="1"/>
    <col min="6166" max="6166" width="1.375" style="86" customWidth="1"/>
    <col min="6167" max="6406" width="9" style="86"/>
    <col min="6407" max="6407" width="1.375" style="86" customWidth="1"/>
    <col min="6408" max="6408" width="3.5" style="86" customWidth="1"/>
    <col min="6409" max="6409" width="22.125" style="86" customWidth="1"/>
    <col min="6410" max="6410" width="9.75" style="86" customWidth="1"/>
    <col min="6411" max="6411" width="7.375" style="86" customWidth="1"/>
    <col min="6412" max="6412" width="9" style="86"/>
    <col min="6413" max="6413" width="9.25" style="86" customWidth="1"/>
    <col min="6414" max="6414" width="3.5" style="86" customWidth="1"/>
    <col min="6415" max="6416" width="12.625" style="86" customWidth="1"/>
    <col min="6417" max="6417" width="9" style="86"/>
    <col min="6418" max="6418" width="7.75" style="86" customWidth="1"/>
    <col min="6419" max="6419" width="13.125" style="86" customWidth="1"/>
    <col min="6420" max="6420" width="6.125" style="86" customWidth="1"/>
    <col min="6421" max="6421" width="9.75" style="86" customWidth="1"/>
    <col min="6422" max="6422" width="1.375" style="86" customWidth="1"/>
    <col min="6423" max="6662" width="9" style="86"/>
    <col min="6663" max="6663" width="1.375" style="86" customWidth="1"/>
    <col min="6664" max="6664" width="3.5" style="86" customWidth="1"/>
    <col min="6665" max="6665" width="22.125" style="86" customWidth="1"/>
    <col min="6666" max="6666" width="9.75" style="86" customWidth="1"/>
    <col min="6667" max="6667" width="7.375" style="86" customWidth="1"/>
    <col min="6668" max="6668" width="9" style="86"/>
    <col min="6669" max="6669" width="9.25" style="86" customWidth="1"/>
    <col min="6670" max="6670" width="3.5" style="86" customWidth="1"/>
    <col min="6671" max="6672" width="12.625" style="86" customWidth="1"/>
    <col min="6673" max="6673" width="9" style="86"/>
    <col min="6674" max="6674" width="7.75" style="86" customWidth="1"/>
    <col min="6675" max="6675" width="13.125" style="86" customWidth="1"/>
    <col min="6676" max="6676" width="6.125" style="86" customWidth="1"/>
    <col min="6677" max="6677" width="9.75" style="86" customWidth="1"/>
    <col min="6678" max="6678" width="1.375" style="86" customWidth="1"/>
    <col min="6679" max="6918" width="9" style="86"/>
    <col min="6919" max="6919" width="1.375" style="86" customWidth="1"/>
    <col min="6920" max="6920" width="3.5" style="86" customWidth="1"/>
    <col min="6921" max="6921" width="22.125" style="86" customWidth="1"/>
    <col min="6922" max="6922" width="9.75" style="86" customWidth="1"/>
    <col min="6923" max="6923" width="7.375" style="86" customWidth="1"/>
    <col min="6924" max="6924" width="9" style="86"/>
    <col min="6925" max="6925" width="9.25" style="86" customWidth="1"/>
    <col min="6926" max="6926" width="3.5" style="86" customWidth="1"/>
    <col min="6927" max="6928" width="12.625" style="86" customWidth="1"/>
    <col min="6929" max="6929" width="9" style="86"/>
    <col min="6930" max="6930" width="7.75" style="86" customWidth="1"/>
    <col min="6931" max="6931" width="13.125" style="86" customWidth="1"/>
    <col min="6932" max="6932" width="6.125" style="86" customWidth="1"/>
    <col min="6933" max="6933" width="9.75" style="86" customWidth="1"/>
    <col min="6934" max="6934" width="1.375" style="86" customWidth="1"/>
    <col min="6935" max="7174" width="9" style="86"/>
    <col min="7175" max="7175" width="1.375" style="86" customWidth="1"/>
    <col min="7176" max="7176" width="3.5" style="86" customWidth="1"/>
    <col min="7177" max="7177" width="22.125" style="86" customWidth="1"/>
    <col min="7178" max="7178" width="9.75" style="86" customWidth="1"/>
    <col min="7179" max="7179" width="7.375" style="86" customWidth="1"/>
    <col min="7180" max="7180" width="9" style="86"/>
    <col min="7181" max="7181" width="9.25" style="86" customWidth="1"/>
    <col min="7182" max="7182" width="3.5" style="86" customWidth="1"/>
    <col min="7183" max="7184" width="12.625" style="86" customWidth="1"/>
    <col min="7185" max="7185" width="9" style="86"/>
    <col min="7186" max="7186" width="7.75" style="86" customWidth="1"/>
    <col min="7187" max="7187" width="13.125" style="86" customWidth="1"/>
    <col min="7188" max="7188" width="6.125" style="86" customWidth="1"/>
    <col min="7189" max="7189" width="9.75" style="86" customWidth="1"/>
    <col min="7190" max="7190" width="1.375" style="86" customWidth="1"/>
    <col min="7191" max="7430" width="9" style="86"/>
    <col min="7431" max="7431" width="1.375" style="86" customWidth="1"/>
    <col min="7432" max="7432" width="3.5" style="86" customWidth="1"/>
    <col min="7433" max="7433" width="22.125" style="86" customWidth="1"/>
    <col min="7434" max="7434" width="9.75" style="86" customWidth="1"/>
    <col min="7435" max="7435" width="7.375" style="86" customWidth="1"/>
    <col min="7436" max="7436" width="9" style="86"/>
    <col min="7437" max="7437" width="9.25" style="86" customWidth="1"/>
    <col min="7438" max="7438" width="3.5" style="86" customWidth="1"/>
    <col min="7439" max="7440" width="12.625" style="86" customWidth="1"/>
    <col min="7441" max="7441" width="9" style="86"/>
    <col min="7442" max="7442" width="7.75" style="86" customWidth="1"/>
    <col min="7443" max="7443" width="13.125" style="86" customWidth="1"/>
    <col min="7444" max="7444" width="6.125" style="86" customWidth="1"/>
    <col min="7445" max="7445" width="9.75" style="86" customWidth="1"/>
    <col min="7446" max="7446" width="1.375" style="86" customWidth="1"/>
    <col min="7447" max="7686" width="9" style="86"/>
    <col min="7687" max="7687" width="1.375" style="86" customWidth="1"/>
    <col min="7688" max="7688" width="3.5" style="86" customWidth="1"/>
    <col min="7689" max="7689" width="22.125" style="86" customWidth="1"/>
    <col min="7690" max="7690" width="9.75" style="86" customWidth="1"/>
    <col min="7691" max="7691" width="7.375" style="86" customWidth="1"/>
    <col min="7692" max="7692" width="9" style="86"/>
    <col min="7693" max="7693" width="9.25" style="86" customWidth="1"/>
    <col min="7694" max="7694" width="3.5" style="86" customWidth="1"/>
    <col min="7695" max="7696" width="12.625" style="86" customWidth="1"/>
    <col min="7697" max="7697" width="9" style="86"/>
    <col min="7698" max="7698" width="7.75" style="86" customWidth="1"/>
    <col min="7699" max="7699" width="13.125" style="86" customWidth="1"/>
    <col min="7700" max="7700" width="6.125" style="86" customWidth="1"/>
    <col min="7701" max="7701" width="9.75" style="86" customWidth="1"/>
    <col min="7702" max="7702" width="1.375" style="86" customWidth="1"/>
    <col min="7703" max="7942" width="9" style="86"/>
    <col min="7943" max="7943" width="1.375" style="86" customWidth="1"/>
    <col min="7944" max="7944" width="3.5" style="86" customWidth="1"/>
    <col min="7945" max="7945" width="22.125" style="86" customWidth="1"/>
    <col min="7946" max="7946" width="9.75" style="86" customWidth="1"/>
    <col min="7947" max="7947" width="7.375" style="86" customWidth="1"/>
    <col min="7948" max="7948" width="9" style="86"/>
    <col min="7949" max="7949" width="9.25" style="86" customWidth="1"/>
    <col min="7950" max="7950" width="3.5" style="86" customWidth="1"/>
    <col min="7951" max="7952" width="12.625" style="86" customWidth="1"/>
    <col min="7953" max="7953" width="9" style="86"/>
    <col min="7954" max="7954" width="7.75" style="86" customWidth="1"/>
    <col min="7955" max="7955" width="13.125" style="86" customWidth="1"/>
    <col min="7956" max="7956" width="6.125" style="86" customWidth="1"/>
    <col min="7957" max="7957" width="9.75" style="86" customWidth="1"/>
    <col min="7958" max="7958" width="1.375" style="86" customWidth="1"/>
    <col min="7959" max="8198" width="9" style="86"/>
    <col min="8199" max="8199" width="1.375" style="86" customWidth="1"/>
    <col min="8200" max="8200" width="3.5" style="86" customWidth="1"/>
    <col min="8201" max="8201" width="22.125" style="86" customWidth="1"/>
    <col min="8202" max="8202" width="9.75" style="86" customWidth="1"/>
    <col min="8203" max="8203" width="7.375" style="86" customWidth="1"/>
    <col min="8204" max="8204" width="9" style="86"/>
    <col min="8205" max="8205" width="9.25" style="86" customWidth="1"/>
    <col min="8206" max="8206" width="3.5" style="86" customWidth="1"/>
    <col min="8207" max="8208" width="12.625" style="86" customWidth="1"/>
    <col min="8209" max="8209" width="9" style="86"/>
    <col min="8210" max="8210" width="7.75" style="86" customWidth="1"/>
    <col min="8211" max="8211" width="13.125" style="86" customWidth="1"/>
    <col min="8212" max="8212" width="6.125" style="86" customWidth="1"/>
    <col min="8213" max="8213" width="9.75" style="86" customWidth="1"/>
    <col min="8214" max="8214" width="1.375" style="86" customWidth="1"/>
    <col min="8215" max="8454" width="9" style="86"/>
    <col min="8455" max="8455" width="1.375" style="86" customWidth="1"/>
    <col min="8456" max="8456" width="3.5" style="86" customWidth="1"/>
    <col min="8457" max="8457" width="22.125" style="86" customWidth="1"/>
    <col min="8458" max="8458" width="9.75" style="86" customWidth="1"/>
    <col min="8459" max="8459" width="7.375" style="86" customWidth="1"/>
    <col min="8460" max="8460" width="9" style="86"/>
    <col min="8461" max="8461" width="9.25" style="86" customWidth="1"/>
    <col min="8462" max="8462" width="3.5" style="86" customWidth="1"/>
    <col min="8463" max="8464" width="12.625" style="86" customWidth="1"/>
    <col min="8465" max="8465" width="9" style="86"/>
    <col min="8466" max="8466" width="7.75" style="86" customWidth="1"/>
    <col min="8467" max="8467" width="13.125" style="86" customWidth="1"/>
    <col min="8468" max="8468" width="6.125" style="86" customWidth="1"/>
    <col min="8469" max="8469" width="9.75" style="86" customWidth="1"/>
    <col min="8470" max="8470" width="1.375" style="86" customWidth="1"/>
    <col min="8471" max="8710" width="9" style="86"/>
    <col min="8711" max="8711" width="1.375" style="86" customWidth="1"/>
    <col min="8712" max="8712" width="3.5" style="86" customWidth="1"/>
    <col min="8713" max="8713" width="22.125" style="86" customWidth="1"/>
    <col min="8714" max="8714" width="9.75" style="86" customWidth="1"/>
    <col min="8715" max="8715" width="7.375" style="86" customWidth="1"/>
    <col min="8716" max="8716" width="9" style="86"/>
    <col min="8717" max="8717" width="9.25" style="86" customWidth="1"/>
    <col min="8718" max="8718" width="3.5" style="86" customWidth="1"/>
    <col min="8719" max="8720" width="12.625" style="86" customWidth="1"/>
    <col min="8721" max="8721" width="9" style="86"/>
    <col min="8722" max="8722" width="7.75" style="86" customWidth="1"/>
    <col min="8723" max="8723" width="13.125" style="86" customWidth="1"/>
    <col min="8724" max="8724" width="6.125" style="86" customWidth="1"/>
    <col min="8725" max="8725" width="9.75" style="86" customWidth="1"/>
    <col min="8726" max="8726" width="1.375" style="86" customWidth="1"/>
    <col min="8727" max="8966" width="9" style="86"/>
    <col min="8967" max="8967" width="1.375" style="86" customWidth="1"/>
    <col min="8968" max="8968" width="3.5" style="86" customWidth="1"/>
    <col min="8969" max="8969" width="22.125" style="86" customWidth="1"/>
    <col min="8970" max="8970" width="9.75" style="86" customWidth="1"/>
    <col min="8971" max="8971" width="7.375" style="86" customWidth="1"/>
    <col min="8972" max="8972" width="9" style="86"/>
    <col min="8973" max="8973" width="9.25" style="86" customWidth="1"/>
    <col min="8974" max="8974" width="3.5" style="86" customWidth="1"/>
    <col min="8975" max="8976" width="12.625" style="86" customWidth="1"/>
    <col min="8977" max="8977" width="9" style="86"/>
    <col min="8978" max="8978" width="7.75" style="86" customWidth="1"/>
    <col min="8979" max="8979" width="13.125" style="86" customWidth="1"/>
    <col min="8980" max="8980" width="6.125" style="86" customWidth="1"/>
    <col min="8981" max="8981" width="9.75" style="86" customWidth="1"/>
    <col min="8982" max="8982" width="1.375" style="86" customWidth="1"/>
    <col min="8983" max="9222" width="9" style="86"/>
    <col min="9223" max="9223" width="1.375" style="86" customWidth="1"/>
    <col min="9224" max="9224" width="3.5" style="86" customWidth="1"/>
    <col min="9225" max="9225" width="22.125" style="86" customWidth="1"/>
    <col min="9226" max="9226" width="9.75" style="86" customWidth="1"/>
    <col min="9227" max="9227" width="7.375" style="86" customWidth="1"/>
    <col min="9228" max="9228" width="9" style="86"/>
    <col min="9229" max="9229" width="9.25" style="86" customWidth="1"/>
    <col min="9230" max="9230" width="3.5" style="86" customWidth="1"/>
    <col min="9231" max="9232" width="12.625" style="86" customWidth="1"/>
    <col min="9233" max="9233" width="9" style="86"/>
    <col min="9234" max="9234" width="7.75" style="86" customWidth="1"/>
    <col min="9235" max="9235" width="13.125" style="86" customWidth="1"/>
    <col min="9236" max="9236" width="6.125" style="86" customWidth="1"/>
    <col min="9237" max="9237" width="9.75" style="86" customWidth="1"/>
    <col min="9238" max="9238" width="1.375" style="86" customWidth="1"/>
    <col min="9239" max="9478" width="9" style="86"/>
    <col min="9479" max="9479" width="1.375" style="86" customWidth="1"/>
    <col min="9480" max="9480" width="3.5" style="86" customWidth="1"/>
    <col min="9481" max="9481" width="22.125" style="86" customWidth="1"/>
    <col min="9482" max="9482" width="9.75" style="86" customWidth="1"/>
    <col min="9483" max="9483" width="7.375" style="86" customWidth="1"/>
    <col min="9484" max="9484" width="9" style="86"/>
    <col min="9485" max="9485" width="9.25" style="86" customWidth="1"/>
    <col min="9486" max="9486" width="3.5" style="86" customWidth="1"/>
    <col min="9487" max="9488" width="12.625" style="86" customWidth="1"/>
    <col min="9489" max="9489" width="9" style="86"/>
    <col min="9490" max="9490" width="7.75" style="86" customWidth="1"/>
    <col min="9491" max="9491" width="13.125" style="86" customWidth="1"/>
    <col min="9492" max="9492" width="6.125" style="86" customWidth="1"/>
    <col min="9493" max="9493" width="9.75" style="86" customWidth="1"/>
    <col min="9494" max="9494" width="1.375" style="86" customWidth="1"/>
    <col min="9495" max="9734" width="9" style="86"/>
    <col min="9735" max="9735" width="1.375" style="86" customWidth="1"/>
    <col min="9736" max="9736" width="3.5" style="86" customWidth="1"/>
    <col min="9737" max="9737" width="22.125" style="86" customWidth="1"/>
    <col min="9738" max="9738" width="9.75" style="86" customWidth="1"/>
    <col min="9739" max="9739" width="7.375" style="86" customWidth="1"/>
    <col min="9740" max="9740" width="9" style="86"/>
    <col min="9741" max="9741" width="9.25" style="86" customWidth="1"/>
    <col min="9742" max="9742" width="3.5" style="86" customWidth="1"/>
    <col min="9743" max="9744" width="12.625" style="86" customWidth="1"/>
    <col min="9745" max="9745" width="9" style="86"/>
    <col min="9746" max="9746" width="7.75" style="86" customWidth="1"/>
    <col min="9747" max="9747" width="13.125" style="86" customWidth="1"/>
    <col min="9748" max="9748" width="6.125" style="86" customWidth="1"/>
    <col min="9749" max="9749" width="9.75" style="86" customWidth="1"/>
    <col min="9750" max="9750" width="1.375" style="86" customWidth="1"/>
    <col min="9751" max="9990" width="9" style="86"/>
    <col min="9991" max="9991" width="1.375" style="86" customWidth="1"/>
    <col min="9992" max="9992" width="3.5" style="86" customWidth="1"/>
    <col min="9993" max="9993" width="22.125" style="86" customWidth="1"/>
    <col min="9994" max="9994" width="9.75" style="86" customWidth="1"/>
    <col min="9995" max="9995" width="7.375" style="86" customWidth="1"/>
    <col min="9996" max="9996" width="9" style="86"/>
    <col min="9997" max="9997" width="9.25" style="86" customWidth="1"/>
    <col min="9998" max="9998" width="3.5" style="86" customWidth="1"/>
    <col min="9999" max="10000" width="12.625" style="86" customWidth="1"/>
    <col min="10001" max="10001" width="9" style="86"/>
    <col min="10002" max="10002" width="7.75" style="86" customWidth="1"/>
    <col min="10003" max="10003" width="13.125" style="86" customWidth="1"/>
    <col min="10004" max="10004" width="6.125" style="86" customWidth="1"/>
    <col min="10005" max="10005" width="9.75" style="86" customWidth="1"/>
    <col min="10006" max="10006" width="1.375" style="86" customWidth="1"/>
    <col min="10007" max="10246" width="9" style="86"/>
    <col min="10247" max="10247" width="1.375" style="86" customWidth="1"/>
    <col min="10248" max="10248" width="3.5" style="86" customWidth="1"/>
    <col min="10249" max="10249" width="22.125" style="86" customWidth="1"/>
    <col min="10250" max="10250" width="9.75" style="86" customWidth="1"/>
    <col min="10251" max="10251" width="7.375" style="86" customWidth="1"/>
    <col min="10252" max="10252" width="9" style="86"/>
    <col min="10253" max="10253" width="9.25" style="86" customWidth="1"/>
    <col min="10254" max="10254" width="3.5" style="86" customWidth="1"/>
    <col min="10255" max="10256" width="12.625" style="86" customWidth="1"/>
    <col min="10257" max="10257" width="9" style="86"/>
    <col min="10258" max="10258" width="7.75" style="86" customWidth="1"/>
    <col min="10259" max="10259" width="13.125" style="86" customWidth="1"/>
    <col min="10260" max="10260" width="6.125" style="86" customWidth="1"/>
    <col min="10261" max="10261" width="9.75" style="86" customWidth="1"/>
    <col min="10262" max="10262" width="1.375" style="86" customWidth="1"/>
    <col min="10263" max="10502" width="9" style="86"/>
    <col min="10503" max="10503" width="1.375" style="86" customWidth="1"/>
    <col min="10504" max="10504" width="3.5" style="86" customWidth="1"/>
    <col min="10505" max="10505" width="22.125" style="86" customWidth="1"/>
    <col min="10506" max="10506" width="9.75" style="86" customWidth="1"/>
    <col min="10507" max="10507" width="7.375" style="86" customWidth="1"/>
    <col min="10508" max="10508" width="9" style="86"/>
    <col min="10509" max="10509" width="9.25" style="86" customWidth="1"/>
    <col min="10510" max="10510" width="3.5" style="86" customWidth="1"/>
    <col min="10511" max="10512" width="12.625" style="86" customWidth="1"/>
    <col min="10513" max="10513" width="9" style="86"/>
    <col min="10514" max="10514" width="7.75" style="86" customWidth="1"/>
    <col min="10515" max="10515" width="13.125" style="86" customWidth="1"/>
    <col min="10516" max="10516" width="6.125" style="86" customWidth="1"/>
    <col min="10517" max="10517" width="9.75" style="86" customWidth="1"/>
    <col min="10518" max="10518" width="1.375" style="86" customWidth="1"/>
    <col min="10519" max="10758" width="9" style="86"/>
    <col min="10759" max="10759" width="1.375" style="86" customWidth="1"/>
    <col min="10760" max="10760" width="3.5" style="86" customWidth="1"/>
    <col min="10761" max="10761" width="22.125" style="86" customWidth="1"/>
    <col min="10762" max="10762" width="9.75" style="86" customWidth="1"/>
    <col min="10763" max="10763" width="7.375" style="86" customWidth="1"/>
    <col min="10764" max="10764" width="9" style="86"/>
    <col min="10765" max="10765" width="9.25" style="86" customWidth="1"/>
    <col min="10766" max="10766" width="3.5" style="86" customWidth="1"/>
    <col min="10767" max="10768" width="12.625" style="86" customWidth="1"/>
    <col min="10769" max="10769" width="9" style="86"/>
    <col min="10770" max="10770" width="7.75" style="86" customWidth="1"/>
    <col min="10771" max="10771" width="13.125" style="86" customWidth="1"/>
    <col min="10772" max="10772" width="6.125" style="86" customWidth="1"/>
    <col min="10773" max="10773" width="9.75" style="86" customWidth="1"/>
    <col min="10774" max="10774" width="1.375" style="86" customWidth="1"/>
    <col min="10775" max="11014" width="9" style="86"/>
    <col min="11015" max="11015" width="1.375" style="86" customWidth="1"/>
    <col min="11016" max="11016" width="3.5" style="86" customWidth="1"/>
    <col min="11017" max="11017" width="22.125" style="86" customWidth="1"/>
    <col min="11018" max="11018" width="9.75" style="86" customWidth="1"/>
    <col min="11019" max="11019" width="7.375" style="86" customWidth="1"/>
    <col min="11020" max="11020" width="9" style="86"/>
    <col min="11021" max="11021" width="9.25" style="86" customWidth="1"/>
    <col min="11022" max="11022" width="3.5" style="86" customWidth="1"/>
    <col min="11023" max="11024" width="12.625" style="86" customWidth="1"/>
    <col min="11025" max="11025" width="9" style="86"/>
    <col min="11026" max="11026" width="7.75" style="86" customWidth="1"/>
    <col min="11027" max="11027" width="13.125" style="86" customWidth="1"/>
    <col min="11028" max="11028" width="6.125" style="86" customWidth="1"/>
    <col min="11029" max="11029" width="9.75" style="86" customWidth="1"/>
    <col min="11030" max="11030" width="1.375" style="86" customWidth="1"/>
    <col min="11031" max="11270" width="9" style="86"/>
    <col min="11271" max="11271" width="1.375" style="86" customWidth="1"/>
    <col min="11272" max="11272" width="3.5" style="86" customWidth="1"/>
    <col min="11273" max="11273" width="22.125" style="86" customWidth="1"/>
    <col min="11274" max="11274" width="9.75" style="86" customWidth="1"/>
    <col min="11275" max="11275" width="7.375" style="86" customWidth="1"/>
    <col min="11276" max="11276" width="9" style="86"/>
    <col min="11277" max="11277" width="9.25" style="86" customWidth="1"/>
    <col min="11278" max="11278" width="3.5" style="86" customWidth="1"/>
    <col min="11279" max="11280" width="12.625" style="86" customWidth="1"/>
    <col min="11281" max="11281" width="9" style="86"/>
    <col min="11282" max="11282" width="7.75" style="86" customWidth="1"/>
    <col min="11283" max="11283" width="13.125" style="86" customWidth="1"/>
    <col min="11284" max="11284" width="6.125" style="86" customWidth="1"/>
    <col min="11285" max="11285" width="9.75" style="86" customWidth="1"/>
    <col min="11286" max="11286" width="1.375" style="86" customWidth="1"/>
    <col min="11287" max="11526" width="9" style="86"/>
    <col min="11527" max="11527" width="1.375" style="86" customWidth="1"/>
    <col min="11528" max="11528" width="3.5" style="86" customWidth="1"/>
    <col min="11529" max="11529" width="22.125" style="86" customWidth="1"/>
    <col min="11530" max="11530" width="9.75" style="86" customWidth="1"/>
    <col min="11531" max="11531" width="7.375" style="86" customWidth="1"/>
    <col min="11532" max="11532" width="9" style="86"/>
    <col min="11533" max="11533" width="9.25" style="86" customWidth="1"/>
    <col min="11534" max="11534" width="3.5" style="86" customWidth="1"/>
    <col min="11535" max="11536" width="12.625" style="86" customWidth="1"/>
    <col min="11537" max="11537" width="9" style="86"/>
    <col min="11538" max="11538" width="7.75" style="86" customWidth="1"/>
    <col min="11539" max="11539" width="13.125" style="86" customWidth="1"/>
    <col min="11540" max="11540" width="6.125" style="86" customWidth="1"/>
    <col min="11541" max="11541" width="9.75" style="86" customWidth="1"/>
    <col min="11542" max="11542" width="1.375" style="86" customWidth="1"/>
    <col min="11543" max="11782" width="9" style="86"/>
    <col min="11783" max="11783" width="1.375" style="86" customWidth="1"/>
    <col min="11784" max="11784" width="3.5" style="86" customWidth="1"/>
    <col min="11785" max="11785" width="22.125" style="86" customWidth="1"/>
    <col min="11786" max="11786" width="9.75" style="86" customWidth="1"/>
    <col min="11787" max="11787" width="7.375" style="86" customWidth="1"/>
    <col min="11788" max="11788" width="9" style="86"/>
    <col min="11789" max="11789" width="9.25" style="86" customWidth="1"/>
    <col min="11790" max="11790" width="3.5" style="86" customWidth="1"/>
    <col min="11791" max="11792" width="12.625" style="86" customWidth="1"/>
    <col min="11793" max="11793" width="9" style="86"/>
    <col min="11794" max="11794" width="7.75" style="86" customWidth="1"/>
    <col min="11795" max="11795" width="13.125" style="86" customWidth="1"/>
    <col min="11796" max="11796" width="6.125" style="86" customWidth="1"/>
    <col min="11797" max="11797" width="9.75" style="86" customWidth="1"/>
    <col min="11798" max="11798" width="1.375" style="86" customWidth="1"/>
    <col min="11799" max="12038" width="9" style="86"/>
    <col min="12039" max="12039" width="1.375" style="86" customWidth="1"/>
    <col min="12040" max="12040" width="3.5" style="86" customWidth="1"/>
    <col min="12041" max="12041" width="22.125" style="86" customWidth="1"/>
    <col min="12042" max="12042" width="9.75" style="86" customWidth="1"/>
    <col min="12043" max="12043" width="7.375" style="86" customWidth="1"/>
    <col min="12044" max="12044" width="9" style="86"/>
    <col min="12045" max="12045" width="9.25" style="86" customWidth="1"/>
    <col min="12046" max="12046" width="3.5" style="86" customWidth="1"/>
    <col min="12047" max="12048" width="12.625" style="86" customWidth="1"/>
    <col min="12049" max="12049" width="9" style="86"/>
    <col min="12050" max="12050" width="7.75" style="86" customWidth="1"/>
    <col min="12051" max="12051" width="13.125" style="86" customWidth="1"/>
    <col min="12052" max="12052" width="6.125" style="86" customWidth="1"/>
    <col min="12053" max="12053" width="9.75" style="86" customWidth="1"/>
    <col min="12054" max="12054" width="1.375" style="86" customWidth="1"/>
    <col min="12055" max="12294" width="9" style="86"/>
    <col min="12295" max="12295" width="1.375" style="86" customWidth="1"/>
    <col min="12296" max="12296" width="3.5" style="86" customWidth="1"/>
    <col min="12297" max="12297" width="22.125" style="86" customWidth="1"/>
    <col min="12298" max="12298" width="9.75" style="86" customWidth="1"/>
    <col min="12299" max="12299" width="7.375" style="86" customWidth="1"/>
    <col min="12300" max="12300" width="9" style="86"/>
    <col min="12301" max="12301" width="9.25" style="86" customWidth="1"/>
    <col min="12302" max="12302" width="3.5" style="86" customWidth="1"/>
    <col min="12303" max="12304" width="12.625" style="86" customWidth="1"/>
    <col min="12305" max="12305" width="9" style="86"/>
    <col min="12306" max="12306" width="7.75" style="86" customWidth="1"/>
    <col min="12307" max="12307" width="13.125" style="86" customWidth="1"/>
    <col min="12308" max="12308" width="6.125" style="86" customWidth="1"/>
    <col min="12309" max="12309" width="9.75" style="86" customWidth="1"/>
    <col min="12310" max="12310" width="1.375" style="86" customWidth="1"/>
    <col min="12311" max="12550" width="9" style="86"/>
    <col min="12551" max="12551" width="1.375" style="86" customWidth="1"/>
    <col min="12552" max="12552" width="3.5" style="86" customWidth="1"/>
    <col min="12553" max="12553" width="22.125" style="86" customWidth="1"/>
    <col min="12554" max="12554" width="9.75" style="86" customWidth="1"/>
    <col min="12555" max="12555" width="7.375" style="86" customWidth="1"/>
    <col min="12556" max="12556" width="9" style="86"/>
    <col min="12557" max="12557" width="9.25" style="86" customWidth="1"/>
    <col min="12558" max="12558" width="3.5" style="86" customWidth="1"/>
    <col min="12559" max="12560" width="12.625" style="86" customWidth="1"/>
    <col min="12561" max="12561" width="9" style="86"/>
    <col min="12562" max="12562" width="7.75" style="86" customWidth="1"/>
    <col min="12563" max="12563" width="13.125" style="86" customWidth="1"/>
    <col min="12564" max="12564" width="6.125" style="86" customWidth="1"/>
    <col min="12565" max="12565" width="9.75" style="86" customWidth="1"/>
    <col min="12566" max="12566" width="1.375" style="86" customWidth="1"/>
    <col min="12567" max="12806" width="9" style="86"/>
    <col min="12807" max="12807" width="1.375" style="86" customWidth="1"/>
    <col min="12808" max="12808" width="3.5" style="86" customWidth="1"/>
    <col min="12809" max="12809" width="22.125" style="86" customWidth="1"/>
    <col min="12810" max="12810" width="9.75" style="86" customWidth="1"/>
    <col min="12811" max="12811" width="7.375" style="86" customWidth="1"/>
    <col min="12812" max="12812" width="9" style="86"/>
    <col min="12813" max="12813" width="9.25" style="86" customWidth="1"/>
    <col min="12814" max="12814" width="3.5" style="86" customWidth="1"/>
    <col min="12815" max="12816" width="12.625" style="86" customWidth="1"/>
    <col min="12817" max="12817" width="9" style="86"/>
    <col min="12818" max="12818" width="7.75" style="86" customWidth="1"/>
    <col min="12819" max="12819" width="13.125" style="86" customWidth="1"/>
    <col min="12820" max="12820" width="6.125" style="86" customWidth="1"/>
    <col min="12821" max="12821" width="9.75" style="86" customWidth="1"/>
    <col min="12822" max="12822" width="1.375" style="86" customWidth="1"/>
    <col min="12823" max="13062" width="9" style="86"/>
    <col min="13063" max="13063" width="1.375" style="86" customWidth="1"/>
    <col min="13064" max="13064" width="3.5" style="86" customWidth="1"/>
    <col min="13065" max="13065" width="22.125" style="86" customWidth="1"/>
    <col min="13066" max="13066" width="9.75" style="86" customWidth="1"/>
    <col min="13067" max="13067" width="7.375" style="86" customWidth="1"/>
    <col min="13068" max="13068" width="9" style="86"/>
    <col min="13069" max="13069" width="9.25" style="86" customWidth="1"/>
    <col min="13070" max="13070" width="3.5" style="86" customWidth="1"/>
    <col min="13071" max="13072" width="12.625" style="86" customWidth="1"/>
    <col min="13073" max="13073" width="9" style="86"/>
    <col min="13074" max="13074" width="7.75" style="86" customWidth="1"/>
    <col min="13075" max="13075" width="13.125" style="86" customWidth="1"/>
    <col min="13076" max="13076" width="6.125" style="86" customWidth="1"/>
    <col min="13077" max="13077" width="9.75" style="86" customWidth="1"/>
    <col min="13078" max="13078" width="1.375" style="86" customWidth="1"/>
    <col min="13079" max="13318" width="9" style="86"/>
    <col min="13319" max="13319" width="1.375" style="86" customWidth="1"/>
    <col min="13320" max="13320" width="3.5" style="86" customWidth="1"/>
    <col min="13321" max="13321" width="22.125" style="86" customWidth="1"/>
    <col min="13322" max="13322" width="9.75" style="86" customWidth="1"/>
    <col min="13323" max="13323" width="7.375" style="86" customWidth="1"/>
    <col min="13324" max="13324" width="9" style="86"/>
    <col min="13325" max="13325" width="9.25" style="86" customWidth="1"/>
    <col min="13326" max="13326" width="3.5" style="86" customWidth="1"/>
    <col min="13327" max="13328" width="12.625" style="86" customWidth="1"/>
    <col min="13329" max="13329" width="9" style="86"/>
    <col min="13330" max="13330" width="7.75" style="86" customWidth="1"/>
    <col min="13331" max="13331" width="13.125" style="86" customWidth="1"/>
    <col min="13332" max="13332" width="6.125" style="86" customWidth="1"/>
    <col min="13333" max="13333" width="9.75" style="86" customWidth="1"/>
    <col min="13334" max="13334" width="1.375" style="86" customWidth="1"/>
    <col min="13335" max="13574" width="9" style="86"/>
    <col min="13575" max="13575" width="1.375" style="86" customWidth="1"/>
    <col min="13576" max="13576" width="3.5" style="86" customWidth="1"/>
    <col min="13577" max="13577" width="22.125" style="86" customWidth="1"/>
    <col min="13578" max="13578" width="9.75" style="86" customWidth="1"/>
    <col min="13579" max="13579" width="7.375" style="86" customWidth="1"/>
    <col min="13580" max="13580" width="9" style="86"/>
    <col min="13581" max="13581" width="9.25" style="86" customWidth="1"/>
    <col min="13582" max="13582" width="3.5" style="86" customWidth="1"/>
    <col min="13583" max="13584" width="12.625" style="86" customWidth="1"/>
    <col min="13585" max="13585" width="9" style="86"/>
    <col min="13586" max="13586" width="7.75" style="86" customWidth="1"/>
    <col min="13587" max="13587" width="13.125" style="86" customWidth="1"/>
    <col min="13588" max="13588" width="6.125" style="86" customWidth="1"/>
    <col min="13589" max="13589" width="9.75" style="86" customWidth="1"/>
    <col min="13590" max="13590" width="1.375" style="86" customWidth="1"/>
    <col min="13591" max="13830" width="9" style="86"/>
    <col min="13831" max="13831" width="1.375" style="86" customWidth="1"/>
    <col min="13832" max="13832" width="3.5" style="86" customWidth="1"/>
    <col min="13833" max="13833" width="22.125" style="86" customWidth="1"/>
    <col min="13834" max="13834" width="9.75" style="86" customWidth="1"/>
    <col min="13835" max="13835" width="7.375" style="86" customWidth="1"/>
    <col min="13836" max="13836" width="9" style="86"/>
    <col min="13837" max="13837" width="9.25" style="86" customWidth="1"/>
    <col min="13838" max="13838" width="3.5" style="86" customWidth="1"/>
    <col min="13839" max="13840" width="12.625" style="86" customWidth="1"/>
    <col min="13841" max="13841" width="9" style="86"/>
    <col min="13842" max="13842" width="7.75" style="86" customWidth="1"/>
    <col min="13843" max="13843" width="13.125" style="86" customWidth="1"/>
    <col min="13844" max="13844" width="6.125" style="86" customWidth="1"/>
    <col min="13845" max="13845" width="9.75" style="86" customWidth="1"/>
    <col min="13846" max="13846" width="1.375" style="86" customWidth="1"/>
    <col min="13847" max="14086" width="9" style="86"/>
    <col min="14087" max="14087" width="1.375" style="86" customWidth="1"/>
    <col min="14088" max="14088" width="3.5" style="86" customWidth="1"/>
    <col min="14089" max="14089" width="22.125" style="86" customWidth="1"/>
    <col min="14090" max="14090" width="9.75" style="86" customWidth="1"/>
    <col min="14091" max="14091" width="7.375" style="86" customWidth="1"/>
    <col min="14092" max="14092" width="9" style="86"/>
    <col min="14093" max="14093" width="9.25" style="86" customWidth="1"/>
    <col min="14094" max="14094" width="3.5" style="86" customWidth="1"/>
    <col min="14095" max="14096" width="12.625" style="86" customWidth="1"/>
    <col min="14097" max="14097" width="9" style="86"/>
    <col min="14098" max="14098" width="7.75" style="86" customWidth="1"/>
    <col min="14099" max="14099" width="13.125" style="86" customWidth="1"/>
    <col min="14100" max="14100" width="6.125" style="86" customWidth="1"/>
    <col min="14101" max="14101" width="9.75" style="86" customWidth="1"/>
    <col min="14102" max="14102" width="1.375" style="86" customWidth="1"/>
    <col min="14103" max="14342" width="9" style="86"/>
    <col min="14343" max="14343" width="1.375" style="86" customWidth="1"/>
    <col min="14344" max="14344" width="3.5" style="86" customWidth="1"/>
    <col min="14345" max="14345" width="22.125" style="86" customWidth="1"/>
    <col min="14346" max="14346" width="9.75" style="86" customWidth="1"/>
    <col min="14347" max="14347" width="7.375" style="86" customWidth="1"/>
    <col min="14348" max="14348" width="9" style="86"/>
    <col min="14349" max="14349" width="9.25" style="86" customWidth="1"/>
    <col min="14350" max="14350" width="3.5" style="86" customWidth="1"/>
    <col min="14351" max="14352" width="12.625" style="86" customWidth="1"/>
    <col min="14353" max="14353" width="9" style="86"/>
    <col min="14354" max="14354" width="7.75" style="86" customWidth="1"/>
    <col min="14355" max="14355" width="13.125" style="86" customWidth="1"/>
    <col min="14356" max="14356" width="6.125" style="86" customWidth="1"/>
    <col min="14357" max="14357" width="9.75" style="86" customWidth="1"/>
    <col min="14358" max="14358" width="1.375" style="86" customWidth="1"/>
    <col min="14359" max="14598" width="9" style="86"/>
    <col min="14599" max="14599" width="1.375" style="86" customWidth="1"/>
    <col min="14600" max="14600" width="3.5" style="86" customWidth="1"/>
    <col min="14601" max="14601" width="22.125" style="86" customWidth="1"/>
    <col min="14602" max="14602" width="9.75" style="86" customWidth="1"/>
    <col min="14603" max="14603" width="7.375" style="86" customWidth="1"/>
    <col min="14604" max="14604" width="9" style="86"/>
    <col min="14605" max="14605" width="9.25" style="86" customWidth="1"/>
    <col min="14606" max="14606" width="3.5" style="86" customWidth="1"/>
    <col min="14607" max="14608" width="12.625" style="86" customWidth="1"/>
    <col min="14609" max="14609" width="9" style="86"/>
    <col min="14610" max="14610" width="7.75" style="86" customWidth="1"/>
    <col min="14611" max="14611" width="13.125" style="86" customWidth="1"/>
    <col min="14612" max="14612" width="6.125" style="86" customWidth="1"/>
    <col min="14613" max="14613" width="9.75" style="86" customWidth="1"/>
    <col min="14614" max="14614" width="1.375" style="86" customWidth="1"/>
    <col min="14615" max="14854" width="9" style="86"/>
    <col min="14855" max="14855" width="1.375" style="86" customWidth="1"/>
    <col min="14856" max="14856" width="3.5" style="86" customWidth="1"/>
    <col min="14857" max="14857" width="22.125" style="86" customWidth="1"/>
    <col min="14858" max="14858" width="9.75" style="86" customWidth="1"/>
    <col min="14859" max="14859" width="7.375" style="86" customWidth="1"/>
    <col min="14860" max="14860" width="9" style="86"/>
    <col min="14861" max="14861" width="9.25" style="86" customWidth="1"/>
    <col min="14862" max="14862" width="3.5" style="86" customWidth="1"/>
    <col min="14863" max="14864" width="12.625" style="86" customWidth="1"/>
    <col min="14865" max="14865" width="9" style="86"/>
    <col min="14866" max="14866" width="7.75" style="86" customWidth="1"/>
    <col min="14867" max="14867" width="13.125" style="86" customWidth="1"/>
    <col min="14868" max="14868" width="6.125" style="86" customWidth="1"/>
    <col min="14869" max="14869" width="9.75" style="86" customWidth="1"/>
    <col min="14870" max="14870" width="1.375" style="86" customWidth="1"/>
    <col min="14871" max="15110" width="9" style="86"/>
    <col min="15111" max="15111" width="1.375" style="86" customWidth="1"/>
    <col min="15112" max="15112" width="3.5" style="86" customWidth="1"/>
    <col min="15113" max="15113" width="22.125" style="86" customWidth="1"/>
    <col min="15114" max="15114" width="9.75" style="86" customWidth="1"/>
    <col min="15115" max="15115" width="7.375" style="86" customWidth="1"/>
    <col min="15116" max="15116" width="9" style="86"/>
    <col min="15117" max="15117" width="9.25" style="86" customWidth="1"/>
    <col min="15118" max="15118" width="3.5" style="86" customWidth="1"/>
    <col min="15119" max="15120" width="12.625" style="86" customWidth="1"/>
    <col min="15121" max="15121" width="9" style="86"/>
    <col min="15122" max="15122" width="7.75" style="86" customWidth="1"/>
    <col min="15123" max="15123" width="13.125" style="86" customWidth="1"/>
    <col min="15124" max="15124" width="6.125" style="86" customWidth="1"/>
    <col min="15125" max="15125" width="9.75" style="86" customWidth="1"/>
    <col min="15126" max="15126" width="1.375" style="86" customWidth="1"/>
    <col min="15127" max="15366" width="9" style="86"/>
    <col min="15367" max="15367" width="1.375" style="86" customWidth="1"/>
    <col min="15368" max="15368" width="3.5" style="86" customWidth="1"/>
    <col min="15369" max="15369" width="22.125" style="86" customWidth="1"/>
    <col min="15370" max="15370" width="9.75" style="86" customWidth="1"/>
    <col min="15371" max="15371" width="7.375" style="86" customWidth="1"/>
    <col min="15372" max="15372" width="9" style="86"/>
    <col min="15373" max="15373" width="9.25" style="86" customWidth="1"/>
    <col min="15374" max="15374" width="3.5" style="86" customWidth="1"/>
    <col min="15375" max="15376" width="12.625" style="86" customWidth="1"/>
    <col min="15377" max="15377" width="9" style="86"/>
    <col min="15378" max="15378" width="7.75" style="86" customWidth="1"/>
    <col min="15379" max="15379" width="13.125" style="86" customWidth="1"/>
    <col min="15380" max="15380" width="6.125" style="86" customWidth="1"/>
    <col min="15381" max="15381" width="9.75" style="86" customWidth="1"/>
    <col min="15382" max="15382" width="1.375" style="86" customWidth="1"/>
    <col min="15383" max="15622" width="9" style="86"/>
    <col min="15623" max="15623" width="1.375" style="86" customWidth="1"/>
    <col min="15624" max="15624" width="3.5" style="86" customWidth="1"/>
    <col min="15625" max="15625" width="22.125" style="86" customWidth="1"/>
    <col min="15626" max="15626" width="9.75" style="86" customWidth="1"/>
    <col min="15627" max="15627" width="7.375" style="86" customWidth="1"/>
    <col min="15628" max="15628" width="9" style="86"/>
    <col min="15629" max="15629" width="9.25" style="86" customWidth="1"/>
    <col min="15630" max="15630" width="3.5" style="86" customWidth="1"/>
    <col min="15631" max="15632" width="12.625" style="86" customWidth="1"/>
    <col min="15633" max="15633" width="9" style="86"/>
    <col min="15634" max="15634" width="7.75" style="86" customWidth="1"/>
    <col min="15635" max="15635" width="13.125" style="86" customWidth="1"/>
    <col min="15636" max="15636" width="6.125" style="86" customWidth="1"/>
    <col min="15637" max="15637" width="9.75" style="86" customWidth="1"/>
    <col min="15638" max="15638" width="1.375" style="86" customWidth="1"/>
    <col min="15639" max="15878" width="9" style="86"/>
    <col min="15879" max="15879" width="1.375" style="86" customWidth="1"/>
    <col min="15880" max="15880" width="3.5" style="86" customWidth="1"/>
    <col min="15881" max="15881" width="22.125" style="86" customWidth="1"/>
    <col min="15882" max="15882" width="9.75" style="86" customWidth="1"/>
    <col min="15883" max="15883" width="7.375" style="86" customWidth="1"/>
    <col min="15884" max="15884" width="9" style="86"/>
    <col min="15885" max="15885" width="9.25" style="86" customWidth="1"/>
    <col min="15886" max="15886" width="3.5" style="86" customWidth="1"/>
    <col min="15887" max="15888" width="12.625" style="86" customWidth="1"/>
    <col min="15889" max="15889" width="9" style="86"/>
    <col min="15890" max="15890" width="7.75" style="86" customWidth="1"/>
    <col min="15891" max="15891" width="13.125" style="86" customWidth="1"/>
    <col min="15892" max="15892" width="6.125" style="86" customWidth="1"/>
    <col min="15893" max="15893" width="9.75" style="86" customWidth="1"/>
    <col min="15894" max="15894" width="1.375" style="86" customWidth="1"/>
    <col min="15895" max="16134" width="9" style="86"/>
    <col min="16135" max="16135" width="1.375" style="86" customWidth="1"/>
    <col min="16136" max="16136" width="3.5" style="86" customWidth="1"/>
    <col min="16137" max="16137" width="22.125" style="86" customWidth="1"/>
    <col min="16138" max="16138" width="9.75" style="86" customWidth="1"/>
    <col min="16139" max="16139" width="7.375" style="86" customWidth="1"/>
    <col min="16140" max="16140" width="9" style="86"/>
    <col min="16141" max="16141" width="9.25" style="86" customWidth="1"/>
    <col min="16142" max="16142" width="3.5" style="86" customWidth="1"/>
    <col min="16143" max="16144" width="12.625" style="86" customWidth="1"/>
    <col min="16145" max="16145" width="9" style="86"/>
    <col min="16146" max="16146" width="7.75" style="86" customWidth="1"/>
    <col min="16147" max="16147" width="13.125" style="86" customWidth="1"/>
    <col min="16148" max="16148" width="6.125" style="86" customWidth="1"/>
    <col min="16149" max="16149" width="9.75" style="86" customWidth="1"/>
    <col min="16150" max="16150" width="1.375" style="86" customWidth="1"/>
    <col min="16151" max="16384" width="9" style="86"/>
  </cols>
  <sheetData>
    <row r="1" spans="1:22" ht="9.9499999999999993" customHeight="1" x14ac:dyDescent="0.15">
      <c r="A1" s="86" t="s">
        <v>361</v>
      </c>
    </row>
    <row r="2" spans="1:22" ht="24.95" customHeight="1" x14ac:dyDescent="0.15">
      <c r="B2" s="1" t="s">
        <v>402</v>
      </c>
      <c r="C2" s="88"/>
      <c r="D2" s="13"/>
      <c r="E2" s="13"/>
      <c r="F2" s="88"/>
      <c r="G2" s="153"/>
      <c r="H2" s="163"/>
      <c r="I2" s="153"/>
      <c r="J2" s="153"/>
      <c r="K2" s="153"/>
      <c r="L2" s="153"/>
      <c r="M2" s="153"/>
      <c r="N2" s="153"/>
      <c r="O2" s="13"/>
    </row>
    <row r="3" spans="1:22" ht="15" customHeight="1" thickBot="1" x14ac:dyDescent="0.2">
      <c r="B3" s="86" t="s">
        <v>228</v>
      </c>
      <c r="I3" s="13" t="s">
        <v>229</v>
      </c>
      <c r="P3" s="86" t="s">
        <v>249</v>
      </c>
    </row>
    <row r="4" spans="1:22" ht="15" customHeight="1" x14ac:dyDescent="0.15">
      <c r="B4" s="315" t="s">
        <v>89</v>
      </c>
      <c r="C4" s="202" t="s">
        <v>190</v>
      </c>
      <c r="D4" s="202" t="s">
        <v>152</v>
      </c>
      <c r="E4" s="202" t="s">
        <v>153</v>
      </c>
      <c r="F4" s="397" t="s">
        <v>24</v>
      </c>
      <c r="G4" s="190" t="s">
        <v>154</v>
      </c>
      <c r="H4" s="203"/>
      <c r="I4" s="962" t="s">
        <v>89</v>
      </c>
      <c r="J4" s="960" t="s">
        <v>194</v>
      </c>
      <c r="K4" s="374" t="s">
        <v>191</v>
      </c>
      <c r="L4" s="374" t="s">
        <v>155</v>
      </c>
      <c r="M4" s="970" t="s">
        <v>24</v>
      </c>
      <c r="N4" s="972" t="s">
        <v>154</v>
      </c>
      <c r="O4" s="221"/>
      <c r="P4" s="316" t="s">
        <v>197</v>
      </c>
      <c r="Q4" s="317" t="s">
        <v>198</v>
      </c>
      <c r="R4" s="317" t="s">
        <v>199</v>
      </c>
      <c r="S4" s="317" t="s">
        <v>200</v>
      </c>
      <c r="T4" s="964" t="s">
        <v>201</v>
      </c>
      <c r="U4" s="850"/>
      <c r="V4" s="318" t="s">
        <v>202</v>
      </c>
    </row>
    <row r="5" spans="1:22" ht="15" customHeight="1" x14ac:dyDescent="0.15">
      <c r="B5" s="798" t="s">
        <v>186</v>
      </c>
      <c r="C5" s="107"/>
      <c r="D5" s="85"/>
      <c r="E5" s="96"/>
      <c r="F5" s="107"/>
      <c r="G5" s="191">
        <f t="shared" ref="G5:G6" si="0">D5*F5</f>
        <v>0</v>
      </c>
      <c r="H5" s="204"/>
      <c r="I5" s="963"/>
      <c r="J5" s="961"/>
      <c r="K5" s="375" t="s">
        <v>156</v>
      </c>
      <c r="L5" s="375" t="s">
        <v>306</v>
      </c>
      <c r="M5" s="971"/>
      <c r="N5" s="973"/>
      <c r="O5" s="221"/>
      <c r="P5" s="319" t="s">
        <v>484</v>
      </c>
      <c r="Q5" s="388"/>
      <c r="R5" s="389" t="s">
        <v>485</v>
      </c>
      <c r="S5" s="388"/>
      <c r="T5" s="965" t="s">
        <v>486</v>
      </c>
      <c r="U5" s="956"/>
      <c r="V5" s="567">
        <v>5806.666666666667</v>
      </c>
    </row>
    <row r="6" spans="1:22" ht="15" customHeight="1" x14ac:dyDescent="0.15">
      <c r="B6" s="799"/>
      <c r="C6" s="85"/>
      <c r="D6" s="85"/>
      <c r="E6" s="96"/>
      <c r="F6" s="85"/>
      <c r="G6" s="192">
        <f t="shared" si="0"/>
        <v>0</v>
      </c>
      <c r="H6" s="204"/>
      <c r="I6" s="966" t="s">
        <v>193</v>
      </c>
      <c r="J6" s="353" t="s">
        <v>303</v>
      </c>
      <c r="K6" s="376">
        <v>10.6</v>
      </c>
      <c r="L6" s="376">
        <v>13</v>
      </c>
      <c r="M6" s="376">
        <v>84.7</v>
      </c>
      <c r="N6" s="377">
        <f>K6*L6*M6</f>
        <v>11671.66</v>
      </c>
      <c r="O6" s="221"/>
      <c r="P6" s="319"/>
      <c r="Q6" s="188"/>
      <c r="R6" s="216"/>
      <c r="S6" s="188"/>
      <c r="T6" s="955"/>
      <c r="U6" s="956"/>
      <c r="V6" s="211"/>
    </row>
    <row r="7" spans="1:22" ht="15" customHeight="1" thickBot="1" x14ac:dyDescent="0.2">
      <c r="B7" s="931"/>
      <c r="C7" s="193" t="s">
        <v>157</v>
      </c>
      <c r="D7" s="193"/>
      <c r="E7" s="193"/>
      <c r="F7" s="193"/>
      <c r="G7" s="194">
        <f>SUM(G5:G6)</f>
        <v>0</v>
      </c>
      <c r="H7" s="204"/>
      <c r="I7" s="967"/>
      <c r="J7" s="353" t="s">
        <v>304</v>
      </c>
      <c r="K7" s="376">
        <v>5.4</v>
      </c>
      <c r="L7" s="376">
        <f>5+6.5</f>
        <v>11.5</v>
      </c>
      <c r="M7" s="376">
        <v>84.7</v>
      </c>
      <c r="N7" s="377">
        <f t="shared" ref="N7:N11" si="1">K7*L7*M7</f>
        <v>5259.87</v>
      </c>
      <c r="O7" s="221"/>
      <c r="P7" s="319"/>
      <c r="Q7" s="188"/>
      <c r="R7" s="216"/>
      <c r="S7" s="188"/>
      <c r="T7" s="955"/>
      <c r="U7" s="956"/>
      <c r="V7" s="211"/>
    </row>
    <row r="8" spans="1:22" ht="15" customHeight="1" thickTop="1" x14ac:dyDescent="0.15">
      <c r="B8" s="930" t="s">
        <v>184</v>
      </c>
      <c r="C8" s="85" t="s">
        <v>518</v>
      </c>
      <c r="D8" s="85">
        <v>10</v>
      </c>
      <c r="E8" s="96" t="s">
        <v>290</v>
      </c>
      <c r="F8" s="85">
        <v>3840</v>
      </c>
      <c r="G8" s="192">
        <f>D8*F8</f>
        <v>38400</v>
      </c>
      <c r="H8" s="204"/>
      <c r="I8" s="967"/>
      <c r="J8" s="353" t="s">
        <v>412</v>
      </c>
      <c r="K8" s="376">
        <v>1.2</v>
      </c>
      <c r="L8" s="376">
        <v>3</v>
      </c>
      <c r="M8" s="376">
        <v>84.7</v>
      </c>
      <c r="N8" s="377">
        <f t="shared" si="1"/>
        <v>304.91999999999996</v>
      </c>
      <c r="O8" s="221"/>
      <c r="P8" s="319"/>
      <c r="Q8" s="188"/>
      <c r="R8" s="216"/>
      <c r="S8" s="188"/>
      <c r="T8" s="955"/>
      <c r="U8" s="956"/>
      <c r="V8" s="211"/>
    </row>
    <row r="9" spans="1:22" ht="15" customHeight="1" x14ac:dyDescent="0.15">
      <c r="B9" s="799"/>
      <c r="C9" s="85"/>
      <c r="D9" s="85"/>
      <c r="E9" s="96"/>
      <c r="F9" s="85"/>
      <c r="G9" s="192">
        <f>D9*F9</f>
        <v>0</v>
      </c>
      <c r="H9" s="204"/>
      <c r="I9" s="967"/>
      <c r="J9" s="385" t="s">
        <v>307</v>
      </c>
      <c r="K9" s="386">
        <v>3.5</v>
      </c>
      <c r="L9" s="386">
        <v>5</v>
      </c>
      <c r="M9" s="376">
        <v>84.7</v>
      </c>
      <c r="N9" s="387">
        <f t="shared" si="1"/>
        <v>1482.25</v>
      </c>
      <c r="O9" s="221"/>
      <c r="P9" s="319"/>
      <c r="Q9" s="188"/>
      <c r="R9" s="216"/>
      <c r="S9" s="188"/>
      <c r="T9" s="955"/>
      <c r="U9" s="956"/>
      <c r="V9" s="211"/>
    </row>
    <row r="10" spans="1:22" ht="15" customHeight="1" x14ac:dyDescent="0.15">
      <c r="B10" s="799"/>
      <c r="C10" s="85"/>
      <c r="D10" s="85"/>
      <c r="E10" s="96"/>
      <c r="F10" s="85"/>
      <c r="G10" s="192">
        <f>D10*F10</f>
        <v>0</v>
      </c>
      <c r="H10" s="204"/>
      <c r="I10" s="967"/>
      <c r="J10" s="391"/>
      <c r="K10" s="392"/>
      <c r="L10" s="392"/>
      <c r="M10" s="376"/>
      <c r="N10" s="393"/>
      <c r="O10" s="221"/>
      <c r="P10" s="319"/>
      <c r="Q10" s="388"/>
      <c r="R10" s="389"/>
      <c r="S10" s="388"/>
      <c r="T10" s="390"/>
      <c r="U10" s="371"/>
      <c r="V10" s="211"/>
    </row>
    <row r="11" spans="1:22" ht="15" customHeight="1" thickBot="1" x14ac:dyDescent="0.2">
      <c r="B11" s="931"/>
      <c r="C11" s="195" t="s">
        <v>158</v>
      </c>
      <c r="D11" s="196"/>
      <c r="E11" s="196"/>
      <c r="F11" s="196"/>
      <c r="G11" s="197">
        <f>SUM(G8:G10)</f>
        <v>38400</v>
      </c>
      <c r="H11" s="204"/>
      <c r="I11" s="967"/>
      <c r="J11" s="394" t="s">
        <v>308</v>
      </c>
      <c r="K11" s="395">
        <v>2</v>
      </c>
      <c r="L11" s="395">
        <v>3.5</v>
      </c>
      <c r="M11" s="376">
        <v>84.7</v>
      </c>
      <c r="N11" s="396">
        <f t="shared" si="1"/>
        <v>592.9</v>
      </c>
      <c r="O11" s="221"/>
      <c r="P11" s="319"/>
      <c r="Q11" s="188"/>
      <c r="R11" s="216"/>
      <c r="S11" s="188"/>
      <c r="T11" s="955"/>
      <c r="U11" s="956"/>
      <c r="V11" s="211"/>
    </row>
    <row r="12" spans="1:22" ht="15" customHeight="1" thickTop="1" thickBot="1" x14ac:dyDescent="0.2">
      <c r="B12" s="930" t="s">
        <v>185</v>
      </c>
      <c r="C12" s="85" t="s">
        <v>519</v>
      </c>
      <c r="D12" s="85">
        <v>350</v>
      </c>
      <c r="E12" s="96" t="s">
        <v>301</v>
      </c>
      <c r="F12" s="85">
        <f>3220/20</f>
        <v>161</v>
      </c>
      <c r="G12" s="192">
        <f>D12*F12</f>
        <v>56350</v>
      </c>
      <c r="H12" s="204"/>
      <c r="I12" s="968"/>
      <c r="J12" s="372" t="s">
        <v>254</v>
      </c>
      <c r="K12" s="373">
        <f>SUM(K6:K9)</f>
        <v>20.7</v>
      </c>
      <c r="L12" s="373">
        <f>SUM(L6:L11)</f>
        <v>36</v>
      </c>
      <c r="M12" s="373"/>
      <c r="N12" s="378">
        <f>SUM(N6:N11)</f>
        <v>19311.599999999999</v>
      </c>
      <c r="O12" s="221"/>
      <c r="P12" s="319"/>
      <c r="Q12" s="188"/>
      <c r="R12" s="216"/>
      <c r="S12" s="188"/>
      <c r="T12" s="955"/>
      <c r="U12" s="956"/>
      <c r="V12" s="211"/>
    </row>
    <row r="13" spans="1:22" ht="15" customHeight="1" thickTop="1" x14ac:dyDescent="0.15">
      <c r="B13" s="799"/>
      <c r="C13" s="85"/>
      <c r="D13" s="85"/>
      <c r="E13" s="96"/>
      <c r="F13" s="85"/>
      <c r="G13" s="192">
        <f>D13*F13</f>
        <v>0</v>
      </c>
      <c r="H13" s="204"/>
      <c r="I13" s="939" t="s">
        <v>255</v>
      </c>
      <c r="J13" s="353" t="s">
        <v>305</v>
      </c>
      <c r="K13" s="376">
        <v>2.8</v>
      </c>
      <c r="L13" s="376">
        <v>3.3</v>
      </c>
      <c r="M13" s="376">
        <v>158.4</v>
      </c>
      <c r="N13" s="377">
        <f>K13*L13*M13</f>
        <v>1463.6159999999998</v>
      </c>
      <c r="O13" s="221"/>
      <c r="P13" s="319"/>
      <c r="Q13" s="188"/>
      <c r="R13" s="216"/>
      <c r="S13" s="188"/>
      <c r="T13" s="955"/>
      <c r="U13" s="956"/>
      <c r="V13" s="211"/>
    </row>
    <row r="14" spans="1:22" ht="15" customHeight="1" x14ac:dyDescent="0.15">
      <c r="B14" s="799"/>
      <c r="C14" s="85"/>
      <c r="D14" s="85"/>
      <c r="E14" s="96"/>
      <c r="F14" s="85"/>
      <c r="G14" s="192">
        <f>D14*F14</f>
        <v>0</v>
      </c>
      <c r="H14" s="204"/>
      <c r="I14" s="940"/>
      <c r="J14" s="353"/>
      <c r="K14" s="376"/>
      <c r="L14" s="376"/>
      <c r="M14" s="376"/>
      <c r="N14" s="377">
        <f t="shared" ref="N14:N15" si="2">K14*L14*M14</f>
        <v>0</v>
      </c>
      <c r="O14" s="221"/>
      <c r="P14" s="319"/>
      <c r="Q14" s="188"/>
      <c r="R14" s="216"/>
      <c r="S14" s="188"/>
      <c r="T14" s="955"/>
      <c r="U14" s="956"/>
      <c r="V14" s="211"/>
    </row>
    <row r="15" spans="1:22" ht="15" customHeight="1" x14ac:dyDescent="0.15">
      <c r="B15" s="799"/>
      <c r="C15" s="85"/>
      <c r="D15" s="85"/>
      <c r="E15" s="85"/>
      <c r="F15" s="85"/>
      <c r="G15" s="192">
        <f t="shared" ref="G15" si="3">D15*F15</f>
        <v>0</v>
      </c>
      <c r="H15" s="204"/>
      <c r="I15" s="940"/>
      <c r="J15" s="353"/>
      <c r="K15" s="376"/>
      <c r="L15" s="376"/>
      <c r="M15" s="376"/>
      <c r="N15" s="377">
        <f t="shared" si="2"/>
        <v>0</v>
      </c>
      <c r="O15" s="221"/>
      <c r="P15" s="319"/>
      <c r="Q15" s="188"/>
      <c r="R15" s="216"/>
      <c r="S15" s="188"/>
      <c r="T15" s="955"/>
      <c r="U15" s="956"/>
      <c r="V15" s="211"/>
    </row>
    <row r="16" spans="1:22" ht="15" customHeight="1" thickBot="1" x14ac:dyDescent="0.2">
      <c r="B16" s="931"/>
      <c r="C16" s="195" t="s">
        <v>158</v>
      </c>
      <c r="D16" s="196"/>
      <c r="E16" s="196"/>
      <c r="F16" s="196"/>
      <c r="G16" s="197">
        <f>SUM(G12:G15)</f>
        <v>56350</v>
      </c>
      <c r="H16" s="204"/>
      <c r="I16" s="941"/>
      <c r="J16" s="320" t="s">
        <v>254</v>
      </c>
      <c r="K16" s="207">
        <f>SUM(K13:K15)</f>
        <v>2.8</v>
      </c>
      <c r="L16" s="207">
        <f>SUM(L13:L15)</f>
        <v>3.3</v>
      </c>
      <c r="M16" s="207"/>
      <c r="N16" s="379">
        <f>SUM(N13:N15)</f>
        <v>1463.6159999999998</v>
      </c>
      <c r="O16" s="221"/>
      <c r="P16" s="319"/>
      <c r="Q16" s="188"/>
      <c r="R16" s="216"/>
      <c r="S16" s="188"/>
      <c r="T16" s="955"/>
      <c r="U16" s="956"/>
      <c r="V16" s="211"/>
    </row>
    <row r="17" spans="2:22" ht="15" customHeight="1" thickTop="1" x14ac:dyDescent="0.15">
      <c r="B17" s="930" t="s">
        <v>187</v>
      </c>
      <c r="C17" s="85"/>
      <c r="D17" s="85"/>
      <c r="E17" s="96"/>
      <c r="F17" s="85"/>
      <c r="G17" s="192">
        <f t="shared" ref="G17" si="4">D17*F17</f>
        <v>0</v>
      </c>
      <c r="H17" s="204"/>
      <c r="I17" s="939" t="s">
        <v>195</v>
      </c>
      <c r="J17" s="353"/>
      <c r="K17" s="376">
        <v>0</v>
      </c>
      <c r="L17" s="376"/>
      <c r="M17" s="376"/>
      <c r="N17" s="377">
        <f>K17*L17*M17</f>
        <v>0</v>
      </c>
      <c r="O17" s="221"/>
      <c r="P17" s="319"/>
      <c r="Q17" s="188"/>
      <c r="R17" s="351"/>
      <c r="S17" s="188"/>
      <c r="T17" s="955"/>
      <c r="U17" s="956"/>
      <c r="V17" s="211"/>
    </row>
    <row r="18" spans="2:22" ht="15" customHeight="1" x14ac:dyDescent="0.15">
      <c r="B18" s="799"/>
      <c r="C18" s="85"/>
      <c r="D18" s="85"/>
      <c r="E18" s="96"/>
      <c r="F18" s="85"/>
      <c r="G18" s="192">
        <f>D18*F18</f>
        <v>0</v>
      </c>
      <c r="H18" s="204"/>
      <c r="I18" s="940"/>
      <c r="J18" s="353"/>
      <c r="K18" s="376"/>
      <c r="L18" s="376"/>
      <c r="M18" s="376"/>
      <c r="N18" s="377">
        <f t="shared" ref="N18:N19" si="5">K18*L18*M18</f>
        <v>0</v>
      </c>
      <c r="O18" s="221"/>
      <c r="P18" s="319"/>
      <c r="Q18" s="188"/>
      <c r="R18" s="351"/>
      <c r="S18" s="188"/>
      <c r="T18" s="955"/>
      <c r="U18" s="956"/>
      <c r="V18" s="211"/>
    </row>
    <row r="19" spans="2:22" ht="15" customHeight="1" x14ac:dyDescent="0.15">
      <c r="B19" s="799"/>
      <c r="C19" s="85"/>
      <c r="D19" s="85"/>
      <c r="E19" s="85"/>
      <c r="F19" s="85"/>
      <c r="G19" s="192">
        <f t="shared" ref="G19" si="6">D19*F19</f>
        <v>0</v>
      </c>
      <c r="H19" s="204"/>
      <c r="I19" s="940"/>
      <c r="J19" s="353"/>
      <c r="K19" s="376"/>
      <c r="L19" s="376"/>
      <c r="M19" s="376"/>
      <c r="N19" s="377">
        <f t="shared" si="5"/>
        <v>0</v>
      </c>
      <c r="O19" s="221"/>
      <c r="P19" s="319"/>
      <c r="Q19" s="188"/>
      <c r="R19" s="216"/>
      <c r="S19" s="188"/>
      <c r="T19" s="955"/>
      <c r="U19" s="956"/>
      <c r="V19" s="211"/>
    </row>
    <row r="20" spans="2:22" ht="15" customHeight="1" thickBot="1" x14ac:dyDescent="0.2">
      <c r="B20" s="931"/>
      <c r="C20" s="195" t="s">
        <v>158</v>
      </c>
      <c r="D20" s="196"/>
      <c r="E20" s="196"/>
      <c r="F20" s="196"/>
      <c r="G20" s="197">
        <f>SUM(G17:G19)</f>
        <v>0</v>
      </c>
      <c r="H20" s="204"/>
      <c r="I20" s="941"/>
      <c r="J20" s="320" t="s">
        <v>256</v>
      </c>
      <c r="K20" s="207">
        <f>SUM(K17:K19)</f>
        <v>0</v>
      </c>
      <c r="L20" s="208">
        <f>SUM(L17:L19)</f>
        <v>0</v>
      </c>
      <c r="M20" s="209"/>
      <c r="N20" s="379">
        <f>SUM(N17:N19)</f>
        <v>0</v>
      </c>
      <c r="O20" s="221"/>
      <c r="P20" s="319"/>
      <c r="Q20" s="188"/>
      <c r="R20" s="216"/>
      <c r="S20" s="188"/>
      <c r="T20" s="955"/>
      <c r="U20" s="956"/>
      <c r="V20" s="211"/>
    </row>
    <row r="21" spans="2:22" ht="15" customHeight="1" thickTop="1" thickBot="1" x14ac:dyDescent="0.2">
      <c r="B21" s="930" t="s">
        <v>188</v>
      </c>
      <c r="C21" s="85" t="s">
        <v>520</v>
      </c>
      <c r="D21" s="85">
        <f>131*4.3</f>
        <v>563.29999999999995</v>
      </c>
      <c r="E21" s="96" t="s">
        <v>302</v>
      </c>
      <c r="F21" s="85">
        <f>510/20</f>
        <v>25.5</v>
      </c>
      <c r="G21" s="192">
        <f>D21*F21</f>
        <v>14364.15</v>
      </c>
      <c r="H21" s="204"/>
      <c r="I21" s="939" t="s">
        <v>196</v>
      </c>
      <c r="J21" s="353"/>
      <c r="K21" s="376"/>
      <c r="L21" s="376"/>
      <c r="M21" s="376"/>
      <c r="N21" s="377"/>
      <c r="O21" s="221"/>
      <c r="P21" s="212" t="s">
        <v>29</v>
      </c>
      <c r="Q21" s="213"/>
      <c r="R21" s="213"/>
      <c r="S21" s="213"/>
      <c r="T21" s="974"/>
      <c r="U21" s="975"/>
      <c r="V21" s="214">
        <f>SUM(V5:V20)</f>
        <v>5806.666666666667</v>
      </c>
    </row>
    <row r="22" spans="2:22" ht="15" customHeight="1" x14ac:dyDescent="0.15">
      <c r="B22" s="799"/>
      <c r="C22" s="85"/>
      <c r="D22" s="85"/>
      <c r="E22" s="96"/>
      <c r="F22" s="85"/>
      <c r="G22" s="192">
        <f>D22*F22</f>
        <v>0</v>
      </c>
      <c r="H22" s="204"/>
      <c r="I22" s="940"/>
      <c r="J22" s="353"/>
      <c r="K22" s="376"/>
      <c r="L22" s="376"/>
      <c r="M22" s="376"/>
      <c r="N22" s="377">
        <f t="shared" ref="N22:N23" si="7">K22*L22*M22</f>
        <v>0</v>
      </c>
      <c r="O22" s="221"/>
    </row>
    <row r="23" spans="2:22" ht="15" customHeight="1" thickBot="1" x14ac:dyDescent="0.2">
      <c r="B23" s="799"/>
      <c r="C23" s="85"/>
      <c r="D23" s="85"/>
      <c r="E23" s="96"/>
      <c r="F23" s="85"/>
      <c r="G23" s="192">
        <f>D23*F23</f>
        <v>0</v>
      </c>
      <c r="H23" s="204"/>
      <c r="I23" s="940"/>
      <c r="J23" s="353"/>
      <c r="K23" s="376"/>
      <c r="L23" s="376"/>
      <c r="M23" s="376"/>
      <c r="N23" s="377">
        <f t="shared" si="7"/>
        <v>0</v>
      </c>
      <c r="O23" s="221"/>
      <c r="P23" s="86" t="s">
        <v>250</v>
      </c>
    </row>
    <row r="24" spans="2:22" ht="15" customHeight="1" thickBot="1" x14ac:dyDescent="0.2">
      <c r="B24" s="957"/>
      <c r="C24" s="198" t="s">
        <v>159</v>
      </c>
      <c r="D24" s="199"/>
      <c r="E24" s="199"/>
      <c r="F24" s="206"/>
      <c r="G24" s="200">
        <f>SUM(G21:G23)</f>
        <v>14364.15</v>
      </c>
      <c r="H24" s="204"/>
      <c r="I24" s="941"/>
      <c r="J24" s="320" t="s">
        <v>256</v>
      </c>
      <c r="K24" s="207">
        <f>SUM(K21:K23)</f>
        <v>0</v>
      </c>
      <c r="L24" s="208">
        <f>SUM(L21:L23)</f>
        <v>0</v>
      </c>
      <c r="M24" s="209"/>
      <c r="N24" s="379">
        <f>SUM(N21:N23)</f>
        <v>0</v>
      </c>
      <c r="O24" s="221"/>
      <c r="P24" s="316" t="s">
        <v>203</v>
      </c>
      <c r="Q24" s="317" t="s">
        <v>198</v>
      </c>
      <c r="R24" s="317" t="s">
        <v>199</v>
      </c>
      <c r="S24" s="317" t="s">
        <v>257</v>
      </c>
      <c r="T24" s="317" t="s">
        <v>201</v>
      </c>
      <c r="U24" s="183" t="s">
        <v>204</v>
      </c>
      <c r="V24" s="318" t="s">
        <v>202</v>
      </c>
    </row>
    <row r="25" spans="2:22" ht="15" customHeight="1" thickTop="1" x14ac:dyDescent="0.15">
      <c r="I25" s="939" t="s">
        <v>275</v>
      </c>
      <c r="J25" s="353"/>
      <c r="K25" s="376"/>
      <c r="L25" s="376"/>
      <c r="M25" s="376"/>
      <c r="N25" s="377">
        <f>K25*L25*M25</f>
        <v>0</v>
      </c>
      <c r="O25" s="221"/>
      <c r="P25" s="568" t="s">
        <v>411</v>
      </c>
      <c r="Q25" s="555">
        <v>10</v>
      </c>
      <c r="R25" s="569" t="s">
        <v>253</v>
      </c>
      <c r="S25" s="555">
        <v>500</v>
      </c>
      <c r="T25" s="555">
        <v>2</v>
      </c>
      <c r="U25" s="189">
        <f>'１　対象経営の概要，２　前提条件'!$N$7+'１　対象経営の概要，２　前提条件'!$Y$7+'１　対象経営の概要，２　前提条件'!$N$8+'１　対象経営の概要，２　前提条件'!$N$9</f>
        <v>15</v>
      </c>
      <c r="V25" s="211">
        <f>Q25*S25/T25/U25</f>
        <v>166.66666666666666</v>
      </c>
    </row>
    <row r="26" spans="2:22" ht="15" customHeight="1" thickBot="1" x14ac:dyDescent="0.2">
      <c r="B26" s="13" t="s">
        <v>258</v>
      </c>
      <c r="C26" s="13"/>
      <c r="D26" s="88"/>
      <c r="E26" s="13"/>
      <c r="F26" s="88"/>
      <c r="G26" s="92"/>
      <c r="H26" s="205"/>
      <c r="I26" s="940"/>
      <c r="J26" s="353"/>
      <c r="K26" s="376"/>
      <c r="L26" s="376"/>
      <c r="M26" s="376"/>
      <c r="N26" s="377">
        <f t="shared" ref="N26:N27" si="8">K26*L26*M26</f>
        <v>0</v>
      </c>
      <c r="O26" s="221"/>
      <c r="P26" s="319"/>
      <c r="Q26" s="188"/>
      <c r="R26" s="216"/>
      <c r="S26" s="188"/>
      <c r="T26" s="188"/>
      <c r="U26" s="189"/>
      <c r="V26" s="211"/>
    </row>
    <row r="27" spans="2:22" ht="15" customHeight="1" x14ac:dyDescent="0.15">
      <c r="B27" s="315" t="s">
        <v>89</v>
      </c>
      <c r="C27" s="202" t="s">
        <v>151</v>
      </c>
      <c r="D27" s="202" t="s">
        <v>152</v>
      </c>
      <c r="E27" s="202" t="s">
        <v>153</v>
      </c>
      <c r="F27" s="397" t="s">
        <v>24</v>
      </c>
      <c r="G27" s="190" t="s">
        <v>154</v>
      </c>
      <c r="H27" s="203"/>
      <c r="I27" s="940"/>
      <c r="J27" s="353"/>
      <c r="K27" s="376"/>
      <c r="L27" s="376"/>
      <c r="M27" s="376"/>
      <c r="N27" s="377">
        <f t="shared" si="8"/>
        <v>0</v>
      </c>
      <c r="O27" s="221"/>
      <c r="P27" s="319"/>
      <c r="Q27" s="188"/>
      <c r="R27" s="216"/>
      <c r="S27" s="188"/>
      <c r="T27" s="188"/>
      <c r="U27" s="189"/>
      <c r="V27" s="211"/>
    </row>
    <row r="28" spans="2:22" ht="15" customHeight="1" thickBot="1" x14ac:dyDescent="0.2">
      <c r="B28" s="798" t="s">
        <v>30</v>
      </c>
      <c r="C28" s="85" t="s">
        <v>521</v>
      </c>
      <c r="D28" s="85">
        <v>300</v>
      </c>
      <c r="E28" s="96" t="s">
        <v>300</v>
      </c>
      <c r="F28" s="85">
        <f>62610/10000</f>
        <v>6.2610000000000001</v>
      </c>
      <c r="G28" s="191">
        <f>D28*F28</f>
        <v>1878.3</v>
      </c>
      <c r="H28" s="204"/>
      <c r="I28" s="941"/>
      <c r="J28" s="320" t="s">
        <v>254</v>
      </c>
      <c r="K28" s="207">
        <f>SUM(K25:K27)</f>
        <v>0</v>
      </c>
      <c r="L28" s="208">
        <f>SUM(L25:L27)</f>
        <v>0</v>
      </c>
      <c r="M28" s="209"/>
      <c r="N28" s="379">
        <f>SUM(N25:N27)</f>
        <v>0</v>
      </c>
      <c r="O28" s="221"/>
      <c r="P28" s="319"/>
      <c r="Q28" s="188"/>
      <c r="R28" s="216"/>
      <c r="S28" s="188"/>
      <c r="T28" s="188"/>
      <c r="U28" s="189"/>
      <c r="V28" s="211"/>
    </row>
    <row r="29" spans="2:22" ht="15" customHeight="1" thickTop="1" x14ac:dyDescent="0.15">
      <c r="B29" s="799"/>
      <c r="C29" s="370" t="s">
        <v>522</v>
      </c>
      <c r="D29" s="353">
        <v>180</v>
      </c>
      <c r="E29" s="96" t="s">
        <v>300</v>
      </c>
      <c r="F29" s="353">
        <f>4180/500</f>
        <v>8.36</v>
      </c>
      <c r="G29" s="191">
        <f>D29*F29</f>
        <v>1504.8</v>
      </c>
      <c r="H29" s="204"/>
      <c r="I29" s="939" t="s">
        <v>192</v>
      </c>
      <c r="J29" s="353"/>
      <c r="K29" s="376"/>
      <c r="L29" s="376"/>
      <c r="M29" s="376"/>
      <c r="N29" s="377"/>
      <c r="O29" s="221"/>
      <c r="P29" s="319"/>
      <c r="Q29" s="188"/>
      <c r="R29" s="216"/>
      <c r="S29" s="188"/>
      <c r="T29" s="188"/>
      <c r="U29" s="189"/>
      <c r="V29" s="211"/>
    </row>
    <row r="30" spans="2:22" ht="15" customHeight="1" x14ac:dyDescent="0.15">
      <c r="B30" s="799"/>
      <c r="C30" s="85" t="s">
        <v>523</v>
      </c>
      <c r="D30" s="85">
        <v>1000</v>
      </c>
      <c r="E30" s="96" t="s">
        <v>311</v>
      </c>
      <c r="F30" s="85">
        <f>42580/20000</f>
        <v>2.129</v>
      </c>
      <c r="G30" s="191">
        <f>D30*F30</f>
        <v>2129</v>
      </c>
      <c r="H30" s="204"/>
      <c r="I30" s="940"/>
      <c r="J30" s="353"/>
      <c r="K30" s="376"/>
      <c r="L30" s="376"/>
      <c r="M30" s="376"/>
      <c r="N30" s="377"/>
      <c r="O30" s="87"/>
      <c r="P30" s="319"/>
      <c r="Q30" s="188"/>
      <c r="R30" s="351"/>
      <c r="S30" s="188"/>
      <c r="T30" s="188"/>
      <c r="U30" s="352"/>
      <c r="V30" s="211"/>
    </row>
    <row r="31" spans="2:22" ht="15" customHeight="1" x14ac:dyDescent="0.15">
      <c r="B31" s="799"/>
      <c r="C31" s="370"/>
      <c r="D31" s="353"/>
      <c r="E31" s="96"/>
      <c r="F31" s="353"/>
      <c r="G31" s="192">
        <f t="shared" ref="G31:G32" si="9">D31*F31</f>
        <v>0</v>
      </c>
      <c r="H31" s="204"/>
      <c r="I31" s="940"/>
      <c r="J31" s="353" t="s">
        <v>309</v>
      </c>
      <c r="K31" s="376">
        <v>24.5</v>
      </c>
      <c r="L31" s="376">
        <v>0.95</v>
      </c>
      <c r="M31" s="376">
        <v>14</v>
      </c>
      <c r="N31" s="377">
        <f t="shared" ref="N31" si="10">K31*L31*M31</f>
        <v>325.84999999999997</v>
      </c>
      <c r="P31" s="319"/>
      <c r="Q31" s="188"/>
      <c r="R31" s="216"/>
      <c r="S31" s="188"/>
      <c r="T31" s="188"/>
      <c r="U31" s="189"/>
      <c r="V31" s="211"/>
    </row>
    <row r="32" spans="2:22" ht="15" customHeight="1" thickBot="1" x14ac:dyDescent="0.2">
      <c r="B32" s="799"/>
      <c r="C32" s="353"/>
      <c r="D32" s="353"/>
      <c r="E32" s="96"/>
      <c r="F32" s="353"/>
      <c r="G32" s="192">
        <f t="shared" si="9"/>
        <v>0</v>
      </c>
      <c r="H32" s="204"/>
      <c r="I32" s="944"/>
      <c r="J32" s="380" t="s">
        <v>259</v>
      </c>
      <c r="K32" s="381">
        <f>SUM(K29:K31)</f>
        <v>24.5</v>
      </c>
      <c r="L32" s="382">
        <f>SUM(L29:L31)</f>
        <v>0.95</v>
      </c>
      <c r="M32" s="383"/>
      <c r="N32" s="384">
        <f>SUM(N29:N31)</f>
        <v>325.84999999999997</v>
      </c>
      <c r="P32" s="319"/>
      <c r="Q32" s="188"/>
      <c r="R32" s="216"/>
      <c r="S32" s="188"/>
      <c r="T32" s="188"/>
      <c r="U32" s="189"/>
      <c r="V32" s="211"/>
    </row>
    <row r="33" spans="2:22" ht="15" customHeight="1" x14ac:dyDescent="0.15">
      <c r="B33" s="799"/>
      <c r="C33" s="353"/>
      <c r="D33" s="353"/>
      <c r="E33" s="96"/>
      <c r="F33" s="353"/>
      <c r="G33" s="192">
        <f t="shared" ref="G33:G37" si="11">D33*F33</f>
        <v>0</v>
      </c>
      <c r="H33" s="204"/>
      <c r="I33" s="182"/>
      <c r="J33" s="182"/>
      <c r="K33" s="182"/>
      <c r="L33" s="182"/>
      <c r="M33" s="182"/>
      <c r="N33" s="182"/>
      <c r="P33" s="319"/>
      <c r="Q33" s="188"/>
      <c r="R33" s="216"/>
      <c r="S33" s="188"/>
      <c r="T33" s="188"/>
      <c r="U33" s="189"/>
      <c r="V33" s="211"/>
    </row>
    <row r="34" spans="2:22" ht="15" customHeight="1" thickBot="1" x14ac:dyDescent="0.2">
      <c r="B34" s="799"/>
      <c r="C34" s="353"/>
      <c r="D34" s="353"/>
      <c r="E34" s="96"/>
      <c r="F34" s="353"/>
      <c r="G34" s="192">
        <f t="shared" si="11"/>
        <v>0</v>
      </c>
      <c r="H34" s="204"/>
      <c r="I34" s="172" t="s">
        <v>248</v>
      </c>
      <c r="J34" s="172"/>
      <c r="K34" s="172"/>
      <c r="L34" s="172"/>
      <c r="M34" s="172"/>
      <c r="P34" s="322" t="s">
        <v>241</v>
      </c>
      <c r="Q34" s="213"/>
      <c r="R34" s="213"/>
      <c r="S34" s="213"/>
      <c r="T34" s="213"/>
      <c r="U34" s="215"/>
      <c r="V34" s="214">
        <f>SUM(V25:V33)</f>
        <v>166.66666666666666</v>
      </c>
    </row>
    <row r="35" spans="2:22" ht="15" customHeight="1" x14ac:dyDescent="0.15">
      <c r="B35" s="799"/>
      <c r="C35" s="353"/>
      <c r="D35" s="353"/>
      <c r="E35" s="96"/>
      <c r="F35" s="353"/>
      <c r="G35" s="192">
        <f t="shared" si="11"/>
        <v>0</v>
      </c>
      <c r="H35" s="204"/>
      <c r="I35" s="295" t="s">
        <v>236</v>
      </c>
      <c r="J35" s="296" t="s">
        <v>5</v>
      </c>
      <c r="K35" s="942" t="s">
        <v>237</v>
      </c>
      <c r="L35" s="943"/>
      <c r="M35" s="323" t="s">
        <v>204</v>
      </c>
      <c r="N35" s="321" t="s">
        <v>260</v>
      </c>
    </row>
    <row r="36" spans="2:22" ht="15" customHeight="1" thickBot="1" x14ac:dyDescent="0.2">
      <c r="B36" s="799"/>
      <c r="C36" s="353"/>
      <c r="D36" s="353"/>
      <c r="E36" s="96"/>
      <c r="F36" s="353"/>
      <c r="G36" s="192">
        <f t="shared" si="11"/>
        <v>0</v>
      </c>
      <c r="H36" s="204"/>
      <c r="I36" s="927" t="s">
        <v>2</v>
      </c>
      <c r="J36" s="201" t="str">
        <f>'６（参考）水稲資本装備'!C5</f>
        <v>農機具庫</v>
      </c>
      <c r="K36" s="936">
        <f>'６（参考）水稲資本装備'!I5</f>
        <v>4752000</v>
      </c>
      <c r="L36" s="936"/>
      <c r="M36" s="428">
        <f>SUM('１　対象経営の概要，２　前提条件'!$F$13:$F$20)</f>
        <v>25</v>
      </c>
      <c r="N36" s="310">
        <f>+K36/M36*0.014*0.3</f>
        <v>798.3359999999999</v>
      </c>
      <c r="P36" s="172" t="s">
        <v>242</v>
      </c>
      <c r="Q36" s="172"/>
      <c r="R36" s="172"/>
      <c r="S36" s="172"/>
      <c r="T36" s="172"/>
    </row>
    <row r="37" spans="2:22" ht="15" customHeight="1" x14ac:dyDescent="0.15">
      <c r="B37" s="799"/>
      <c r="C37" s="353"/>
      <c r="D37" s="353"/>
      <c r="E37" s="96"/>
      <c r="F37" s="353"/>
      <c r="G37" s="192">
        <f t="shared" si="11"/>
        <v>0</v>
      </c>
      <c r="H37" s="204"/>
      <c r="I37" s="928"/>
      <c r="J37" s="201"/>
      <c r="K37" s="936"/>
      <c r="L37" s="936"/>
      <c r="M37" s="428"/>
      <c r="N37" s="310"/>
      <c r="P37" s="295" t="s">
        <v>235</v>
      </c>
      <c r="Q37" s="969" t="s">
        <v>243</v>
      </c>
      <c r="R37" s="969"/>
      <c r="S37" s="309" t="s">
        <v>246</v>
      </c>
      <c r="T37" s="309" t="s">
        <v>245</v>
      </c>
      <c r="U37" s="323" t="s">
        <v>204</v>
      </c>
      <c r="V37" s="324" t="s">
        <v>260</v>
      </c>
    </row>
    <row r="38" spans="2:22" ht="15" customHeight="1" thickBot="1" x14ac:dyDescent="0.2">
      <c r="B38" s="931"/>
      <c r="C38" s="193" t="s">
        <v>157</v>
      </c>
      <c r="D38" s="193"/>
      <c r="E38" s="193"/>
      <c r="F38" s="193"/>
      <c r="G38" s="194">
        <f>SUM(G28:G37)</f>
        <v>5512.1</v>
      </c>
      <c r="H38" s="204"/>
      <c r="I38" s="928"/>
      <c r="J38" s="201" t="str">
        <f>'６（参考）水稲資本装備'!C6</f>
        <v>育苗ハウス</v>
      </c>
      <c r="K38" s="936">
        <f>'６（参考）水稲資本装備'!I6</f>
        <v>1148175</v>
      </c>
      <c r="L38" s="936"/>
      <c r="M38" s="428">
        <f>SUM('１　対象経営の概要，２　前提条件'!$F$13:$F$14,'１　対象経営の概要，２　前提条件'!$F$20)</f>
        <v>17</v>
      </c>
      <c r="N38" s="310">
        <f>+K38/M38*0.014*0.3</f>
        <v>283.66676470588231</v>
      </c>
      <c r="O38" s="210"/>
      <c r="P38" s="924" t="s">
        <v>244</v>
      </c>
      <c r="Q38" s="301" t="s">
        <v>234</v>
      </c>
      <c r="R38" s="328"/>
      <c r="S38" s="302">
        <v>3880</v>
      </c>
      <c r="T38" s="329"/>
      <c r="U38" s="302"/>
      <c r="V38" s="310">
        <v>3880</v>
      </c>
    </row>
    <row r="39" spans="2:22" ht="15" customHeight="1" thickTop="1" x14ac:dyDescent="0.15">
      <c r="B39" s="930" t="s">
        <v>189</v>
      </c>
      <c r="C39" s="409" t="s">
        <v>524</v>
      </c>
      <c r="D39" s="85">
        <v>60</v>
      </c>
      <c r="E39" s="96" t="s">
        <v>311</v>
      </c>
      <c r="F39" s="85">
        <f>1450/500</f>
        <v>2.9</v>
      </c>
      <c r="G39" s="192">
        <f>D39*F39</f>
        <v>174</v>
      </c>
      <c r="H39" s="204"/>
      <c r="I39" s="928"/>
      <c r="J39" s="201"/>
      <c r="K39" s="936"/>
      <c r="L39" s="936"/>
      <c r="M39" s="294"/>
      <c r="N39" s="310"/>
      <c r="O39" s="210"/>
      <c r="P39" s="925"/>
      <c r="Q39" s="301"/>
      <c r="R39" s="328"/>
      <c r="S39" s="302"/>
      <c r="T39" s="329"/>
      <c r="U39" s="302"/>
      <c r="V39" s="310"/>
    </row>
    <row r="40" spans="2:22" ht="15" customHeight="1" x14ac:dyDescent="0.15">
      <c r="B40" s="799"/>
      <c r="C40" s="85" t="s">
        <v>528</v>
      </c>
      <c r="D40" s="85">
        <v>1000</v>
      </c>
      <c r="E40" s="96" t="s">
        <v>311</v>
      </c>
      <c r="F40" s="85">
        <f>96020/20000</f>
        <v>4.8010000000000002</v>
      </c>
      <c r="G40" s="192">
        <f>D40*F40</f>
        <v>4801</v>
      </c>
      <c r="H40" s="204"/>
      <c r="I40" s="928"/>
      <c r="J40" s="201"/>
      <c r="K40" s="936"/>
      <c r="L40" s="936"/>
      <c r="M40" s="294"/>
      <c r="N40" s="310"/>
      <c r="O40" s="210"/>
      <c r="P40" s="925"/>
      <c r="Q40" s="301"/>
      <c r="R40" s="328"/>
      <c r="S40" s="302"/>
      <c r="T40" s="329"/>
      <c r="U40" s="302"/>
      <c r="V40" s="310"/>
    </row>
    <row r="41" spans="2:22" ht="15" customHeight="1" x14ac:dyDescent="0.15">
      <c r="B41" s="799"/>
      <c r="C41" s="85"/>
      <c r="D41" s="85"/>
      <c r="E41" s="96"/>
      <c r="F41" s="85"/>
      <c r="G41" s="192">
        <f>D41*F41</f>
        <v>0</v>
      </c>
      <c r="H41" s="204"/>
      <c r="I41" s="928"/>
      <c r="J41" s="201"/>
      <c r="K41" s="936"/>
      <c r="L41" s="936"/>
      <c r="M41" s="294"/>
      <c r="N41" s="310"/>
      <c r="O41" s="210"/>
      <c r="P41" s="925"/>
      <c r="Q41" s="301"/>
      <c r="R41" s="328"/>
      <c r="S41" s="302"/>
      <c r="T41" s="329"/>
      <c r="U41" s="302"/>
      <c r="V41" s="310"/>
    </row>
    <row r="42" spans="2:22" ht="15" customHeight="1" thickBot="1" x14ac:dyDescent="0.2">
      <c r="B42" s="799"/>
      <c r="C42" s="85"/>
      <c r="D42" s="85"/>
      <c r="E42" s="96"/>
      <c r="F42" s="85"/>
      <c r="G42" s="192">
        <f t="shared" ref="G42:G47" si="12">D42*F42</f>
        <v>0</v>
      </c>
      <c r="H42" s="204"/>
      <c r="I42" s="929"/>
      <c r="J42" s="297" t="s">
        <v>158</v>
      </c>
      <c r="K42" s="937"/>
      <c r="L42" s="938"/>
      <c r="M42" s="298"/>
      <c r="N42" s="306">
        <f>SUM(N36:N41)</f>
        <v>1082.0027647058823</v>
      </c>
      <c r="O42" s="210"/>
      <c r="P42" s="925"/>
      <c r="Q42" s="301"/>
      <c r="R42" s="328"/>
      <c r="S42" s="302"/>
      <c r="T42" s="329"/>
      <c r="U42" s="302"/>
      <c r="V42" s="310"/>
    </row>
    <row r="43" spans="2:22" ht="15" customHeight="1" thickTop="1" x14ac:dyDescent="0.15">
      <c r="B43" s="799"/>
      <c r="C43" s="85"/>
      <c r="D43" s="85"/>
      <c r="E43" s="96"/>
      <c r="F43" s="85"/>
      <c r="G43" s="192">
        <f t="shared" si="12"/>
        <v>0</v>
      </c>
      <c r="H43" s="204"/>
      <c r="I43" s="932" t="s">
        <v>238</v>
      </c>
      <c r="J43" s="299" t="s">
        <v>261</v>
      </c>
      <c r="K43" s="935">
        <v>8200</v>
      </c>
      <c r="L43" s="935"/>
      <c r="M43" s="300">
        <f>SUM('１　対象経営の概要，２　前提条件'!$F$13:$F$20)</f>
        <v>25</v>
      </c>
      <c r="N43" s="326">
        <f>+K43/M43</f>
        <v>328</v>
      </c>
      <c r="O43" s="210"/>
      <c r="P43" s="925"/>
      <c r="Q43" s="301"/>
      <c r="R43" s="328"/>
      <c r="S43" s="302"/>
      <c r="T43" s="329"/>
      <c r="U43" s="302"/>
      <c r="V43" s="310"/>
    </row>
    <row r="44" spans="2:22" ht="15" customHeight="1" thickBot="1" x14ac:dyDescent="0.2">
      <c r="B44" s="799"/>
      <c r="C44" s="85"/>
      <c r="D44" s="85"/>
      <c r="E44" s="96"/>
      <c r="F44" s="85"/>
      <c r="G44" s="192">
        <f t="shared" si="12"/>
        <v>0</v>
      </c>
      <c r="H44" s="204"/>
      <c r="I44" s="933"/>
      <c r="J44" s="301"/>
      <c r="K44" s="936"/>
      <c r="L44" s="936"/>
      <c r="M44" s="294"/>
      <c r="N44" s="310"/>
      <c r="O44" s="210"/>
      <c r="P44" s="926"/>
      <c r="Q44" s="311" t="s">
        <v>247</v>
      </c>
      <c r="R44" s="312"/>
      <c r="S44" s="312"/>
      <c r="T44" s="312"/>
      <c r="U44" s="312"/>
      <c r="V44" s="313">
        <f>SUM(V38:V43)</f>
        <v>3880</v>
      </c>
    </row>
    <row r="45" spans="2:22" ht="15" customHeight="1" thickTop="1" x14ac:dyDescent="0.15">
      <c r="B45" s="799"/>
      <c r="C45" s="85"/>
      <c r="D45" s="85"/>
      <c r="E45" s="96"/>
      <c r="F45" s="85"/>
      <c r="G45" s="192">
        <f t="shared" si="12"/>
        <v>0</v>
      </c>
      <c r="H45" s="204"/>
      <c r="I45" s="933"/>
      <c r="J45" s="201"/>
      <c r="K45" s="936"/>
      <c r="L45" s="936"/>
      <c r="M45" s="294"/>
      <c r="N45" s="310"/>
      <c r="O45" s="210"/>
      <c r="P45" s="981" t="s">
        <v>252</v>
      </c>
      <c r="Q45" s="978" t="s">
        <v>263</v>
      </c>
      <c r="R45" s="330" t="s">
        <v>264</v>
      </c>
      <c r="S45" s="299">
        <v>35750</v>
      </c>
      <c r="T45" s="331">
        <v>1</v>
      </c>
      <c r="U45" s="518">
        <f>SUM('１　対象経営の概要，２　前提条件'!$F$13:$F$20)</f>
        <v>25</v>
      </c>
      <c r="V45" s="325">
        <f>+S45*T45/U45</f>
        <v>1430</v>
      </c>
    </row>
    <row r="46" spans="2:22" ht="15" customHeight="1" thickBot="1" x14ac:dyDescent="0.2">
      <c r="B46" s="799"/>
      <c r="C46" s="85"/>
      <c r="D46" s="85"/>
      <c r="E46" s="96"/>
      <c r="F46" s="85"/>
      <c r="G46" s="192">
        <f t="shared" si="12"/>
        <v>0</v>
      </c>
      <c r="H46" s="204"/>
      <c r="I46" s="934"/>
      <c r="J46" s="297" t="s">
        <v>158</v>
      </c>
      <c r="K46" s="937"/>
      <c r="L46" s="938"/>
      <c r="M46" s="298"/>
      <c r="N46" s="306">
        <f>SUM(N43:N45)</f>
        <v>328</v>
      </c>
      <c r="O46" s="210"/>
      <c r="P46" s="925"/>
      <c r="Q46" s="979"/>
      <c r="R46" s="332" t="s">
        <v>251</v>
      </c>
      <c r="S46" s="301">
        <v>15600</v>
      </c>
      <c r="T46" s="329">
        <v>1</v>
      </c>
      <c r="U46" s="301">
        <f>SUM('１　対象経営の概要，２　前提条件'!$F$13:$F$20)</f>
        <v>25</v>
      </c>
      <c r="V46" s="310">
        <f>+S46*T46/U46</f>
        <v>624</v>
      </c>
    </row>
    <row r="47" spans="2:22" ht="15" customHeight="1" thickTop="1" x14ac:dyDescent="0.15">
      <c r="B47" s="799"/>
      <c r="C47" s="85"/>
      <c r="D47" s="85"/>
      <c r="E47" s="96"/>
      <c r="F47" s="85"/>
      <c r="G47" s="192">
        <f t="shared" si="12"/>
        <v>0</v>
      </c>
      <c r="H47" s="204"/>
      <c r="I47" s="932" t="s">
        <v>239</v>
      </c>
      <c r="J47" s="299" t="s">
        <v>262</v>
      </c>
      <c r="K47" s="935">
        <v>11500</v>
      </c>
      <c r="L47" s="935"/>
      <c r="M47" s="425">
        <f>SUM('１　対象経営の概要，２　前提条件'!$F$13:$F$20)</f>
        <v>25</v>
      </c>
      <c r="N47" s="325">
        <f>K47/M47</f>
        <v>460</v>
      </c>
      <c r="O47" s="210"/>
      <c r="P47" s="925"/>
      <c r="Q47" s="979"/>
      <c r="R47" s="332"/>
      <c r="S47" s="301"/>
      <c r="T47" s="301"/>
      <c r="U47" s="201"/>
      <c r="V47" s="333"/>
    </row>
    <row r="48" spans="2:22" ht="15" customHeight="1" x14ac:dyDescent="0.15">
      <c r="B48" s="799"/>
      <c r="C48" s="85"/>
      <c r="D48" s="85"/>
      <c r="E48" s="96"/>
      <c r="F48" s="85"/>
      <c r="G48" s="192">
        <f t="shared" ref="G48:G52" si="13">D48*F48</f>
        <v>0</v>
      </c>
      <c r="H48" s="204"/>
      <c r="I48" s="933"/>
      <c r="J48" s="301"/>
      <c r="K48" s="936"/>
      <c r="L48" s="936"/>
      <c r="M48" s="294"/>
      <c r="N48" s="310"/>
      <c r="O48" s="210"/>
      <c r="P48" s="925"/>
      <c r="Q48" s="979"/>
      <c r="R48" s="332"/>
      <c r="S48" s="301"/>
      <c r="T48" s="329"/>
      <c r="U48" s="301"/>
      <c r="V48" s="310"/>
    </row>
    <row r="49" spans="2:22" ht="15" customHeight="1" thickBot="1" x14ac:dyDescent="0.2">
      <c r="B49" s="931"/>
      <c r="C49" s="195" t="s">
        <v>158</v>
      </c>
      <c r="D49" s="196"/>
      <c r="E49" s="196"/>
      <c r="F49" s="196"/>
      <c r="G49" s="197">
        <f>SUM(G39:G48)</f>
        <v>4975</v>
      </c>
      <c r="H49" s="204"/>
      <c r="I49" s="933"/>
      <c r="J49" s="201"/>
      <c r="K49" s="936"/>
      <c r="L49" s="936"/>
      <c r="M49" s="294"/>
      <c r="N49" s="310"/>
      <c r="O49" s="210"/>
      <c r="P49" s="925"/>
      <c r="Q49" s="980"/>
      <c r="R49" s="332"/>
      <c r="S49" s="301"/>
      <c r="T49" s="301"/>
      <c r="U49" s="201"/>
      <c r="V49" s="333"/>
    </row>
    <row r="50" spans="2:22" ht="15" customHeight="1" thickTop="1" thickBot="1" x14ac:dyDescent="0.2">
      <c r="B50" s="930" t="s">
        <v>32</v>
      </c>
      <c r="C50" s="85" t="s">
        <v>525</v>
      </c>
      <c r="D50" s="85">
        <v>10</v>
      </c>
      <c r="E50" s="96" t="s">
        <v>294</v>
      </c>
      <c r="F50" s="85">
        <f>24330/10</f>
        <v>2433</v>
      </c>
      <c r="G50" s="192">
        <f t="shared" si="13"/>
        <v>24330</v>
      </c>
      <c r="H50" s="204"/>
      <c r="I50" s="934"/>
      <c r="J50" s="297" t="s">
        <v>158</v>
      </c>
      <c r="K50" s="937"/>
      <c r="L50" s="938"/>
      <c r="M50" s="298"/>
      <c r="N50" s="306">
        <f>SUM(N47:N49)</f>
        <v>460</v>
      </c>
      <c r="O50" s="210"/>
      <c r="P50" s="925"/>
      <c r="Q50" s="311" t="s">
        <v>247</v>
      </c>
      <c r="R50" s="312"/>
      <c r="S50" s="312"/>
      <c r="T50" s="312"/>
      <c r="U50" s="312"/>
      <c r="V50" s="313">
        <f>SUM(V45:V49)</f>
        <v>2054</v>
      </c>
    </row>
    <row r="51" spans="2:22" ht="15" customHeight="1" thickTop="1" x14ac:dyDescent="0.15">
      <c r="B51" s="799"/>
      <c r="C51" s="85"/>
      <c r="D51" s="85"/>
      <c r="E51" s="85"/>
      <c r="F51" s="85"/>
      <c r="G51" s="192">
        <f t="shared" si="13"/>
        <v>0</v>
      </c>
      <c r="H51" s="204"/>
      <c r="I51" s="932" t="s">
        <v>240</v>
      </c>
      <c r="J51" s="299" t="s">
        <v>54</v>
      </c>
      <c r="K51" s="945">
        <v>2400</v>
      </c>
      <c r="L51" s="946"/>
      <c r="M51" s="425">
        <f>SUM('１　対象経営の概要，２　前提条件'!$F$13:$F$16)</f>
        <v>19</v>
      </c>
      <c r="N51" s="326">
        <f>+K51/M51</f>
        <v>126.31578947368421</v>
      </c>
      <c r="O51" s="210"/>
      <c r="P51" s="925"/>
      <c r="Q51" s="978" t="s">
        <v>265</v>
      </c>
      <c r="R51" s="330" t="s">
        <v>264</v>
      </c>
      <c r="S51" s="299">
        <v>60000</v>
      </c>
      <c r="T51" s="331">
        <v>1</v>
      </c>
      <c r="U51" s="485">
        <f>SUM('１　対象経営の概要，２　前提条件'!$F$13:$F$20)</f>
        <v>25</v>
      </c>
      <c r="V51" s="325">
        <f>+S51*T51/U51</f>
        <v>2400</v>
      </c>
    </row>
    <row r="52" spans="2:22" ht="15" customHeight="1" x14ac:dyDescent="0.15">
      <c r="B52" s="799"/>
      <c r="C52" s="85"/>
      <c r="D52" s="85"/>
      <c r="E52" s="85"/>
      <c r="F52" s="85"/>
      <c r="G52" s="192">
        <f t="shared" si="13"/>
        <v>0</v>
      </c>
      <c r="H52" s="204"/>
      <c r="I52" s="933"/>
      <c r="J52" s="301"/>
      <c r="K52" s="947"/>
      <c r="L52" s="948"/>
      <c r="M52" s="428"/>
      <c r="N52" s="310"/>
      <c r="O52" s="210"/>
      <c r="P52" s="925"/>
      <c r="Q52" s="979"/>
      <c r="R52" s="332" t="s">
        <v>251</v>
      </c>
      <c r="S52" s="301">
        <v>25000</v>
      </c>
      <c r="T52" s="329">
        <v>1</v>
      </c>
      <c r="U52" s="486">
        <f>SUM('１　対象経営の概要，２　前提条件'!$F$13:$F$20)</f>
        <v>25</v>
      </c>
      <c r="V52" s="310">
        <f>+S52*T52/U52</f>
        <v>1000</v>
      </c>
    </row>
    <row r="53" spans="2:22" ht="15" customHeight="1" thickBot="1" x14ac:dyDescent="0.2">
      <c r="B53" s="931"/>
      <c r="C53" s="195" t="s">
        <v>158</v>
      </c>
      <c r="D53" s="196"/>
      <c r="E53" s="196"/>
      <c r="F53" s="196"/>
      <c r="G53" s="197">
        <f>SUM(G50:G52)</f>
        <v>24330</v>
      </c>
      <c r="H53" s="204"/>
      <c r="I53" s="933"/>
      <c r="J53" s="301" t="s">
        <v>422</v>
      </c>
      <c r="K53" s="949">
        <v>2400</v>
      </c>
      <c r="L53" s="950"/>
      <c r="M53" s="314">
        <f>SUM('１　対象経営の概要，２　前提条件'!$F$13:$F$14,'１　対象経営の概要，２　前提条件'!$F$18)</f>
        <v>17</v>
      </c>
      <c r="N53" s="310">
        <f>+K53/M53*2</f>
        <v>282.35294117647061</v>
      </c>
      <c r="O53" s="210"/>
      <c r="P53" s="925"/>
      <c r="Q53" s="979"/>
      <c r="R53" s="332"/>
      <c r="S53" s="301"/>
      <c r="T53" s="301"/>
      <c r="U53" s="201"/>
      <c r="V53" s="333"/>
    </row>
    <row r="54" spans="2:22" ht="13.9" customHeight="1" thickTop="1" x14ac:dyDescent="0.15">
      <c r="B54" s="930" t="s">
        <v>327</v>
      </c>
      <c r="C54" s="85" t="s">
        <v>526</v>
      </c>
      <c r="D54" s="402">
        <f>131*50/1000</f>
        <v>6.55</v>
      </c>
      <c r="E54" s="96" t="s">
        <v>294</v>
      </c>
      <c r="F54" s="85">
        <f>9650/3</f>
        <v>3216.6666666666665</v>
      </c>
      <c r="G54" s="191">
        <f>D54*F54</f>
        <v>21069.166666666664</v>
      </c>
      <c r="I54" s="933"/>
      <c r="J54" s="294" t="s">
        <v>251</v>
      </c>
      <c r="K54" s="951">
        <v>5000</v>
      </c>
      <c r="L54" s="952"/>
      <c r="M54" s="428">
        <f>SUM('１　対象経営の概要，２　前提条件'!$F$13:$F$20)</f>
        <v>25</v>
      </c>
      <c r="N54" s="310">
        <f t="shared" ref="N54" si="14">+K54/M54</f>
        <v>200</v>
      </c>
      <c r="O54" s="210"/>
      <c r="P54" s="925"/>
      <c r="Q54" s="979"/>
      <c r="R54" s="332"/>
      <c r="S54" s="301"/>
      <c r="T54" s="329"/>
      <c r="U54" s="486"/>
      <c r="V54" s="310"/>
    </row>
    <row r="55" spans="2:22" x14ac:dyDescent="0.15">
      <c r="B55" s="799"/>
      <c r="C55" s="85" t="s">
        <v>527</v>
      </c>
      <c r="D55" s="85">
        <v>1000</v>
      </c>
      <c r="E55" s="96" t="s">
        <v>300</v>
      </c>
      <c r="F55" s="85">
        <f>68710/10000</f>
        <v>6.8710000000000004</v>
      </c>
      <c r="G55" s="192">
        <f>D55*F55</f>
        <v>6871</v>
      </c>
      <c r="I55" s="933"/>
      <c r="J55" s="301"/>
      <c r="K55" s="949"/>
      <c r="L55" s="950"/>
      <c r="M55" s="428"/>
      <c r="N55" s="327"/>
      <c r="O55" s="210"/>
      <c r="P55" s="925"/>
      <c r="Q55" s="980"/>
      <c r="R55" s="332"/>
      <c r="S55" s="301"/>
      <c r="T55" s="301"/>
      <c r="U55" s="201"/>
      <c r="V55" s="333"/>
    </row>
    <row r="56" spans="2:22" x14ac:dyDescent="0.15">
      <c r="B56" s="799"/>
      <c r="C56" s="85"/>
      <c r="D56" s="85"/>
      <c r="E56" s="96"/>
      <c r="F56" s="85"/>
      <c r="G56" s="192">
        <f>D56*F56</f>
        <v>0</v>
      </c>
      <c r="I56" s="927"/>
      <c r="J56" s="303" t="s">
        <v>158</v>
      </c>
      <c r="K56" s="953"/>
      <c r="L56" s="954"/>
      <c r="M56" s="304"/>
      <c r="N56" s="307">
        <f>SUM(N51:N55)</f>
        <v>608.66873065015488</v>
      </c>
      <c r="O56" s="210"/>
      <c r="P56" s="982"/>
      <c r="Q56" s="336" t="s">
        <v>247</v>
      </c>
      <c r="R56" s="337"/>
      <c r="S56" s="337"/>
      <c r="T56" s="337"/>
      <c r="U56" s="337"/>
      <c r="V56" s="338">
        <f>SUM(V51:V55)</f>
        <v>3400</v>
      </c>
    </row>
    <row r="57" spans="2:22" ht="14.25" thickBot="1" x14ac:dyDescent="0.2">
      <c r="B57" s="957"/>
      <c r="C57" s="198" t="s">
        <v>159</v>
      </c>
      <c r="D57" s="199"/>
      <c r="E57" s="199"/>
      <c r="F57" s="199"/>
      <c r="G57" s="200">
        <f>SUM(G54:G56)</f>
        <v>27940.166666666664</v>
      </c>
      <c r="I57" s="983" t="s">
        <v>241</v>
      </c>
      <c r="J57" s="975"/>
      <c r="K57" s="958"/>
      <c r="L57" s="959"/>
      <c r="M57" s="215"/>
      <c r="N57" s="308">
        <f>SUM(N42,N46,N50,N56)</f>
        <v>2478.6714953560372</v>
      </c>
      <c r="O57" s="210"/>
      <c r="P57" s="976" t="s">
        <v>241</v>
      </c>
      <c r="Q57" s="977"/>
      <c r="R57" s="334"/>
      <c r="S57" s="334"/>
      <c r="T57" s="334"/>
      <c r="U57" s="334"/>
      <c r="V57" s="335">
        <f>SUM(V44,V50,V56)</f>
        <v>9334</v>
      </c>
    </row>
    <row r="58" spans="2:22" x14ac:dyDescent="0.15">
      <c r="O58" s="210"/>
      <c r="V58" s="86"/>
    </row>
    <row r="59" spans="2:22" x14ac:dyDescent="0.15">
      <c r="I59" s="210"/>
      <c r="J59" s="210"/>
      <c r="K59" s="210"/>
      <c r="L59" s="210"/>
      <c r="M59" s="210"/>
      <c r="N59" s="210"/>
      <c r="O59" s="210"/>
    </row>
    <row r="60" spans="2:22" x14ac:dyDescent="0.15">
      <c r="I60" s="210"/>
      <c r="J60" s="210"/>
      <c r="K60" s="210"/>
      <c r="L60" s="210"/>
      <c r="M60" s="210"/>
      <c r="N60" s="210"/>
      <c r="O60" s="210"/>
    </row>
    <row r="61" spans="2:22" x14ac:dyDescent="0.15">
      <c r="I61" s="210"/>
      <c r="J61" s="210"/>
      <c r="K61" s="210"/>
      <c r="L61" s="210"/>
      <c r="M61" s="210"/>
      <c r="N61" s="210"/>
      <c r="O61" s="210"/>
    </row>
    <row r="62" spans="2:22" x14ac:dyDescent="0.15">
      <c r="I62" s="210"/>
      <c r="J62" s="210"/>
      <c r="K62" s="210"/>
      <c r="L62" s="210"/>
      <c r="M62" s="210"/>
      <c r="N62" s="210"/>
      <c r="O62" s="210"/>
    </row>
    <row r="63" spans="2:22" x14ac:dyDescent="0.15">
      <c r="I63" s="210"/>
      <c r="J63" s="210"/>
      <c r="K63" s="210"/>
      <c r="L63" s="210"/>
      <c r="M63" s="210"/>
      <c r="N63" s="210"/>
      <c r="O63" s="210"/>
    </row>
    <row r="64" spans="2:22" x14ac:dyDescent="0.15">
      <c r="I64" s="210"/>
      <c r="J64" s="210"/>
      <c r="K64" s="210"/>
      <c r="L64" s="210"/>
      <c r="M64" s="210"/>
      <c r="N64" s="210"/>
      <c r="O64" s="210"/>
    </row>
    <row r="65" spans="9:15" x14ac:dyDescent="0.15">
      <c r="I65" s="210"/>
      <c r="J65" s="210"/>
      <c r="K65" s="210"/>
      <c r="L65" s="210"/>
      <c r="M65" s="210"/>
      <c r="N65" s="210"/>
      <c r="O65" s="210"/>
    </row>
    <row r="66" spans="9:15" x14ac:dyDescent="0.15">
      <c r="I66" s="210"/>
      <c r="J66" s="210"/>
      <c r="K66" s="210"/>
      <c r="L66" s="210"/>
      <c r="M66" s="210"/>
      <c r="N66" s="210"/>
      <c r="O66" s="210"/>
    </row>
    <row r="67" spans="9:15" x14ac:dyDescent="0.15">
      <c r="I67" s="210"/>
      <c r="J67" s="210"/>
      <c r="K67" s="210"/>
      <c r="L67" s="210"/>
      <c r="M67" s="210"/>
      <c r="N67" s="210"/>
      <c r="O67" s="210"/>
    </row>
    <row r="68" spans="9:15" x14ac:dyDescent="0.15">
      <c r="I68" s="210"/>
      <c r="J68" s="210"/>
      <c r="K68" s="210"/>
      <c r="L68" s="210"/>
      <c r="M68" s="210"/>
      <c r="N68" s="210"/>
      <c r="O68" s="210"/>
    </row>
    <row r="69" spans="9:15" x14ac:dyDescent="0.15">
      <c r="I69" s="210"/>
      <c r="J69" s="210"/>
      <c r="K69" s="210"/>
      <c r="L69" s="210"/>
      <c r="M69" s="210"/>
      <c r="N69" s="210"/>
      <c r="O69" s="210"/>
    </row>
    <row r="70" spans="9:15" x14ac:dyDescent="0.15">
      <c r="I70" s="210"/>
      <c r="J70" s="210"/>
      <c r="K70" s="210"/>
      <c r="L70" s="210"/>
      <c r="M70" s="210"/>
      <c r="N70" s="210"/>
      <c r="O70" s="210"/>
    </row>
    <row r="71" spans="9:15" x14ac:dyDescent="0.15">
      <c r="I71" s="210"/>
      <c r="J71" s="210"/>
      <c r="K71" s="210"/>
      <c r="L71" s="210"/>
      <c r="M71" s="210"/>
      <c r="N71" s="210"/>
      <c r="O71" s="210"/>
    </row>
    <row r="72" spans="9:15" x14ac:dyDescent="0.15">
      <c r="I72" s="210"/>
      <c r="J72" s="210"/>
      <c r="K72" s="210"/>
      <c r="L72" s="210"/>
      <c r="M72" s="210"/>
      <c r="N72" s="210"/>
      <c r="O72" s="210"/>
    </row>
    <row r="73" spans="9:15" x14ac:dyDescent="0.15">
      <c r="I73" s="210"/>
      <c r="J73" s="210"/>
      <c r="K73" s="210"/>
      <c r="L73" s="210"/>
      <c r="M73" s="210"/>
      <c r="N73" s="210"/>
      <c r="O73" s="210"/>
    </row>
    <row r="74" spans="9:15" x14ac:dyDescent="0.15">
      <c r="I74" s="210"/>
      <c r="J74" s="210"/>
      <c r="K74" s="210"/>
      <c r="L74" s="210"/>
      <c r="M74" s="210"/>
      <c r="N74" s="210"/>
      <c r="O74" s="210"/>
    </row>
    <row r="75" spans="9:15" x14ac:dyDescent="0.15">
      <c r="I75" s="210"/>
      <c r="J75" s="210"/>
      <c r="K75" s="210"/>
      <c r="L75" s="210"/>
      <c r="M75" s="210"/>
      <c r="N75" s="210"/>
      <c r="O75" s="210"/>
    </row>
    <row r="76" spans="9:15" x14ac:dyDescent="0.15">
      <c r="I76" s="210"/>
      <c r="J76" s="210"/>
      <c r="K76" s="210"/>
      <c r="L76" s="210"/>
      <c r="M76" s="210"/>
      <c r="N76" s="210"/>
      <c r="O76" s="210"/>
    </row>
    <row r="77" spans="9:15" x14ac:dyDescent="0.15">
      <c r="I77" s="210"/>
      <c r="J77" s="210"/>
      <c r="K77" s="210"/>
      <c r="L77" s="210"/>
      <c r="M77" s="210"/>
      <c r="N77" s="210"/>
      <c r="O77" s="210"/>
    </row>
    <row r="78" spans="9:15" x14ac:dyDescent="0.15">
      <c r="I78" s="210"/>
      <c r="J78" s="210"/>
      <c r="K78" s="210"/>
      <c r="L78" s="210"/>
      <c r="M78" s="210"/>
      <c r="N78" s="210"/>
      <c r="O78" s="210"/>
    </row>
    <row r="79" spans="9:15" x14ac:dyDescent="0.15">
      <c r="I79" s="210"/>
      <c r="J79" s="210"/>
      <c r="K79" s="210"/>
      <c r="L79" s="210"/>
      <c r="M79" s="210"/>
      <c r="N79" s="210"/>
      <c r="O79" s="210"/>
    </row>
    <row r="80" spans="9:15" x14ac:dyDescent="0.15">
      <c r="I80" s="210"/>
      <c r="J80" s="210"/>
      <c r="K80" s="210"/>
      <c r="L80" s="210"/>
      <c r="M80" s="210"/>
      <c r="N80" s="210"/>
      <c r="O80" s="210"/>
    </row>
    <row r="81" spans="2:15" x14ac:dyDescent="0.15">
      <c r="I81" s="210"/>
      <c r="J81" s="210"/>
      <c r="K81" s="210"/>
      <c r="L81" s="210"/>
      <c r="M81" s="210"/>
      <c r="N81" s="210"/>
      <c r="O81" s="210"/>
    </row>
    <row r="82" spans="2:15" x14ac:dyDescent="0.15">
      <c r="I82" s="210"/>
      <c r="J82" s="210"/>
      <c r="K82" s="210"/>
      <c r="L82" s="210"/>
      <c r="M82" s="210"/>
      <c r="N82" s="210"/>
      <c r="O82" s="210"/>
    </row>
    <row r="83" spans="2:15" x14ac:dyDescent="0.15">
      <c r="B83" s="203"/>
      <c r="C83" s="204"/>
      <c r="D83" s="204"/>
      <c r="E83" s="204"/>
      <c r="F83" s="204"/>
      <c r="I83" s="210"/>
      <c r="J83" s="210"/>
      <c r="K83" s="210"/>
      <c r="L83" s="210"/>
      <c r="M83" s="210"/>
      <c r="N83" s="210"/>
      <c r="O83" s="210"/>
    </row>
    <row r="84" spans="2:15" x14ac:dyDescent="0.15">
      <c r="B84" s="203"/>
      <c r="C84" s="204"/>
      <c r="D84" s="204"/>
      <c r="E84" s="204"/>
      <c r="F84" s="204"/>
      <c r="I84" s="210"/>
      <c r="J84" s="210"/>
      <c r="K84" s="210"/>
      <c r="L84" s="210"/>
      <c r="M84" s="210"/>
      <c r="N84" s="210"/>
      <c r="O84" s="210"/>
    </row>
    <row r="85" spans="2:15" x14ac:dyDescent="0.15">
      <c r="I85" s="210"/>
      <c r="J85" s="210"/>
      <c r="K85" s="210"/>
      <c r="L85" s="210"/>
      <c r="M85" s="210"/>
      <c r="N85" s="210"/>
      <c r="O85" s="210"/>
    </row>
    <row r="86" spans="2:15" x14ac:dyDescent="0.15">
      <c r="I86" s="210"/>
      <c r="J86" s="210"/>
      <c r="K86" s="210"/>
      <c r="L86" s="210"/>
      <c r="M86" s="210"/>
      <c r="N86" s="210"/>
      <c r="O86" s="210"/>
    </row>
    <row r="87" spans="2:15" x14ac:dyDescent="0.15">
      <c r="I87" s="210"/>
      <c r="J87" s="210"/>
      <c r="K87" s="210"/>
      <c r="L87" s="210"/>
      <c r="M87" s="210"/>
      <c r="N87" s="210"/>
      <c r="O87" s="210"/>
    </row>
    <row r="88" spans="2:15" x14ac:dyDescent="0.15">
      <c r="I88" s="210"/>
      <c r="J88" s="210"/>
      <c r="K88" s="210"/>
      <c r="L88" s="210"/>
      <c r="M88" s="210"/>
      <c r="N88" s="210"/>
      <c r="O88" s="210"/>
    </row>
    <row r="89" spans="2:15" x14ac:dyDescent="0.15">
      <c r="I89" s="210"/>
      <c r="J89" s="210"/>
      <c r="K89" s="210"/>
      <c r="L89" s="210"/>
      <c r="M89" s="210"/>
      <c r="N89" s="210"/>
      <c r="O89" s="210"/>
    </row>
    <row r="90" spans="2:15" x14ac:dyDescent="0.15">
      <c r="I90" s="210"/>
      <c r="J90" s="210"/>
      <c r="K90" s="210"/>
      <c r="L90" s="210"/>
      <c r="M90" s="210"/>
      <c r="N90" s="210"/>
      <c r="O90" s="210"/>
    </row>
    <row r="91" spans="2:15" x14ac:dyDescent="0.15">
      <c r="I91" s="210"/>
      <c r="J91" s="210"/>
      <c r="K91" s="210"/>
      <c r="L91" s="210"/>
      <c r="M91" s="210"/>
      <c r="N91" s="210"/>
      <c r="O91" s="210"/>
    </row>
    <row r="92" spans="2:15" x14ac:dyDescent="0.15">
      <c r="I92" s="210"/>
      <c r="J92" s="210"/>
      <c r="K92" s="210"/>
      <c r="L92" s="210"/>
      <c r="M92" s="210"/>
      <c r="N92" s="210"/>
      <c r="O92" s="210"/>
    </row>
    <row r="93" spans="2:15" x14ac:dyDescent="0.15">
      <c r="I93" s="210"/>
      <c r="J93" s="210"/>
      <c r="K93" s="210"/>
      <c r="L93" s="210"/>
      <c r="M93" s="210"/>
      <c r="N93" s="210"/>
      <c r="O93" s="210"/>
    </row>
    <row r="94" spans="2:15" x14ac:dyDescent="0.15">
      <c r="I94" s="210"/>
      <c r="J94" s="210"/>
      <c r="K94" s="210"/>
      <c r="L94" s="210"/>
      <c r="M94" s="210"/>
      <c r="N94" s="210"/>
      <c r="O94" s="210"/>
    </row>
    <row r="95" spans="2:15" x14ac:dyDescent="0.15">
      <c r="I95" s="210"/>
      <c r="J95" s="210"/>
      <c r="K95" s="210"/>
      <c r="L95" s="210"/>
      <c r="M95" s="210"/>
      <c r="N95" s="210"/>
      <c r="O95" s="210"/>
    </row>
    <row r="96" spans="2:15" x14ac:dyDescent="0.15">
      <c r="I96" s="210"/>
      <c r="J96" s="210"/>
      <c r="K96" s="210"/>
      <c r="L96" s="210"/>
      <c r="M96" s="210"/>
      <c r="N96" s="210"/>
      <c r="O96" s="210"/>
    </row>
    <row r="97" spans="9:15" x14ac:dyDescent="0.15">
      <c r="I97" s="210"/>
      <c r="J97" s="210"/>
      <c r="K97" s="210"/>
      <c r="L97" s="210"/>
      <c r="M97" s="210"/>
      <c r="N97" s="210"/>
      <c r="O97" s="210"/>
    </row>
    <row r="98" spans="9:15" x14ac:dyDescent="0.15">
      <c r="I98" s="210"/>
      <c r="J98" s="210"/>
      <c r="K98" s="210"/>
      <c r="L98" s="210"/>
      <c r="M98" s="210"/>
      <c r="N98" s="210"/>
      <c r="O98" s="210"/>
    </row>
    <row r="99" spans="9:15" x14ac:dyDescent="0.15">
      <c r="I99" s="210"/>
      <c r="J99" s="210"/>
      <c r="K99" s="210"/>
      <c r="L99" s="210"/>
      <c r="M99" s="210"/>
      <c r="N99" s="210"/>
      <c r="O99" s="210"/>
    </row>
    <row r="100" spans="9:15" x14ac:dyDescent="0.15">
      <c r="I100" s="210"/>
      <c r="J100" s="210"/>
      <c r="K100" s="210"/>
      <c r="L100" s="210"/>
      <c r="M100" s="210"/>
      <c r="N100" s="210"/>
      <c r="O100" s="210"/>
    </row>
    <row r="101" spans="9:15" x14ac:dyDescent="0.15">
      <c r="I101" s="210"/>
      <c r="J101" s="210"/>
      <c r="K101" s="210"/>
      <c r="L101" s="210"/>
      <c r="M101" s="210"/>
      <c r="N101" s="210"/>
      <c r="O101" s="210"/>
    </row>
    <row r="102" spans="9:15" x14ac:dyDescent="0.15">
      <c r="I102" s="210"/>
      <c r="J102" s="210"/>
      <c r="K102" s="210"/>
      <c r="L102" s="210"/>
      <c r="M102" s="210"/>
      <c r="N102" s="210"/>
      <c r="O102" s="210"/>
    </row>
    <row r="103" spans="9:15" x14ac:dyDescent="0.15">
      <c r="I103" s="210"/>
      <c r="J103" s="210"/>
      <c r="K103" s="210"/>
      <c r="L103" s="210"/>
      <c r="M103" s="210"/>
      <c r="N103" s="210"/>
      <c r="O103" s="210"/>
    </row>
    <row r="104" spans="9:15" x14ac:dyDescent="0.15">
      <c r="I104" s="210"/>
      <c r="J104" s="210"/>
      <c r="K104" s="210"/>
      <c r="L104" s="210"/>
      <c r="M104" s="210"/>
      <c r="N104" s="210"/>
      <c r="O104" s="210"/>
    </row>
    <row r="105" spans="9:15" x14ac:dyDescent="0.15">
      <c r="I105" s="210"/>
      <c r="J105" s="210"/>
      <c r="K105" s="210"/>
      <c r="L105" s="210"/>
      <c r="M105" s="210"/>
      <c r="N105" s="210"/>
      <c r="O105" s="210"/>
    </row>
    <row r="106" spans="9:15" x14ac:dyDescent="0.15">
      <c r="I106" s="210"/>
      <c r="J106" s="210"/>
      <c r="K106" s="210"/>
      <c r="L106" s="210"/>
      <c r="M106" s="210"/>
      <c r="N106" s="210"/>
      <c r="O106" s="210"/>
    </row>
    <row r="107" spans="9:15" x14ac:dyDescent="0.15">
      <c r="I107" s="210"/>
      <c r="J107" s="210"/>
      <c r="K107" s="210"/>
      <c r="L107" s="210"/>
      <c r="M107" s="210"/>
      <c r="N107" s="210"/>
      <c r="O107" s="210"/>
    </row>
    <row r="108" spans="9:15" x14ac:dyDescent="0.15">
      <c r="I108" s="210"/>
      <c r="J108" s="210"/>
      <c r="K108" s="210"/>
      <c r="L108" s="210"/>
      <c r="M108" s="210"/>
      <c r="N108" s="210"/>
      <c r="O108" s="210"/>
    </row>
    <row r="109" spans="9:15" x14ac:dyDescent="0.15">
      <c r="I109" s="210"/>
      <c r="J109" s="210"/>
      <c r="K109" s="210"/>
      <c r="L109" s="210"/>
      <c r="M109" s="210"/>
      <c r="N109" s="210"/>
      <c r="O109" s="210"/>
    </row>
    <row r="110" spans="9:15" x14ac:dyDescent="0.15">
      <c r="I110" s="210"/>
      <c r="J110" s="210"/>
      <c r="K110" s="210"/>
      <c r="L110" s="210"/>
      <c r="M110" s="210"/>
      <c r="N110" s="210"/>
      <c r="O110" s="210"/>
    </row>
    <row r="111" spans="9:15" x14ac:dyDescent="0.15">
      <c r="I111" s="210"/>
      <c r="J111" s="210"/>
      <c r="K111" s="210"/>
      <c r="L111" s="210"/>
      <c r="M111" s="210"/>
      <c r="N111" s="210"/>
      <c r="O111" s="210"/>
    </row>
    <row r="112" spans="9:15" x14ac:dyDescent="0.15">
      <c r="I112" s="210"/>
      <c r="J112" s="210"/>
      <c r="K112" s="210"/>
      <c r="L112" s="210"/>
      <c r="M112" s="210"/>
      <c r="N112" s="210"/>
      <c r="O112" s="210"/>
    </row>
    <row r="113" spans="9:15" x14ac:dyDescent="0.15">
      <c r="I113" s="210"/>
      <c r="J113" s="210"/>
      <c r="K113" s="210"/>
      <c r="L113" s="210"/>
      <c r="M113" s="210"/>
      <c r="N113" s="210"/>
      <c r="O113" s="210"/>
    </row>
    <row r="114" spans="9:15" x14ac:dyDescent="0.15">
      <c r="I114" s="210"/>
      <c r="J114" s="210"/>
      <c r="K114" s="210"/>
      <c r="L114" s="210"/>
      <c r="M114" s="210"/>
      <c r="N114" s="210"/>
      <c r="O114" s="210"/>
    </row>
    <row r="115" spans="9:15" x14ac:dyDescent="0.15">
      <c r="I115" s="210"/>
      <c r="J115" s="210"/>
      <c r="K115" s="210"/>
      <c r="L115" s="210"/>
      <c r="M115" s="210"/>
      <c r="N115" s="210"/>
      <c r="O115" s="210"/>
    </row>
    <row r="116" spans="9:15" x14ac:dyDescent="0.15">
      <c r="I116" s="210"/>
      <c r="J116" s="210"/>
      <c r="K116" s="210"/>
      <c r="L116" s="210"/>
      <c r="M116" s="210"/>
      <c r="N116" s="210"/>
      <c r="O116" s="210"/>
    </row>
    <row r="117" spans="9:15" x14ac:dyDescent="0.15">
      <c r="I117" s="210"/>
      <c r="J117" s="210"/>
      <c r="K117" s="210"/>
      <c r="L117" s="210"/>
      <c r="M117" s="210"/>
      <c r="N117" s="210"/>
      <c r="O117" s="210"/>
    </row>
    <row r="118" spans="9:15" x14ac:dyDescent="0.15">
      <c r="I118" s="210"/>
      <c r="J118" s="210"/>
      <c r="K118" s="210"/>
      <c r="L118" s="210"/>
      <c r="M118" s="210"/>
      <c r="N118" s="210"/>
      <c r="O118" s="210"/>
    </row>
    <row r="119" spans="9:15" x14ac:dyDescent="0.15">
      <c r="I119" s="210"/>
      <c r="J119" s="210"/>
      <c r="K119" s="210"/>
      <c r="L119" s="210"/>
      <c r="M119" s="210"/>
      <c r="N119" s="210"/>
      <c r="O119" s="210"/>
    </row>
    <row r="120" spans="9:15" x14ac:dyDescent="0.15">
      <c r="I120" s="210"/>
      <c r="J120" s="210"/>
      <c r="K120" s="210"/>
      <c r="L120" s="210"/>
      <c r="M120" s="210"/>
      <c r="N120" s="210"/>
      <c r="O120" s="210"/>
    </row>
    <row r="121" spans="9:15" x14ac:dyDescent="0.15">
      <c r="I121" s="210"/>
      <c r="J121" s="210"/>
      <c r="K121" s="210"/>
      <c r="L121" s="210"/>
      <c r="M121" s="210"/>
      <c r="N121" s="210"/>
      <c r="O121" s="210"/>
    </row>
    <row r="122" spans="9:15" x14ac:dyDescent="0.15">
      <c r="I122" s="210"/>
      <c r="J122" s="210"/>
      <c r="K122" s="210"/>
      <c r="L122" s="210"/>
      <c r="M122" s="210"/>
      <c r="N122" s="210"/>
      <c r="O122" s="210"/>
    </row>
    <row r="123" spans="9:15" x14ac:dyDescent="0.15">
      <c r="I123" s="210"/>
      <c r="J123" s="210"/>
      <c r="K123" s="210"/>
      <c r="L123" s="210"/>
      <c r="M123" s="210"/>
      <c r="N123" s="210"/>
      <c r="O123" s="210"/>
    </row>
    <row r="124" spans="9:15" x14ac:dyDescent="0.15">
      <c r="I124" s="210"/>
      <c r="J124" s="210"/>
      <c r="K124" s="210"/>
      <c r="L124" s="210"/>
      <c r="M124" s="210"/>
      <c r="N124" s="210"/>
      <c r="O124" s="210"/>
    </row>
    <row r="125" spans="9:15" x14ac:dyDescent="0.15">
      <c r="I125" s="210"/>
      <c r="J125" s="210"/>
      <c r="K125" s="210"/>
      <c r="L125" s="210"/>
      <c r="M125" s="210"/>
      <c r="N125" s="210"/>
      <c r="O125" s="210"/>
    </row>
    <row r="126" spans="9:15" x14ac:dyDescent="0.15">
      <c r="I126" s="210"/>
      <c r="J126" s="210"/>
      <c r="K126" s="210"/>
      <c r="L126" s="210"/>
      <c r="M126" s="210"/>
      <c r="N126" s="210"/>
      <c r="O126" s="210"/>
    </row>
    <row r="127" spans="9:15" x14ac:dyDescent="0.15">
      <c r="I127" s="210"/>
      <c r="J127" s="210"/>
      <c r="K127" s="210"/>
      <c r="L127" s="210"/>
      <c r="M127" s="210"/>
      <c r="N127" s="210"/>
      <c r="O127" s="210"/>
    </row>
    <row r="128" spans="9:15" x14ac:dyDescent="0.15">
      <c r="I128" s="210"/>
      <c r="J128" s="210"/>
      <c r="K128" s="210"/>
      <c r="L128" s="210"/>
      <c r="M128" s="210"/>
      <c r="N128" s="210"/>
      <c r="O128" s="210"/>
    </row>
    <row r="129" spans="9:15" x14ac:dyDescent="0.15">
      <c r="I129" s="210"/>
      <c r="J129" s="210"/>
      <c r="K129" s="210"/>
      <c r="L129" s="210"/>
      <c r="M129" s="210"/>
      <c r="N129" s="210"/>
      <c r="O129" s="210"/>
    </row>
    <row r="130" spans="9:15" x14ac:dyDescent="0.15">
      <c r="I130" s="210"/>
      <c r="J130" s="210"/>
      <c r="K130" s="210"/>
      <c r="L130" s="210"/>
      <c r="M130" s="210"/>
      <c r="N130" s="210"/>
      <c r="O130" s="210"/>
    </row>
    <row r="131" spans="9:15" x14ac:dyDescent="0.15">
      <c r="I131" s="210"/>
      <c r="J131" s="210"/>
      <c r="K131" s="210"/>
      <c r="L131" s="210"/>
      <c r="M131" s="210"/>
      <c r="N131" s="210"/>
      <c r="O131" s="210"/>
    </row>
    <row r="132" spans="9:15" x14ac:dyDescent="0.15">
      <c r="I132" s="210"/>
      <c r="J132" s="210"/>
      <c r="K132" s="210"/>
      <c r="L132" s="210"/>
      <c r="M132" s="210"/>
      <c r="N132" s="210"/>
      <c r="O132" s="210"/>
    </row>
    <row r="133" spans="9:15" x14ac:dyDescent="0.15">
      <c r="I133" s="210"/>
      <c r="J133" s="210"/>
      <c r="K133" s="210"/>
      <c r="L133" s="210"/>
      <c r="M133" s="210"/>
      <c r="N133" s="210"/>
      <c r="O133" s="210"/>
    </row>
    <row r="134" spans="9:15" x14ac:dyDescent="0.15">
      <c r="I134" s="210"/>
      <c r="J134" s="210"/>
      <c r="K134" s="210"/>
      <c r="L134" s="210"/>
      <c r="M134" s="210"/>
      <c r="N134" s="210"/>
      <c r="O134" s="210"/>
    </row>
    <row r="135" spans="9:15" x14ac:dyDescent="0.15">
      <c r="I135" s="210"/>
      <c r="J135" s="210"/>
      <c r="K135" s="210"/>
      <c r="L135" s="210"/>
      <c r="M135" s="210"/>
      <c r="N135" s="210"/>
      <c r="O135" s="210"/>
    </row>
    <row r="136" spans="9:15" x14ac:dyDescent="0.15">
      <c r="I136" s="210"/>
      <c r="J136" s="210"/>
      <c r="K136" s="210"/>
      <c r="L136" s="210"/>
      <c r="M136" s="210"/>
      <c r="N136" s="210"/>
      <c r="O136" s="210"/>
    </row>
    <row r="137" spans="9:15" x14ac:dyDescent="0.15">
      <c r="I137" s="210"/>
      <c r="J137" s="210"/>
      <c r="K137" s="210"/>
      <c r="L137" s="210"/>
      <c r="M137" s="210"/>
      <c r="N137" s="210"/>
      <c r="O137" s="210"/>
    </row>
    <row r="138" spans="9:15" x14ac:dyDescent="0.15">
      <c r="I138" s="210"/>
      <c r="J138" s="210"/>
      <c r="K138" s="210"/>
      <c r="L138" s="210"/>
      <c r="M138" s="210"/>
      <c r="N138" s="210"/>
      <c r="O138" s="210"/>
    </row>
    <row r="139" spans="9:15" x14ac:dyDescent="0.15">
      <c r="I139" s="210"/>
      <c r="J139" s="210"/>
      <c r="K139" s="210"/>
      <c r="L139" s="210"/>
      <c r="M139" s="210"/>
      <c r="N139" s="210"/>
      <c r="O139" s="210"/>
    </row>
    <row r="140" spans="9:15" x14ac:dyDescent="0.15">
      <c r="I140" s="210"/>
      <c r="J140" s="210"/>
      <c r="K140" s="210"/>
      <c r="L140" s="210"/>
      <c r="M140" s="210"/>
      <c r="N140" s="210"/>
    </row>
    <row r="141" spans="9:15" x14ac:dyDescent="0.15">
      <c r="I141" s="210"/>
      <c r="J141" s="210"/>
      <c r="K141" s="210"/>
      <c r="L141" s="210"/>
      <c r="M141" s="210"/>
      <c r="N141" s="210"/>
    </row>
    <row r="142" spans="9:15" x14ac:dyDescent="0.15">
      <c r="I142" s="210"/>
      <c r="J142" s="210"/>
      <c r="K142" s="210"/>
      <c r="L142" s="210"/>
      <c r="M142" s="210"/>
      <c r="N142" s="210"/>
    </row>
    <row r="143" spans="9:15" x14ac:dyDescent="0.15">
      <c r="I143" s="210"/>
      <c r="J143" s="210"/>
      <c r="K143" s="210"/>
      <c r="L143" s="210"/>
      <c r="M143" s="210"/>
      <c r="N143" s="210"/>
    </row>
    <row r="144" spans="9:15" x14ac:dyDescent="0.15">
      <c r="I144" s="210"/>
      <c r="J144" s="210"/>
      <c r="K144" s="210"/>
      <c r="L144" s="210"/>
      <c r="M144" s="210"/>
      <c r="N144" s="210"/>
    </row>
    <row r="145" spans="9:14" x14ac:dyDescent="0.15">
      <c r="I145" s="210"/>
      <c r="J145" s="210"/>
      <c r="K145" s="210"/>
      <c r="L145" s="210"/>
      <c r="M145" s="210"/>
      <c r="N145" s="210"/>
    </row>
    <row r="146" spans="9:14" x14ac:dyDescent="0.15">
      <c r="I146" s="210"/>
      <c r="J146" s="210"/>
      <c r="K146" s="210"/>
      <c r="L146" s="210"/>
      <c r="M146" s="210"/>
      <c r="N146" s="210"/>
    </row>
    <row r="147" spans="9:14" x14ac:dyDescent="0.15">
      <c r="I147" s="210"/>
      <c r="J147" s="210"/>
      <c r="K147" s="210"/>
      <c r="L147" s="210"/>
      <c r="M147" s="210"/>
      <c r="N147" s="210"/>
    </row>
    <row r="148" spans="9:14" x14ac:dyDescent="0.15">
      <c r="I148" s="210"/>
      <c r="J148" s="210"/>
      <c r="K148" s="210"/>
      <c r="L148" s="210"/>
      <c r="M148" s="210"/>
      <c r="N148" s="210"/>
    </row>
    <row r="149" spans="9:14" x14ac:dyDescent="0.15">
      <c r="I149" s="210"/>
      <c r="J149" s="210"/>
      <c r="K149" s="210"/>
      <c r="L149" s="210"/>
      <c r="M149" s="210"/>
      <c r="N149" s="210"/>
    </row>
    <row r="150" spans="9:14" x14ac:dyDescent="0.15">
      <c r="I150" s="210"/>
      <c r="J150" s="210"/>
      <c r="K150" s="210"/>
      <c r="L150" s="210"/>
      <c r="M150" s="210"/>
      <c r="N150" s="210"/>
    </row>
    <row r="151" spans="9:14" x14ac:dyDescent="0.15">
      <c r="I151" s="210"/>
      <c r="J151" s="210"/>
      <c r="K151" s="210"/>
      <c r="L151" s="210"/>
      <c r="M151" s="210"/>
      <c r="N151" s="210"/>
    </row>
    <row r="152" spans="9:14" x14ac:dyDescent="0.15">
      <c r="I152" s="210"/>
      <c r="J152" s="210"/>
      <c r="K152" s="210"/>
      <c r="L152" s="210"/>
      <c r="M152" s="210"/>
      <c r="N152" s="210"/>
    </row>
    <row r="153" spans="9:14" x14ac:dyDescent="0.15">
      <c r="I153" s="210"/>
      <c r="J153" s="210"/>
      <c r="K153" s="210"/>
      <c r="L153" s="210"/>
      <c r="M153" s="210"/>
      <c r="N153" s="210"/>
    </row>
    <row r="154" spans="9:14" x14ac:dyDescent="0.15">
      <c r="I154" s="210"/>
      <c r="J154" s="210"/>
      <c r="K154" s="210"/>
      <c r="L154" s="210"/>
      <c r="M154" s="210"/>
      <c r="N154" s="210"/>
    </row>
    <row r="155" spans="9:14" x14ac:dyDescent="0.15">
      <c r="J155" s="210"/>
      <c r="K155" s="210"/>
      <c r="L155" s="210"/>
      <c r="M155" s="210"/>
      <c r="N155" s="210"/>
    </row>
    <row r="156" spans="9:14" x14ac:dyDescent="0.15">
      <c r="J156" s="210"/>
      <c r="K156" s="210"/>
      <c r="L156" s="210"/>
      <c r="M156" s="210"/>
      <c r="N156" s="210"/>
    </row>
    <row r="173" spans="15:15" x14ac:dyDescent="0.15">
      <c r="O173" s="210"/>
    </row>
    <row r="174" spans="15:15" x14ac:dyDescent="0.15">
      <c r="O174" s="210"/>
    </row>
    <row r="175" spans="15:15" x14ac:dyDescent="0.15">
      <c r="O175" s="210"/>
    </row>
    <row r="176" spans="15:15" x14ac:dyDescent="0.15">
      <c r="O176" s="210"/>
    </row>
    <row r="177" spans="15:15" x14ac:dyDescent="0.15">
      <c r="O177" s="210"/>
    </row>
    <row r="178" spans="15:15" x14ac:dyDescent="0.15">
      <c r="O178" s="210"/>
    </row>
    <row r="179" spans="15:15" x14ac:dyDescent="0.15">
      <c r="O179" s="210"/>
    </row>
    <row r="180" spans="15:15" x14ac:dyDescent="0.15">
      <c r="O180" s="210"/>
    </row>
    <row r="181" spans="15:15" x14ac:dyDescent="0.15">
      <c r="O181" s="210"/>
    </row>
    <row r="182" spans="15:15" x14ac:dyDescent="0.15">
      <c r="O182" s="210"/>
    </row>
    <row r="183" spans="15:15" x14ac:dyDescent="0.15">
      <c r="O183" s="210"/>
    </row>
    <row r="184" spans="15:15" x14ac:dyDescent="0.15">
      <c r="O184" s="210"/>
    </row>
    <row r="185" spans="15:15" x14ac:dyDescent="0.15">
      <c r="O185" s="210"/>
    </row>
    <row r="186" spans="15:15" x14ac:dyDescent="0.15">
      <c r="O186" s="210"/>
    </row>
    <row r="187" spans="15:15" x14ac:dyDescent="0.15">
      <c r="O187" s="210"/>
    </row>
    <row r="188" spans="15:15" x14ac:dyDescent="0.15">
      <c r="O188" s="210"/>
    </row>
    <row r="189" spans="15:15" x14ac:dyDescent="0.15">
      <c r="O189" s="210"/>
    </row>
    <row r="190" spans="15:15" x14ac:dyDescent="0.15">
      <c r="O190" s="210"/>
    </row>
    <row r="191" spans="15:15" x14ac:dyDescent="0.15">
      <c r="O191" s="210"/>
    </row>
    <row r="192" spans="15:15" x14ac:dyDescent="0.15">
      <c r="O192" s="210"/>
    </row>
  </sheetData>
  <mergeCells count="70">
    <mergeCell ref="P57:Q57"/>
    <mergeCell ref="Q45:Q49"/>
    <mergeCell ref="Q51:Q55"/>
    <mergeCell ref="P45:P56"/>
    <mergeCell ref="I57:J57"/>
    <mergeCell ref="K45:L45"/>
    <mergeCell ref="K48:L48"/>
    <mergeCell ref="K49:L49"/>
    <mergeCell ref="Q37:R37"/>
    <mergeCell ref="T14:U14"/>
    <mergeCell ref="M4:M5"/>
    <mergeCell ref="N4:N5"/>
    <mergeCell ref="T7:U7"/>
    <mergeCell ref="T8:U8"/>
    <mergeCell ref="T9:U9"/>
    <mergeCell ref="T11:U11"/>
    <mergeCell ref="T12:U12"/>
    <mergeCell ref="T13:U13"/>
    <mergeCell ref="T21:U21"/>
    <mergeCell ref="T15:U15"/>
    <mergeCell ref="T16:U16"/>
    <mergeCell ref="T19:U19"/>
    <mergeCell ref="T20:U20"/>
    <mergeCell ref="T17:U17"/>
    <mergeCell ref="J4:J5"/>
    <mergeCell ref="I4:I5"/>
    <mergeCell ref="T4:U4"/>
    <mergeCell ref="T5:U5"/>
    <mergeCell ref="T6:U6"/>
    <mergeCell ref="I6:I12"/>
    <mergeCell ref="T18:U18"/>
    <mergeCell ref="B54:B57"/>
    <mergeCell ref="B50:B53"/>
    <mergeCell ref="B5:B7"/>
    <mergeCell ref="B12:B16"/>
    <mergeCell ref="B21:B24"/>
    <mergeCell ref="B17:B20"/>
    <mergeCell ref="B28:B38"/>
    <mergeCell ref="B39:B49"/>
    <mergeCell ref="K57:L57"/>
    <mergeCell ref="K36:L36"/>
    <mergeCell ref="K37:L37"/>
    <mergeCell ref="K39:L39"/>
    <mergeCell ref="K40:L40"/>
    <mergeCell ref="K50:L50"/>
    <mergeCell ref="K47:L47"/>
    <mergeCell ref="K42:L42"/>
    <mergeCell ref="I51:I56"/>
    <mergeCell ref="K51:L51"/>
    <mergeCell ref="K52:L52"/>
    <mergeCell ref="K53:L53"/>
    <mergeCell ref="K54:L54"/>
    <mergeCell ref="K55:L55"/>
    <mergeCell ref="K56:L56"/>
    <mergeCell ref="P38:P44"/>
    <mergeCell ref="I36:I42"/>
    <mergeCell ref="B8:B11"/>
    <mergeCell ref="I43:I46"/>
    <mergeCell ref="I47:I50"/>
    <mergeCell ref="K43:L43"/>
    <mergeCell ref="K44:L44"/>
    <mergeCell ref="K46:L46"/>
    <mergeCell ref="I13:I16"/>
    <mergeCell ref="K35:L35"/>
    <mergeCell ref="I29:I32"/>
    <mergeCell ref="I25:I28"/>
    <mergeCell ref="I17:I20"/>
    <mergeCell ref="I21:I24"/>
    <mergeCell ref="K41:L41"/>
    <mergeCell ref="K38:L38"/>
  </mergeCells>
  <phoneticPr fontId="6"/>
  <pageMargins left="0.78740157480314965" right="0.78740157480314965" top="0.78740157480314965" bottom="0.78740157480314965" header="0.39370078740157483" footer="0.39370078740157483"/>
  <pageSetup paperSize="9" scale="61" orientation="landscape" r:id="rId1"/>
  <headerFooter alignWithMargins="0">
    <oddHeader>&amp;R&amp;A</oddHeader>
  </headerFooter>
  <ignoredErrors>
    <ignoredError sqref="G16 G2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V192"/>
  <sheetViews>
    <sheetView zoomScale="75" zoomScaleNormal="75" workbookViewId="0"/>
  </sheetViews>
  <sheetFormatPr defaultRowHeight="13.5" x14ac:dyDescent="0.15"/>
  <cols>
    <col min="1" max="1" width="1.625" style="86" customWidth="1"/>
    <col min="2" max="2" width="3.625" style="86" customWidth="1"/>
    <col min="3" max="3" width="19.5" style="86" customWidth="1"/>
    <col min="4" max="7" width="8.625" style="86" customWidth="1"/>
    <col min="8" max="8" width="2.375" style="210" customWidth="1"/>
    <col min="9" max="9" width="3.625" style="86" customWidth="1"/>
    <col min="10" max="10" width="15.625" style="86" customWidth="1"/>
    <col min="11" max="14" width="8.625" style="86" customWidth="1"/>
    <col min="15" max="15" width="3.5" style="86" customWidth="1"/>
    <col min="16" max="16" width="15.625" style="181" customWidth="1"/>
    <col min="17" max="17" width="8.625" style="86" customWidth="1"/>
    <col min="18" max="18" width="8.625" style="87" customWidth="1"/>
    <col min="19" max="21" width="8.625" style="86" customWidth="1"/>
    <col min="22" max="22" width="10.625" style="87" customWidth="1"/>
    <col min="23" max="262" width="8.875" style="86"/>
    <col min="263" max="263" width="1.375" style="86" customWidth="1"/>
    <col min="264" max="264" width="3.5" style="86" customWidth="1"/>
    <col min="265" max="265" width="22.125" style="86" customWidth="1"/>
    <col min="266" max="266" width="9.75" style="86" customWidth="1"/>
    <col min="267" max="267" width="7.375" style="86" customWidth="1"/>
    <col min="268" max="268" width="8.875" style="86"/>
    <col min="269" max="269" width="9.25" style="86" customWidth="1"/>
    <col min="270" max="270" width="3.5" style="86" customWidth="1"/>
    <col min="271" max="272" width="12.625" style="86" customWidth="1"/>
    <col min="273" max="273" width="8.875" style="86"/>
    <col min="274" max="274" width="7.75" style="86" customWidth="1"/>
    <col min="275" max="275" width="13.125" style="86" customWidth="1"/>
    <col min="276" max="276" width="6.125" style="86" customWidth="1"/>
    <col min="277" max="277" width="9.75" style="86" customWidth="1"/>
    <col min="278" max="278" width="1.375" style="86" customWidth="1"/>
    <col min="279" max="518" width="8.875" style="86"/>
    <col min="519" max="519" width="1.375" style="86" customWidth="1"/>
    <col min="520" max="520" width="3.5" style="86" customWidth="1"/>
    <col min="521" max="521" width="22.125" style="86" customWidth="1"/>
    <col min="522" max="522" width="9.75" style="86" customWidth="1"/>
    <col min="523" max="523" width="7.375" style="86" customWidth="1"/>
    <col min="524" max="524" width="8.875" style="86"/>
    <col min="525" max="525" width="9.25" style="86" customWidth="1"/>
    <col min="526" max="526" width="3.5" style="86" customWidth="1"/>
    <col min="527" max="528" width="12.625" style="86" customWidth="1"/>
    <col min="529" max="529" width="8.875" style="86"/>
    <col min="530" max="530" width="7.75" style="86" customWidth="1"/>
    <col min="531" max="531" width="13.125" style="86" customWidth="1"/>
    <col min="532" max="532" width="6.125" style="86" customWidth="1"/>
    <col min="533" max="533" width="9.75" style="86" customWidth="1"/>
    <col min="534" max="534" width="1.375" style="86" customWidth="1"/>
    <col min="535" max="774" width="8.875" style="86"/>
    <col min="775" max="775" width="1.375" style="86" customWidth="1"/>
    <col min="776" max="776" width="3.5" style="86" customWidth="1"/>
    <col min="777" max="777" width="22.125" style="86" customWidth="1"/>
    <col min="778" max="778" width="9.75" style="86" customWidth="1"/>
    <col min="779" max="779" width="7.375" style="86" customWidth="1"/>
    <col min="780" max="780" width="8.875" style="86"/>
    <col min="781" max="781" width="9.25" style="86" customWidth="1"/>
    <col min="782" max="782" width="3.5" style="86" customWidth="1"/>
    <col min="783" max="784" width="12.625" style="86" customWidth="1"/>
    <col min="785" max="785" width="8.875" style="86"/>
    <col min="786" max="786" width="7.75" style="86" customWidth="1"/>
    <col min="787" max="787" width="13.125" style="86" customWidth="1"/>
    <col min="788" max="788" width="6.125" style="86" customWidth="1"/>
    <col min="789" max="789" width="9.75" style="86" customWidth="1"/>
    <col min="790" max="790" width="1.375" style="86" customWidth="1"/>
    <col min="791" max="1030" width="8.875" style="86"/>
    <col min="1031" max="1031" width="1.375" style="86" customWidth="1"/>
    <col min="1032" max="1032" width="3.5" style="86" customWidth="1"/>
    <col min="1033" max="1033" width="22.125" style="86" customWidth="1"/>
    <col min="1034" max="1034" width="9.75" style="86" customWidth="1"/>
    <col min="1035" max="1035" width="7.375" style="86" customWidth="1"/>
    <col min="1036" max="1036" width="8.875" style="86"/>
    <col min="1037" max="1037" width="9.25" style="86" customWidth="1"/>
    <col min="1038" max="1038" width="3.5" style="86" customWidth="1"/>
    <col min="1039" max="1040" width="12.625" style="86" customWidth="1"/>
    <col min="1041" max="1041" width="8.875" style="86"/>
    <col min="1042" max="1042" width="7.75" style="86" customWidth="1"/>
    <col min="1043" max="1043" width="13.125" style="86" customWidth="1"/>
    <col min="1044" max="1044" width="6.125" style="86" customWidth="1"/>
    <col min="1045" max="1045" width="9.75" style="86" customWidth="1"/>
    <col min="1046" max="1046" width="1.375" style="86" customWidth="1"/>
    <col min="1047" max="1286" width="8.875" style="86"/>
    <col min="1287" max="1287" width="1.375" style="86" customWidth="1"/>
    <col min="1288" max="1288" width="3.5" style="86" customWidth="1"/>
    <col min="1289" max="1289" width="22.125" style="86" customWidth="1"/>
    <col min="1290" max="1290" width="9.75" style="86" customWidth="1"/>
    <col min="1291" max="1291" width="7.375" style="86" customWidth="1"/>
    <col min="1292" max="1292" width="8.875" style="86"/>
    <col min="1293" max="1293" width="9.25" style="86" customWidth="1"/>
    <col min="1294" max="1294" width="3.5" style="86" customWidth="1"/>
    <col min="1295" max="1296" width="12.625" style="86" customWidth="1"/>
    <col min="1297" max="1297" width="8.875" style="86"/>
    <col min="1298" max="1298" width="7.75" style="86" customWidth="1"/>
    <col min="1299" max="1299" width="13.125" style="86" customWidth="1"/>
    <col min="1300" max="1300" width="6.125" style="86" customWidth="1"/>
    <col min="1301" max="1301" width="9.75" style="86" customWidth="1"/>
    <col min="1302" max="1302" width="1.375" style="86" customWidth="1"/>
    <col min="1303" max="1542" width="8.875" style="86"/>
    <col min="1543" max="1543" width="1.375" style="86" customWidth="1"/>
    <col min="1544" max="1544" width="3.5" style="86" customWidth="1"/>
    <col min="1545" max="1545" width="22.125" style="86" customWidth="1"/>
    <col min="1546" max="1546" width="9.75" style="86" customWidth="1"/>
    <col min="1547" max="1547" width="7.375" style="86" customWidth="1"/>
    <col min="1548" max="1548" width="8.875" style="86"/>
    <col min="1549" max="1549" width="9.25" style="86" customWidth="1"/>
    <col min="1550" max="1550" width="3.5" style="86" customWidth="1"/>
    <col min="1551" max="1552" width="12.625" style="86" customWidth="1"/>
    <col min="1553" max="1553" width="8.875" style="86"/>
    <col min="1554" max="1554" width="7.75" style="86" customWidth="1"/>
    <col min="1555" max="1555" width="13.125" style="86" customWidth="1"/>
    <col min="1556" max="1556" width="6.125" style="86" customWidth="1"/>
    <col min="1557" max="1557" width="9.75" style="86" customWidth="1"/>
    <col min="1558" max="1558" width="1.375" style="86" customWidth="1"/>
    <col min="1559" max="1798" width="8.875" style="86"/>
    <col min="1799" max="1799" width="1.375" style="86" customWidth="1"/>
    <col min="1800" max="1800" width="3.5" style="86" customWidth="1"/>
    <col min="1801" max="1801" width="22.125" style="86" customWidth="1"/>
    <col min="1802" max="1802" width="9.75" style="86" customWidth="1"/>
    <col min="1803" max="1803" width="7.375" style="86" customWidth="1"/>
    <col min="1804" max="1804" width="8.875" style="86"/>
    <col min="1805" max="1805" width="9.25" style="86" customWidth="1"/>
    <col min="1806" max="1806" width="3.5" style="86" customWidth="1"/>
    <col min="1807" max="1808" width="12.625" style="86" customWidth="1"/>
    <col min="1809" max="1809" width="8.875" style="86"/>
    <col min="1810" max="1810" width="7.75" style="86" customWidth="1"/>
    <col min="1811" max="1811" width="13.125" style="86" customWidth="1"/>
    <col min="1812" max="1812" width="6.125" style="86" customWidth="1"/>
    <col min="1813" max="1813" width="9.75" style="86" customWidth="1"/>
    <col min="1814" max="1814" width="1.375" style="86" customWidth="1"/>
    <col min="1815" max="2054" width="8.875" style="86"/>
    <col min="2055" max="2055" width="1.375" style="86" customWidth="1"/>
    <col min="2056" max="2056" width="3.5" style="86" customWidth="1"/>
    <col min="2057" max="2057" width="22.125" style="86" customWidth="1"/>
    <col min="2058" max="2058" width="9.75" style="86" customWidth="1"/>
    <col min="2059" max="2059" width="7.375" style="86" customWidth="1"/>
    <col min="2060" max="2060" width="8.875" style="86"/>
    <col min="2061" max="2061" width="9.25" style="86" customWidth="1"/>
    <col min="2062" max="2062" width="3.5" style="86" customWidth="1"/>
    <col min="2063" max="2064" width="12.625" style="86" customWidth="1"/>
    <col min="2065" max="2065" width="8.875" style="86"/>
    <col min="2066" max="2066" width="7.75" style="86" customWidth="1"/>
    <col min="2067" max="2067" width="13.125" style="86" customWidth="1"/>
    <col min="2068" max="2068" width="6.125" style="86" customWidth="1"/>
    <col min="2069" max="2069" width="9.75" style="86" customWidth="1"/>
    <col min="2070" max="2070" width="1.375" style="86" customWidth="1"/>
    <col min="2071" max="2310" width="8.875" style="86"/>
    <col min="2311" max="2311" width="1.375" style="86" customWidth="1"/>
    <col min="2312" max="2312" width="3.5" style="86" customWidth="1"/>
    <col min="2313" max="2313" width="22.125" style="86" customWidth="1"/>
    <col min="2314" max="2314" width="9.75" style="86" customWidth="1"/>
    <col min="2315" max="2315" width="7.375" style="86" customWidth="1"/>
    <col min="2316" max="2316" width="8.875" style="86"/>
    <col min="2317" max="2317" width="9.25" style="86" customWidth="1"/>
    <col min="2318" max="2318" width="3.5" style="86" customWidth="1"/>
    <col min="2319" max="2320" width="12.625" style="86" customWidth="1"/>
    <col min="2321" max="2321" width="8.875" style="86"/>
    <col min="2322" max="2322" width="7.75" style="86" customWidth="1"/>
    <col min="2323" max="2323" width="13.125" style="86" customWidth="1"/>
    <col min="2324" max="2324" width="6.125" style="86" customWidth="1"/>
    <col min="2325" max="2325" width="9.75" style="86" customWidth="1"/>
    <col min="2326" max="2326" width="1.375" style="86" customWidth="1"/>
    <col min="2327" max="2566" width="8.875" style="86"/>
    <col min="2567" max="2567" width="1.375" style="86" customWidth="1"/>
    <col min="2568" max="2568" width="3.5" style="86" customWidth="1"/>
    <col min="2569" max="2569" width="22.125" style="86" customWidth="1"/>
    <col min="2570" max="2570" width="9.75" style="86" customWidth="1"/>
    <col min="2571" max="2571" width="7.375" style="86" customWidth="1"/>
    <col min="2572" max="2572" width="8.875" style="86"/>
    <col min="2573" max="2573" width="9.25" style="86" customWidth="1"/>
    <col min="2574" max="2574" width="3.5" style="86" customWidth="1"/>
    <col min="2575" max="2576" width="12.625" style="86" customWidth="1"/>
    <col min="2577" max="2577" width="8.875" style="86"/>
    <col min="2578" max="2578" width="7.75" style="86" customWidth="1"/>
    <col min="2579" max="2579" width="13.125" style="86" customWidth="1"/>
    <col min="2580" max="2580" width="6.125" style="86" customWidth="1"/>
    <col min="2581" max="2581" width="9.75" style="86" customWidth="1"/>
    <col min="2582" max="2582" width="1.375" style="86" customWidth="1"/>
    <col min="2583" max="2822" width="8.875" style="86"/>
    <col min="2823" max="2823" width="1.375" style="86" customWidth="1"/>
    <col min="2824" max="2824" width="3.5" style="86" customWidth="1"/>
    <col min="2825" max="2825" width="22.125" style="86" customWidth="1"/>
    <col min="2826" max="2826" width="9.75" style="86" customWidth="1"/>
    <col min="2827" max="2827" width="7.375" style="86" customWidth="1"/>
    <col min="2828" max="2828" width="8.875" style="86"/>
    <col min="2829" max="2829" width="9.25" style="86" customWidth="1"/>
    <col min="2830" max="2830" width="3.5" style="86" customWidth="1"/>
    <col min="2831" max="2832" width="12.625" style="86" customWidth="1"/>
    <col min="2833" max="2833" width="8.875" style="86"/>
    <col min="2834" max="2834" width="7.75" style="86" customWidth="1"/>
    <col min="2835" max="2835" width="13.125" style="86" customWidth="1"/>
    <col min="2836" max="2836" width="6.125" style="86" customWidth="1"/>
    <col min="2837" max="2837" width="9.75" style="86" customWidth="1"/>
    <col min="2838" max="2838" width="1.375" style="86" customWidth="1"/>
    <col min="2839" max="3078" width="8.875" style="86"/>
    <col min="3079" max="3079" width="1.375" style="86" customWidth="1"/>
    <col min="3080" max="3080" width="3.5" style="86" customWidth="1"/>
    <col min="3081" max="3081" width="22.125" style="86" customWidth="1"/>
    <col min="3082" max="3082" width="9.75" style="86" customWidth="1"/>
    <col min="3083" max="3083" width="7.375" style="86" customWidth="1"/>
    <col min="3084" max="3084" width="8.875" style="86"/>
    <col min="3085" max="3085" width="9.25" style="86" customWidth="1"/>
    <col min="3086" max="3086" width="3.5" style="86" customWidth="1"/>
    <col min="3087" max="3088" width="12.625" style="86" customWidth="1"/>
    <col min="3089" max="3089" width="8.875" style="86"/>
    <col min="3090" max="3090" width="7.75" style="86" customWidth="1"/>
    <col min="3091" max="3091" width="13.125" style="86" customWidth="1"/>
    <col min="3092" max="3092" width="6.125" style="86" customWidth="1"/>
    <col min="3093" max="3093" width="9.75" style="86" customWidth="1"/>
    <col min="3094" max="3094" width="1.375" style="86" customWidth="1"/>
    <col min="3095" max="3334" width="8.875" style="86"/>
    <col min="3335" max="3335" width="1.375" style="86" customWidth="1"/>
    <col min="3336" max="3336" width="3.5" style="86" customWidth="1"/>
    <col min="3337" max="3337" width="22.125" style="86" customWidth="1"/>
    <col min="3338" max="3338" width="9.75" style="86" customWidth="1"/>
    <col min="3339" max="3339" width="7.375" style="86" customWidth="1"/>
    <col min="3340" max="3340" width="8.875" style="86"/>
    <col min="3341" max="3341" width="9.25" style="86" customWidth="1"/>
    <col min="3342" max="3342" width="3.5" style="86" customWidth="1"/>
    <col min="3343" max="3344" width="12.625" style="86" customWidth="1"/>
    <col min="3345" max="3345" width="8.875" style="86"/>
    <col min="3346" max="3346" width="7.75" style="86" customWidth="1"/>
    <col min="3347" max="3347" width="13.125" style="86" customWidth="1"/>
    <col min="3348" max="3348" width="6.125" style="86" customWidth="1"/>
    <col min="3349" max="3349" width="9.75" style="86" customWidth="1"/>
    <col min="3350" max="3350" width="1.375" style="86" customWidth="1"/>
    <col min="3351" max="3590" width="8.875" style="86"/>
    <col min="3591" max="3591" width="1.375" style="86" customWidth="1"/>
    <col min="3592" max="3592" width="3.5" style="86" customWidth="1"/>
    <col min="3593" max="3593" width="22.125" style="86" customWidth="1"/>
    <col min="3594" max="3594" width="9.75" style="86" customWidth="1"/>
    <col min="3595" max="3595" width="7.375" style="86" customWidth="1"/>
    <col min="3596" max="3596" width="8.875" style="86"/>
    <col min="3597" max="3597" width="9.25" style="86" customWidth="1"/>
    <col min="3598" max="3598" width="3.5" style="86" customWidth="1"/>
    <col min="3599" max="3600" width="12.625" style="86" customWidth="1"/>
    <col min="3601" max="3601" width="8.875" style="86"/>
    <col min="3602" max="3602" width="7.75" style="86" customWidth="1"/>
    <col min="3603" max="3603" width="13.125" style="86" customWidth="1"/>
    <col min="3604" max="3604" width="6.125" style="86" customWidth="1"/>
    <col min="3605" max="3605" width="9.75" style="86" customWidth="1"/>
    <col min="3606" max="3606" width="1.375" style="86" customWidth="1"/>
    <col min="3607" max="3846" width="8.875" style="86"/>
    <col min="3847" max="3847" width="1.375" style="86" customWidth="1"/>
    <col min="3848" max="3848" width="3.5" style="86" customWidth="1"/>
    <col min="3849" max="3849" width="22.125" style="86" customWidth="1"/>
    <col min="3850" max="3850" width="9.75" style="86" customWidth="1"/>
    <col min="3851" max="3851" width="7.375" style="86" customWidth="1"/>
    <col min="3852" max="3852" width="8.875" style="86"/>
    <col min="3853" max="3853" width="9.25" style="86" customWidth="1"/>
    <col min="3854" max="3854" width="3.5" style="86" customWidth="1"/>
    <col min="3855" max="3856" width="12.625" style="86" customWidth="1"/>
    <col min="3857" max="3857" width="8.875" style="86"/>
    <col min="3858" max="3858" width="7.75" style="86" customWidth="1"/>
    <col min="3859" max="3859" width="13.125" style="86" customWidth="1"/>
    <col min="3860" max="3860" width="6.125" style="86" customWidth="1"/>
    <col min="3861" max="3861" width="9.75" style="86" customWidth="1"/>
    <col min="3862" max="3862" width="1.375" style="86" customWidth="1"/>
    <col min="3863" max="4102" width="8.875" style="86"/>
    <col min="4103" max="4103" width="1.375" style="86" customWidth="1"/>
    <col min="4104" max="4104" width="3.5" style="86" customWidth="1"/>
    <col min="4105" max="4105" width="22.125" style="86" customWidth="1"/>
    <col min="4106" max="4106" width="9.75" style="86" customWidth="1"/>
    <col min="4107" max="4107" width="7.375" style="86" customWidth="1"/>
    <col min="4108" max="4108" width="8.875" style="86"/>
    <col min="4109" max="4109" width="9.25" style="86" customWidth="1"/>
    <col min="4110" max="4110" width="3.5" style="86" customWidth="1"/>
    <col min="4111" max="4112" width="12.625" style="86" customWidth="1"/>
    <col min="4113" max="4113" width="8.875" style="86"/>
    <col min="4114" max="4114" width="7.75" style="86" customWidth="1"/>
    <col min="4115" max="4115" width="13.125" style="86" customWidth="1"/>
    <col min="4116" max="4116" width="6.125" style="86" customWidth="1"/>
    <col min="4117" max="4117" width="9.75" style="86" customWidth="1"/>
    <col min="4118" max="4118" width="1.375" style="86" customWidth="1"/>
    <col min="4119" max="4358" width="8.875" style="86"/>
    <col min="4359" max="4359" width="1.375" style="86" customWidth="1"/>
    <col min="4360" max="4360" width="3.5" style="86" customWidth="1"/>
    <col min="4361" max="4361" width="22.125" style="86" customWidth="1"/>
    <col min="4362" max="4362" width="9.75" style="86" customWidth="1"/>
    <col min="4363" max="4363" width="7.375" style="86" customWidth="1"/>
    <col min="4364" max="4364" width="8.875" style="86"/>
    <col min="4365" max="4365" width="9.25" style="86" customWidth="1"/>
    <col min="4366" max="4366" width="3.5" style="86" customWidth="1"/>
    <col min="4367" max="4368" width="12.625" style="86" customWidth="1"/>
    <col min="4369" max="4369" width="8.875" style="86"/>
    <col min="4370" max="4370" width="7.75" style="86" customWidth="1"/>
    <col min="4371" max="4371" width="13.125" style="86" customWidth="1"/>
    <col min="4372" max="4372" width="6.125" style="86" customWidth="1"/>
    <col min="4373" max="4373" width="9.75" style="86" customWidth="1"/>
    <col min="4374" max="4374" width="1.375" style="86" customWidth="1"/>
    <col min="4375" max="4614" width="8.875" style="86"/>
    <col min="4615" max="4615" width="1.375" style="86" customWidth="1"/>
    <col min="4616" max="4616" width="3.5" style="86" customWidth="1"/>
    <col min="4617" max="4617" width="22.125" style="86" customWidth="1"/>
    <col min="4618" max="4618" width="9.75" style="86" customWidth="1"/>
    <col min="4619" max="4619" width="7.375" style="86" customWidth="1"/>
    <col min="4620" max="4620" width="8.875" style="86"/>
    <col min="4621" max="4621" width="9.25" style="86" customWidth="1"/>
    <col min="4622" max="4622" width="3.5" style="86" customWidth="1"/>
    <col min="4623" max="4624" width="12.625" style="86" customWidth="1"/>
    <col min="4625" max="4625" width="8.875" style="86"/>
    <col min="4626" max="4626" width="7.75" style="86" customWidth="1"/>
    <col min="4627" max="4627" width="13.125" style="86" customWidth="1"/>
    <col min="4628" max="4628" width="6.125" style="86" customWidth="1"/>
    <col min="4629" max="4629" width="9.75" style="86" customWidth="1"/>
    <col min="4630" max="4630" width="1.375" style="86" customWidth="1"/>
    <col min="4631" max="4870" width="8.875" style="86"/>
    <col min="4871" max="4871" width="1.375" style="86" customWidth="1"/>
    <col min="4872" max="4872" width="3.5" style="86" customWidth="1"/>
    <col min="4873" max="4873" width="22.125" style="86" customWidth="1"/>
    <col min="4874" max="4874" width="9.75" style="86" customWidth="1"/>
    <col min="4875" max="4875" width="7.375" style="86" customWidth="1"/>
    <col min="4876" max="4876" width="8.875" style="86"/>
    <col min="4877" max="4877" width="9.25" style="86" customWidth="1"/>
    <col min="4878" max="4878" width="3.5" style="86" customWidth="1"/>
    <col min="4879" max="4880" width="12.625" style="86" customWidth="1"/>
    <col min="4881" max="4881" width="8.875" style="86"/>
    <col min="4882" max="4882" width="7.75" style="86" customWidth="1"/>
    <col min="4883" max="4883" width="13.125" style="86" customWidth="1"/>
    <col min="4884" max="4884" width="6.125" style="86" customWidth="1"/>
    <col min="4885" max="4885" width="9.75" style="86" customWidth="1"/>
    <col min="4886" max="4886" width="1.375" style="86" customWidth="1"/>
    <col min="4887" max="5126" width="8.875" style="86"/>
    <col min="5127" max="5127" width="1.375" style="86" customWidth="1"/>
    <col min="5128" max="5128" width="3.5" style="86" customWidth="1"/>
    <col min="5129" max="5129" width="22.125" style="86" customWidth="1"/>
    <col min="5130" max="5130" width="9.75" style="86" customWidth="1"/>
    <col min="5131" max="5131" width="7.375" style="86" customWidth="1"/>
    <col min="5132" max="5132" width="8.875" style="86"/>
    <col min="5133" max="5133" width="9.25" style="86" customWidth="1"/>
    <col min="5134" max="5134" width="3.5" style="86" customWidth="1"/>
    <col min="5135" max="5136" width="12.625" style="86" customWidth="1"/>
    <col min="5137" max="5137" width="8.875" style="86"/>
    <col min="5138" max="5138" width="7.75" style="86" customWidth="1"/>
    <col min="5139" max="5139" width="13.125" style="86" customWidth="1"/>
    <col min="5140" max="5140" width="6.125" style="86" customWidth="1"/>
    <col min="5141" max="5141" width="9.75" style="86" customWidth="1"/>
    <col min="5142" max="5142" width="1.375" style="86" customWidth="1"/>
    <col min="5143" max="5382" width="8.875" style="86"/>
    <col min="5383" max="5383" width="1.375" style="86" customWidth="1"/>
    <col min="5384" max="5384" width="3.5" style="86" customWidth="1"/>
    <col min="5385" max="5385" width="22.125" style="86" customWidth="1"/>
    <col min="5386" max="5386" width="9.75" style="86" customWidth="1"/>
    <col min="5387" max="5387" width="7.375" style="86" customWidth="1"/>
    <col min="5388" max="5388" width="8.875" style="86"/>
    <col min="5389" max="5389" width="9.25" style="86" customWidth="1"/>
    <col min="5390" max="5390" width="3.5" style="86" customWidth="1"/>
    <col min="5391" max="5392" width="12.625" style="86" customWidth="1"/>
    <col min="5393" max="5393" width="8.875" style="86"/>
    <col min="5394" max="5394" width="7.75" style="86" customWidth="1"/>
    <col min="5395" max="5395" width="13.125" style="86" customWidth="1"/>
    <col min="5396" max="5396" width="6.125" style="86" customWidth="1"/>
    <col min="5397" max="5397" width="9.75" style="86" customWidth="1"/>
    <col min="5398" max="5398" width="1.375" style="86" customWidth="1"/>
    <col min="5399" max="5638" width="8.875" style="86"/>
    <col min="5639" max="5639" width="1.375" style="86" customWidth="1"/>
    <col min="5640" max="5640" width="3.5" style="86" customWidth="1"/>
    <col min="5641" max="5641" width="22.125" style="86" customWidth="1"/>
    <col min="5642" max="5642" width="9.75" style="86" customWidth="1"/>
    <col min="5643" max="5643" width="7.375" style="86" customWidth="1"/>
    <col min="5644" max="5644" width="8.875" style="86"/>
    <col min="5645" max="5645" width="9.25" style="86" customWidth="1"/>
    <col min="5646" max="5646" width="3.5" style="86" customWidth="1"/>
    <col min="5647" max="5648" width="12.625" style="86" customWidth="1"/>
    <col min="5649" max="5649" width="8.875" style="86"/>
    <col min="5650" max="5650" width="7.75" style="86" customWidth="1"/>
    <col min="5651" max="5651" width="13.125" style="86" customWidth="1"/>
    <col min="5652" max="5652" width="6.125" style="86" customWidth="1"/>
    <col min="5653" max="5653" width="9.75" style="86" customWidth="1"/>
    <col min="5654" max="5654" width="1.375" style="86" customWidth="1"/>
    <col min="5655" max="5894" width="8.875" style="86"/>
    <col min="5895" max="5895" width="1.375" style="86" customWidth="1"/>
    <col min="5896" max="5896" width="3.5" style="86" customWidth="1"/>
    <col min="5897" max="5897" width="22.125" style="86" customWidth="1"/>
    <col min="5898" max="5898" width="9.75" style="86" customWidth="1"/>
    <col min="5899" max="5899" width="7.375" style="86" customWidth="1"/>
    <col min="5900" max="5900" width="8.875" style="86"/>
    <col min="5901" max="5901" width="9.25" style="86" customWidth="1"/>
    <col min="5902" max="5902" width="3.5" style="86" customWidth="1"/>
    <col min="5903" max="5904" width="12.625" style="86" customWidth="1"/>
    <col min="5905" max="5905" width="8.875" style="86"/>
    <col min="5906" max="5906" width="7.75" style="86" customWidth="1"/>
    <col min="5907" max="5907" width="13.125" style="86" customWidth="1"/>
    <col min="5908" max="5908" width="6.125" style="86" customWidth="1"/>
    <col min="5909" max="5909" width="9.75" style="86" customWidth="1"/>
    <col min="5910" max="5910" width="1.375" style="86" customWidth="1"/>
    <col min="5911" max="6150" width="8.875" style="86"/>
    <col min="6151" max="6151" width="1.375" style="86" customWidth="1"/>
    <col min="6152" max="6152" width="3.5" style="86" customWidth="1"/>
    <col min="6153" max="6153" width="22.125" style="86" customWidth="1"/>
    <col min="6154" max="6154" width="9.75" style="86" customWidth="1"/>
    <col min="6155" max="6155" width="7.375" style="86" customWidth="1"/>
    <col min="6156" max="6156" width="8.875" style="86"/>
    <col min="6157" max="6157" width="9.25" style="86" customWidth="1"/>
    <col min="6158" max="6158" width="3.5" style="86" customWidth="1"/>
    <col min="6159" max="6160" width="12.625" style="86" customWidth="1"/>
    <col min="6161" max="6161" width="8.875" style="86"/>
    <col min="6162" max="6162" width="7.75" style="86" customWidth="1"/>
    <col min="6163" max="6163" width="13.125" style="86" customWidth="1"/>
    <col min="6164" max="6164" width="6.125" style="86" customWidth="1"/>
    <col min="6165" max="6165" width="9.75" style="86" customWidth="1"/>
    <col min="6166" max="6166" width="1.375" style="86" customWidth="1"/>
    <col min="6167" max="6406" width="8.875" style="86"/>
    <col min="6407" max="6407" width="1.375" style="86" customWidth="1"/>
    <col min="6408" max="6408" width="3.5" style="86" customWidth="1"/>
    <col min="6409" max="6409" width="22.125" style="86" customWidth="1"/>
    <col min="6410" max="6410" width="9.75" style="86" customWidth="1"/>
    <col min="6411" max="6411" width="7.375" style="86" customWidth="1"/>
    <col min="6412" max="6412" width="8.875" style="86"/>
    <col min="6413" max="6413" width="9.25" style="86" customWidth="1"/>
    <col min="6414" max="6414" width="3.5" style="86" customWidth="1"/>
    <col min="6415" max="6416" width="12.625" style="86" customWidth="1"/>
    <col min="6417" max="6417" width="8.875" style="86"/>
    <col min="6418" max="6418" width="7.75" style="86" customWidth="1"/>
    <col min="6419" max="6419" width="13.125" style="86" customWidth="1"/>
    <col min="6420" max="6420" width="6.125" style="86" customWidth="1"/>
    <col min="6421" max="6421" width="9.75" style="86" customWidth="1"/>
    <col min="6422" max="6422" width="1.375" style="86" customWidth="1"/>
    <col min="6423" max="6662" width="8.875" style="86"/>
    <col min="6663" max="6663" width="1.375" style="86" customWidth="1"/>
    <col min="6664" max="6664" width="3.5" style="86" customWidth="1"/>
    <col min="6665" max="6665" width="22.125" style="86" customWidth="1"/>
    <col min="6666" max="6666" width="9.75" style="86" customWidth="1"/>
    <col min="6667" max="6667" width="7.375" style="86" customWidth="1"/>
    <col min="6668" max="6668" width="8.875" style="86"/>
    <col min="6669" max="6669" width="9.25" style="86" customWidth="1"/>
    <col min="6670" max="6670" width="3.5" style="86" customWidth="1"/>
    <col min="6671" max="6672" width="12.625" style="86" customWidth="1"/>
    <col min="6673" max="6673" width="8.875" style="86"/>
    <col min="6674" max="6674" width="7.75" style="86" customWidth="1"/>
    <col min="6675" max="6675" width="13.125" style="86" customWidth="1"/>
    <col min="6676" max="6676" width="6.125" style="86" customWidth="1"/>
    <col min="6677" max="6677" width="9.75" style="86" customWidth="1"/>
    <col min="6678" max="6678" width="1.375" style="86" customWidth="1"/>
    <col min="6679" max="6918" width="8.875" style="86"/>
    <col min="6919" max="6919" width="1.375" style="86" customWidth="1"/>
    <col min="6920" max="6920" width="3.5" style="86" customWidth="1"/>
    <col min="6921" max="6921" width="22.125" style="86" customWidth="1"/>
    <col min="6922" max="6922" width="9.75" style="86" customWidth="1"/>
    <col min="6923" max="6923" width="7.375" style="86" customWidth="1"/>
    <col min="6924" max="6924" width="8.875" style="86"/>
    <col min="6925" max="6925" width="9.25" style="86" customWidth="1"/>
    <col min="6926" max="6926" width="3.5" style="86" customWidth="1"/>
    <col min="6927" max="6928" width="12.625" style="86" customWidth="1"/>
    <col min="6929" max="6929" width="8.875" style="86"/>
    <col min="6930" max="6930" width="7.75" style="86" customWidth="1"/>
    <col min="6931" max="6931" width="13.125" style="86" customWidth="1"/>
    <col min="6932" max="6932" width="6.125" style="86" customWidth="1"/>
    <col min="6933" max="6933" width="9.75" style="86" customWidth="1"/>
    <col min="6934" max="6934" width="1.375" style="86" customWidth="1"/>
    <col min="6935" max="7174" width="8.875" style="86"/>
    <col min="7175" max="7175" width="1.375" style="86" customWidth="1"/>
    <col min="7176" max="7176" width="3.5" style="86" customWidth="1"/>
    <col min="7177" max="7177" width="22.125" style="86" customWidth="1"/>
    <col min="7178" max="7178" width="9.75" style="86" customWidth="1"/>
    <col min="7179" max="7179" width="7.375" style="86" customWidth="1"/>
    <col min="7180" max="7180" width="8.875" style="86"/>
    <col min="7181" max="7181" width="9.25" style="86" customWidth="1"/>
    <col min="7182" max="7182" width="3.5" style="86" customWidth="1"/>
    <col min="7183" max="7184" width="12.625" style="86" customWidth="1"/>
    <col min="7185" max="7185" width="8.875" style="86"/>
    <col min="7186" max="7186" width="7.75" style="86" customWidth="1"/>
    <col min="7187" max="7187" width="13.125" style="86" customWidth="1"/>
    <col min="7188" max="7188" width="6.125" style="86" customWidth="1"/>
    <col min="7189" max="7189" width="9.75" style="86" customWidth="1"/>
    <col min="7190" max="7190" width="1.375" style="86" customWidth="1"/>
    <col min="7191" max="7430" width="8.875" style="86"/>
    <col min="7431" max="7431" width="1.375" style="86" customWidth="1"/>
    <col min="7432" max="7432" width="3.5" style="86" customWidth="1"/>
    <col min="7433" max="7433" width="22.125" style="86" customWidth="1"/>
    <col min="7434" max="7434" width="9.75" style="86" customWidth="1"/>
    <col min="7435" max="7435" width="7.375" style="86" customWidth="1"/>
    <col min="7436" max="7436" width="8.875" style="86"/>
    <col min="7437" max="7437" width="9.25" style="86" customWidth="1"/>
    <col min="7438" max="7438" width="3.5" style="86" customWidth="1"/>
    <col min="7439" max="7440" width="12.625" style="86" customWidth="1"/>
    <col min="7441" max="7441" width="8.875" style="86"/>
    <col min="7442" max="7442" width="7.75" style="86" customWidth="1"/>
    <col min="7443" max="7443" width="13.125" style="86" customWidth="1"/>
    <col min="7444" max="7444" width="6.125" style="86" customWidth="1"/>
    <col min="7445" max="7445" width="9.75" style="86" customWidth="1"/>
    <col min="7446" max="7446" width="1.375" style="86" customWidth="1"/>
    <col min="7447" max="7686" width="8.875" style="86"/>
    <col min="7687" max="7687" width="1.375" style="86" customWidth="1"/>
    <col min="7688" max="7688" width="3.5" style="86" customWidth="1"/>
    <col min="7689" max="7689" width="22.125" style="86" customWidth="1"/>
    <col min="7690" max="7690" width="9.75" style="86" customWidth="1"/>
    <col min="7691" max="7691" width="7.375" style="86" customWidth="1"/>
    <col min="7692" max="7692" width="8.875" style="86"/>
    <col min="7693" max="7693" width="9.25" style="86" customWidth="1"/>
    <col min="7694" max="7694" width="3.5" style="86" customWidth="1"/>
    <col min="7695" max="7696" width="12.625" style="86" customWidth="1"/>
    <col min="7697" max="7697" width="8.875" style="86"/>
    <col min="7698" max="7698" width="7.75" style="86" customWidth="1"/>
    <col min="7699" max="7699" width="13.125" style="86" customWidth="1"/>
    <col min="7700" max="7700" width="6.125" style="86" customWidth="1"/>
    <col min="7701" max="7701" width="9.75" style="86" customWidth="1"/>
    <col min="7702" max="7702" width="1.375" style="86" customWidth="1"/>
    <col min="7703" max="7942" width="8.875" style="86"/>
    <col min="7943" max="7943" width="1.375" style="86" customWidth="1"/>
    <col min="7944" max="7944" width="3.5" style="86" customWidth="1"/>
    <col min="7945" max="7945" width="22.125" style="86" customWidth="1"/>
    <col min="7946" max="7946" width="9.75" style="86" customWidth="1"/>
    <col min="7947" max="7947" width="7.375" style="86" customWidth="1"/>
    <col min="7948" max="7948" width="8.875" style="86"/>
    <col min="7949" max="7949" width="9.25" style="86" customWidth="1"/>
    <col min="7950" max="7950" width="3.5" style="86" customWidth="1"/>
    <col min="7951" max="7952" width="12.625" style="86" customWidth="1"/>
    <col min="7953" max="7953" width="8.875" style="86"/>
    <col min="7954" max="7954" width="7.75" style="86" customWidth="1"/>
    <col min="7955" max="7955" width="13.125" style="86" customWidth="1"/>
    <col min="7956" max="7956" width="6.125" style="86" customWidth="1"/>
    <col min="7957" max="7957" width="9.75" style="86" customWidth="1"/>
    <col min="7958" max="7958" width="1.375" style="86" customWidth="1"/>
    <col min="7959" max="8198" width="8.875" style="86"/>
    <col min="8199" max="8199" width="1.375" style="86" customWidth="1"/>
    <col min="8200" max="8200" width="3.5" style="86" customWidth="1"/>
    <col min="8201" max="8201" width="22.125" style="86" customWidth="1"/>
    <col min="8202" max="8202" width="9.75" style="86" customWidth="1"/>
    <col min="8203" max="8203" width="7.375" style="86" customWidth="1"/>
    <col min="8204" max="8204" width="8.875" style="86"/>
    <col min="8205" max="8205" width="9.25" style="86" customWidth="1"/>
    <col min="8206" max="8206" width="3.5" style="86" customWidth="1"/>
    <col min="8207" max="8208" width="12.625" style="86" customWidth="1"/>
    <col min="8209" max="8209" width="8.875" style="86"/>
    <col min="8210" max="8210" width="7.75" style="86" customWidth="1"/>
    <col min="8211" max="8211" width="13.125" style="86" customWidth="1"/>
    <col min="8212" max="8212" width="6.125" style="86" customWidth="1"/>
    <col min="8213" max="8213" width="9.75" style="86" customWidth="1"/>
    <col min="8214" max="8214" width="1.375" style="86" customWidth="1"/>
    <col min="8215" max="8454" width="8.875" style="86"/>
    <col min="8455" max="8455" width="1.375" style="86" customWidth="1"/>
    <col min="8456" max="8456" width="3.5" style="86" customWidth="1"/>
    <col min="8457" max="8457" width="22.125" style="86" customWidth="1"/>
    <col min="8458" max="8458" width="9.75" style="86" customWidth="1"/>
    <col min="8459" max="8459" width="7.375" style="86" customWidth="1"/>
    <col min="8460" max="8460" width="8.875" style="86"/>
    <col min="8461" max="8461" width="9.25" style="86" customWidth="1"/>
    <col min="8462" max="8462" width="3.5" style="86" customWidth="1"/>
    <col min="8463" max="8464" width="12.625" style="86" customWidth="1"/>
    <col min="8465" max="8465" width="8.875" style="86"/>
    <col min="8466" max="8466" width="7.75" style="86" customWidth="1"/>
    <col min="8467" max="8467" width="13.125" style="86" customWidth="1"/>
    <col min="8468" max="8468" width="6.125" style="86" customWidth="1"/>
    <col min="8469" max="8469" width="9.75" style="86" customWidth="1"/>
    <col min="8470" max="8470" width="1.375" style="86" customWidth="1"/>
    <col min="8471" max="8710" width="8.875" style="86"/>
    <col min="8711" max="8711" width="1.375" style="86" customWidth="1"/>
    <col min="8712" max="8712" width="3.5" style="86" customWidth="1"/>
    <col min="8713" max="8713" width="22.125" style="86" customWidth="1"/>
    <col min="8714" max="8714" width="9.75" style="86" customWidth="1"/>
    <col min="8715" max="8715" width="7.375" style="86" customWidth="1"/>
    <col min="8716" max="8716" width="8.875" style="86"/>
    <col min="8717" max="8717" width="9.25" style="86" customWidth="1"/>
    <col min="8718" max="8718" width="3.5" style="86" customWidth="1"/>
    <col min="8719" max="8720" width="12.625" style="86" customWidth="1"/>
    <col min="8721" max="8721" width="8.875" style="86"/>
    <col min="8722" max="8722" width="7.75" style="86" customWidth="1"/>
    <col min="8723" max="8723" width="13.125" style="86" customWidth="1"/>
    <col min="8724" max="8724" width="6.125" style="86" customWidth="1"/>
    <col min="8725" max="8725" width="9.75" style="86" customWidth="1"/>
    <col min="8726" max="8726" width="1.375" style="86" customWidth="1"/>
    <col min="8727" max="8966" width="8.875" style="86"/>
    <col min="8967" max="8967" width="1.375" style="86" customWidth="1"/>
    <col min="8968" max="8968" width="3.5" style="86" customWidth="1"/>
    <col min="8969" max="8969" width="22.125" style="86" customWidth="1"/>
    <col min="8970" max="8970" width="9.75" style="86" customWidth="1"/>
    <col min="8971" max="8971" width="7.375" style="86" customWidth="1"/>
    <col min="8972" max="8972" width="8.875" style="86"/>
    <col min="8973" max="8973" width="9.25" style="86" customWidth="1"/>
    <col min="8974" max="8974" width="3.5" style="86" customWidth="1"/>
    <col min="8975" max="8976" width="12.625" style="86" customWidth="1"/>
    <col min="8977" max="8977" width="8.875" style="86"/>
    <col min="8978" max="8978" width="7.75" style="86" customWidth="1"/>
    <col min="8979" max="8979" width="13.125" style="86" customWidth="1"/>
    <col min="8980" max="8980" width="6.125" style="86" customWidth="1"/>
    <col min="8981" max="8981" width="9.75" style="86" customWidth="1"/>
    <col min="8982" max="8982" width="1.375" style="86" customWidth="1"/>
    <col min="8983" max="9222" width="8.875" style="86"/>
    <col min="9223" max="9223" width="1.375" style="86" customWidth="1"/>
    <col min="9224" max="9224" width="3.5" style="86" customWidth="1"/>
    <col min="9225" max="9225" width="22.125" style="86" customWidth="1"/>
    <col min="9226" max="9226" width="9.75" style="86" customWidth="1"/>
    <col min="9227" max="9227" width="7.375" style="86" customWidth="1"/>
    <col min="9228" max="9228" width="8.875" style="86"/>
    <col min="9229" max="9229" width="9.25" style="86" customWidth="1"/>
    <col min="9230" max="9230" width="3.5" style="86" customWidth="1"/>
    <col min="9231" max="9232" width="12.625" style="86" customWidth="1"/>
    <col min="9233" max="9233" width="8.875" style="86"/>
    <col min="9234" max="9234" width="7.75" style="86" customWidth="1"/>
    <col min="9235" max="9235" width="13.125" style="86" customWidth="1"/>
    <col min="9236" max="9236" width="6.125" style="86" customWidth="1"/>
    <col min="9237" max="9237" width="9.75" style="86" customWidth="1"/>
    <col min="9238" max="9238" width="1.375" style="86" customWidth="1"/>
    <col min="9239" max="9478" width="8.875" style="86"/>
    <col min="9479" max="9479" width="1.375" style="86" customWidth="1"/>
    <col min="9480" max="9480" width="3.5" style="86" customWidth="1"/>
    <col min="9481" max="9481" width="22.125" style="86" customWidth="1"/>
    <col min="9482" max="9482" width="9.75" style="86" customWidth="1"/>
    <col min="9483" max="9483" width="7.375" style="86" customWidth="1"/>
    <col min="9484" max="9484" width="8.875" style="86"/>
    <col min="9485" max="9485" width="9.25" style="86" customWidth="1"/>
    <col min="9486" max="9486" width="3.5" style="86" customWidth="1"/>
    <col min="9487" max="9488" width="12.625" style="86" customWidth="1"/>
    <col min="9489" max="9489" width="8.875" style="86"/>
    <col min="9490" max="9490" width="7.75" style="86" customWidth="1"/>
    <col min="9491" max="9491" width="13.125" style="86" customWidth="1"/>
    <col min="9492" max="9492" width="6.125" style="86" customWidth="1"/>
    <col min="9493" max="9493" width="9.75" style="86" customWidth="1"/>
    <col min="9494" max="9494" width="1.375" style="86" customWidth="1"/>
    <col min="9495" max="9734" width="8.875" style="86"/>
    <col min="9735" max="9735" width="1.375" style="86" customWidth="1"/>
    <col min="9736" max="9736" width="3.5" style="86" customWidth="1"/>
    <col min="9737" max="9737" width="22.125" style="86" customWidth="1"/>
    <col min="9738" max="9738" width="9.75" style="86" customWidth="1"/>
    <col min="9739" max="9739" width="7.375" style="86" customWidth="1"/>
    <col min="9740" max="9740" width="8.875" style="86"/>
    <col min="9741" max="9741" width="9.25" style="86" customWidth="1"/>
    <col min="9742" max="9742" width="3.5" style="86" customWidth="1"/>
    <col min="9743" max="9744" width="12.625" style="86" customWidth="1"/>
    <col min="9745" max="9745" width="8.875" style="86"/>
    <col min="9746" max="9746" width="7.75" style="86" customWidth="1"/>
    <col min="9747" max="9747" width="13.125" style="86" customWidth="1"/>
    <col min="9748" max="9748" width="6.125" style="86" customWidth="1"/>
    <col min="9749" max="9749" width="9.75" style="86" customWidth="1"/>
    <col min="9750" max="9750" width="1.375" style="86" customWidth="1"/>
    <col min="9751" max="9990" width="8.875" style="86"/>
    <col min="9991" max="9991" width="1.375" style="86" customWidth="1"/>
    <col min="9992" max="9992" width="3.5" style="86" customWidth="1"/>
    <col min="9993" max="9993" width="22.125" style="86" customWidth="1"/>
    <col min="9994" max="9994" width="9.75" style="86" customWidth="1"/>
    <col min="9995" max="9995" width="7.375" style="86" customWidth="1"/>
    <col min="9996" max="9996" width="8.875" style="86"/>
    <col min="9997" max="9997" width="9.25" style="86" customWidth="1"/>
    <col min="9998" max="9998" width="3.5" style="86" customWidth="1"/>
    <col min="9999" max="10000" width="12.625" style="86" customWidth="1"/>
    <col min="10001" max="10001" width="8.875" style="86"/>
    <col min="10002" max="10002" width="7.75" style="86" customWidth="1"/>
    <col min="10003" max="10003" width="13.125" style="86" customWidth="1"/>
    <col min="10004" max="10004" width="6.125" style="86" customWidth="1"/>
    <col min="10005" max="10005" width="9.75" style="86" customWidth="1"/>
    <col min="10006" max="10006" width="1.375" style="86" customWidth="1"/>
    <col min="10007" max="10246" width="8.875" style="86"/>
    <col min="10247" max="10247" width="1.375" style="86" customWidth="1"/>
    <col min="10248" max="10248" width="3.5" style="86" customWidth="1"/>
    <col min="10249" max="10249" width="22.125" style="86" customWidth="1"/>
    <col min="10250" max="10250" width="9.75" style="86" customWidth="1"/>
    <col min="10251" max="10251" width="7.375" style="86" customWidth="1"/>
    <col min="10252" max="10252" width="8.875" style="86"/>
    <col min="10253" max="10253" width="9.25" style="86" customWidth="1"/>
    <col min="10254" max="10254" width="3.5" style="86" customWidth="1"/>
    <col min="10255" max="10256" width="12.625" style="86" customWidth="1"/>
    <col min="10257" max="10257" width="8.875" style="86"/>
    <col min="10258" max="10258" width="7.75" style="86" customWidth="1"/>
    <col min="10259" max="10259" width="13.125" style="86" customWidth="1"/>
    <col min="10260" max="10260" width="6.125" style="86" customWidth="1"/>
    <col min="10261" max="10261" width="9.75" style="86" customWidth="1"/>
    <col min="10262" max="10262" width="1.375" style="86" customWidth="1"/>
    <col min="10263" max="10502" width="8.875" style="86"/>
    <col min="10503" max="10503" width="1.375" style="86" customWidth="1"/>
    <col min="10504" max="10504" width="3.5" style="86" customWidth="1"/>
    <col min="10505" max="10505" width="22.125" style="86" customWidth="1"/>
    <col min="10506" max="10506" width="9.75" style="86" customWidth="1"/>
    <col min="10507" max="10507" width="7.375" style="86" customWidth="1"/>
    <col min="10508" max="10508" width="8.875" style="86"/>
    <col min="10509" max="10509" width="9.25" style="86" customWidth="1"/>
    <col min="10510" max="10510" width="3.5" style="86" customWidth="1"/>
    <col min="10511" max="10512" width="12.625" style="86" customWidth="1"/>
    <col min="10513" max="10513" width="8.875" style="86"/>
    <col min="10514" max="10514" width="7.75" style="86" customWidth="1"/>
    <col min="10515" max="10515" width="13.125" style="86" customWidth="1"/>
    <col min="10516" max="10516" width="6.125" style="86" customWidth="1"/>
    <col min="10517" max="10517" width="9.75" style="86" customWidth="1"/>
    <col min="10518" max="10518" width="1.375" style="86" customWidth="1"/>
    <col min="10519" max="10758" width="8.875" style="86"/>
    <col min="10759" max="10759" width="1.375" style="86" customWidth="1"/>
    <col min="10760" max="10760" width="3.5" style="86" customWidth="1"/>
    <col min="10761" max="10761" width="22.125" style="86" customWidth="1"/>
    <col min="10762" max="10762" width="9.75" style="86" customWidth="1"/>
    <col min="10763" max="10763" width="7.375" style="86" customWidth="1"/>
    <col min="10764" max="10764" width="8.875" style="86"/>
    <col min="10765" max="10765" width="9.25" style="86" customWidth="1"/>
    <col min="10766" max="10766" width="3.5" style="86" customWidth="1"/>
    <col min="10767" max="10768" width="12.625" style="86" customWidth="1"/>
    <col min="10769" max="10769" width="8.875" style="86"/>
    <col min="10770" max="10770" width="7.75" style="86" customWidth="1"/>
    <col min="10771" max="10771" width="13.125" style="86" customWidth="1"/>
    <col min="10772" max="10772" width="6.125" style="86" customWidth="1"/>
    <col min="10773" max="10773" width="9.75" style="86" customWidth="1"/>
    <col min="10774" max="10774" width="1.375" style="86" customWidth="1"/>
    <col min="10775" max="11014" width="8.875" style="86"/>
    <col min="11015" max="11015" width="1.375" style="86" customWidth="1"/>
    <col min="11016" max="11016" width="3.5" style="86" customWidth="1"/>
    <col min="11017" max="11017" width="22.125" style="86" customWidth="1"/>
    <col min="11018" max="11018" width="9.75" style="86" customWidth="1"/>
    <col min="11019" max="11019" width="7.375" style="86" customWidth="1"/>
    <col min="11020" max="11020" width="8.875" style="86"/>
    <col min="11021" max="11021" width="9.25" style="86" customWidth="1"/>
    <col min="11022" max="11022" width="3.5" style="86" customWidth="1"/>
    <col min="11023" max="11024" width="12.625" style="86" customWidth="1"/>
    <col min="11025" max="11025" width="8.875" style="86"/>
    <col min="11026" max="11026" width="7.75" style="86" customWidth="1"/>
    <col min="11027" max="11027" width="13.125" style="86" customWidth="1"/>
    <col min="11028" max="11028" width="6.125" style="86" customWidth="1"/>
    <col min="11029" max="11029" width="9.75" style="86" customWidth="1"/>
    <col min="11030" max="11030" width="1.375" style="86" customWidth="1"/>
    <col min="11031" max="11270" width="8.875" style="86"/>
    <col min="11271" max="11271" width="1.375" style="86" customWidth="1"/>
    <col min="11272" max="11272" width="3.5" style="86" customWidth="1"/>
    <col min="11273" max="11273" width="22.125" style="86" customWidth="1"/>
    <col min="11274" max="11274" width="9.75" style="86" customWidth="1"/>
    <col min="11275" max="11275" width="7.375" style="86" customWidth="1"/>
    <col min="11276" max="11276" width="8.875" style="86"/>
    <col min="11277" max="11277" width="9.25" style="86" customWidth="1"/>
    <col min="11278" max="11278" width="3.5" style="86" customWidth="1"/>
    <col min="11279" max="11280" width="12.625" style="86" customWidth="1"/>
    <col min="11281" max="11281" width="8.875" style="86"/>
    <col min="11282" max="11282" width="7.75" style="86" customWidth="1"/>
    <col min="11283" max="11283" width="13.125" style="86" customWidth="1"/>
    <col min="11284" max="11284" width="6.125" style="86" customWidth="1"/>
    <col min="11285" max="11285" width="9.75" style="86" customWidth="1"/>
    <col min="11286" max="11286" width="1.375" style="86" customWidth="1"/>
    <col min="11287" max="11526" width="8.875" style="86"/>
    <col min="11527" max="11527" width="1.375" style="86" customWidth="1"/>
    <col min="11528" max="11528" width="3.5" style="86" customWidth="1"/>
    <col min="11529" max="11529" width="22.125" style="86" customWidth="1"/>
    <col min="11530" max="11530" width="9.75" style="86" customWidth="1"/>
    <col min="11531" max="11531" width="7.375" style="86" customWidth="1"/>
    <col min="11532" max="11532" width="8.875" style="86"/>
    <col min="11533" max="11533" width="9.25" style="86" customWidth="1"/>
    <col min="11534" max="11534" width="3.5" style="86" customWidth="1"/>
    <col min="11535" max="11536" width="12.625" style="86" customWidth="1"/>
    <col min="11537" max="11537" width="8.875" style="86"/>
    <col min="11538" max="11538" width="7.75" style="86" customWidth="1"/>
    <col min="11539" max="11539" width="13.125" style="86" customWidth="1"/>
    <col min="11540" max="11540" width="6.125" style="86" customWidth="1"/>
    <col min="11541" max="11541" width="9.75" style="86" customWidth="1"/>
    <col min="11542" max="11542" width="1.375" style="86" customWidth="1"/>
    <col min="11543" max="11782" width="8.875" style="86"/>
    <col min="11783" max="11783" width="1.375" style="86" customWidth="1"/>
    <col min="11784" max="11784" width="3.5" style="86" customWidth="1"/>
    <col min="11785" max="11785" width="22.125" style="86" customWidth="1"/>
    <col min="11786" max="11786" width="9.75" style="86" customWidth="1"/>
    <col min="11787" max="11787" width="7.375" style="86" customWidth="1"/>
    <col min="11788" max="11788" width="8.875" style="86"/>
    <col min="11789" max="11789" width="9.25" style="86" customWidth="1"/>
    <col min="11790" max="11790" width="3.5" style="86" customWidth="1"/>
    <col min="11791" max="11792" width="12.625" style="86" customWidth="1"/>
    <col min="11793" max="11793" width="8.875" style="86"/>
    <col min="11794" max="11794" width="7.75" style="86" customWidth="1"/>
    <col min="11795" max="11795" width="13.125" style="86" customWidth="1"/>
    <col min="11796" max="11796" width="6.125" style="86" customWidth="1"/>
    <col min="11797" max="11797" width="9.75" style="86" customWidth="1"/>
    <col min="11798" max="11798" width="1.375" style="86" customWidth="1"/>
    <col min="11799" max="12038" width="8.875" style="86"/>
    <col min="12039" max="12039" width="1.375" style="86" customWidth="1"/>
    <col min="12040" max="12040" width="3.5" style="86" customWidth="1"/>
    <col min="12041" max="12041" width="22.125" style="86" customWidth="1"/>
    <col min="12042" max="12042" width="9.75" style="86" customWidth="1"/>
    <col min="12043" max="12043" width="7.375" style="86" customWidth="1"/>
    <col min="12044" max="12044" width="8.875" style="86"/>
    <col min="12045" max="12045" width="9.25" style="86" customWidth="1"/>
    <col min="12046" max="12046" width="3.5" style="86" customWidth="1"/>
    <col min="12047" max="12048" width="12.625" style="86" customWidth="1"/>
    <col min="12049" max="12049" width="8.875" style="86"/>
    <col min="12050" max="12050" width="7.75" style="86" customWidth="1"/>
    <col min="12051" max="12051" width="13.125" style="86" customWidth="1"/>
    <col min="12052" max="12052" width="6.125" style="86" customWidth="1"/>
    <col min="12053" max="12053" width="9.75" style="86" customWidth="1"/>
    <col min="12054" max="12054" width="1.375" style="86" customWidth="1"/>
    <col min="12055" max="12294" width="8.875" style="86"/>
    <col min="12295" max="12295" width="1.375" style="86" customWidth="1"/>
    <col min="12296" max="12296" width="3.5" style="86" customWidth="1"/>
    <col min="12297" max="12297" width="22.125" style="86" customWidth="1"/>
    <col min="12298" max="12298" width="9.75" style="86" customWidth="1"/>
    <col min="12299" max="12299" width="7.375" style="86" customWidth="1"/>
    <col min="12300" max="12300" width="8.875" style="86"/>
    <col min="12301" max="12301" width="9.25" style="86" customWidth="1"/>
    <col min="12302" max="12302" width="3.5" style="86" customWidth="1"/>
    <col min="12303" max="12304" width="12.625" style="86" customWidth="1"/>
    <col min="12305" max="12305" width="8.875" style="86"/>
    <col min="12306" max="12306" width="7.75" style="86" customWidth="1"/>
    <col min="12307" max="12307" width="13.125" style="86" customWidth="1"/>
    <col min="12308" max="12308" width="6.125" style="86" customWidth="1"/>
    <col min="12309" max="12309" width="9.75" style="86" customWidth="1"/>
    <col min="12310" max="12310" width="1.375" style="86" customWidth="1"/>
    <col min="12311" max="12550" width="8.875" style="86"/>
    <col min="12551" max="12551" width="1.375" style="86" customWidth="1"/>
    <col min="12552" max="12552" width="3.5" style="86" customWidth="1"/>
    <col min="12553" max="12553" width="22.125" style="86" customWidth="1"/>
    <col min="12554" max="12554" width="9.75" style="86" customWidth="1"/>
    <col min="12555" max="12555" width="7.375" style="86" customWidth="1"/>
    <col min="12556" max="12556" width="8.875" style="86"/>
    <col min="12557" max="12557" width="9.25" style="86" customWidth="1"/>
    <col min="12558" max="12558" width="3.5" style="86" customWidth="1"/>
    <col min="12559" max="12560" width="12.625" style="86" customWidth="1"/>
    <col min="12561" max="12561" width="8.875" style="86"/>
    <col min="12562" max="12562" width="7.75" style="86" customWidth="1"/>
    <col min="12563" max="12563" width="13.125" style="86" customWidth="1"/>
    <col min="12564" max="12564" width="6.125" style="86" customWidth="1"/>
    <col min="12565" max="12565" width="9.75" style="86" customWidth="1"/>
    <col min="12566" max="12566" width="1.375" style="86" customWidth="1"/>
    <col min="12567" max="12806" width="8.875" style="86"/>
    <col min="12807" max="12807" width="1.375" style="86" customWidth="1"/>
    <col min="12808" max="12808" width="3.5" style="86" customWidth="1"/>
    <col min="12809" max="12809" width="22.125" style="86" customWidth="1"/>
    <col min="12810" max="12810" width="9.75" style="86" customWidth="1"/>
    <col min="12811" max="12811" width="7.375" style="86" customWidth="1"/>
    <col min="12812" max="12812" width="8.875" style="86"/>
    <col min="12813" max="12813" width="9.25" style="86" customWidth="1"/>
    <col min="12814" max="12814" width="3.5" style="86" customWidth="1"/>
    <col min="12815" max="12816" width="12.625" style="86" customWidth="1"/>
    <col min="12817" max="12817" width="8.875" style="86"/>
    <col min="12818" max="12818" width="7.75" style="86" customWidth="1"/>
    <col min="12819" max="12819" width="13.125" style="86" customWidth="1"/>
    <col min="12820" max="12820" width="6.125" style="86" customWidth="1"/>
    <col min="12821" max="12821" width="9.75" style="86" customWidth="1"/>
    <col min="12822" max="12822" width="1.375" style="86" customWidth="1"/>
    <col min="12823" max="13062" width="8.875" style="86"/>
    <col min="13063" max="13063" width="1.375" style="86" customWidth="1"/>
    <col min="13064" max="13064" width="3.5" style="86" customWidth="1"/>
    <col min="13065" max="13065" width="22.125" style="86" customWidth="1"/>
    <col min="13066" max="13066" width="9.75" style="86" customWidth="1"/>
    <col min="13067" max="13067" width="7.375" style="86" customWidth="1"/>
    <col min="13068" max="13068" width="8.875" style="86"/>
    <col min="13069" max="13069" width="9.25" style="86" customWidth="1"/>
    <col min="13070" max="13070" width="3.5" style="86" customWidth="1"/>
    <col min="13071" max="13072" width="12.625" style="86" customWidth="1"/>
    <col min="13073" max="13073" width="8.875" style="86"/>
    <col min="13074" max="13074" width="7.75" style="86" customWidth="1"/>
    <col min="13075" max="13075" width="13.125" style="86" customWidth="1"/>
    <col min="13076" max="13076" width="6.125" style="86" customWidth="1"/>
    <col min="13077" max="13077" width="9.75" style="86" customWidth="1"/>
    <col min="13078" max="13078" width="1.375" style="86" customWidth="1"/>
    <col min="13079" max="13318" width="8.875" style="86"/>
    <col min="13319" max="13319" width="1.375" style="86" customWidth="1"/>
    <col min="13320" max="13320" width="3.5" style="86" customWidth="1"/>
    <col min="13321" max="13321" width="22.125" style="86" customWidth="1"/>
    <col min="13322" max="13322" width="9.75" style="86" customWidth="1"/>
    <col min="13323" max="13323" width="7.375" style="86" customWidth="1"/>
    <col min="13324" max="13324" width="8.875" style="86"/>
    <col min="13325" max="13325" width="9.25" style="86" customWidth="1"/>
    <col min="13326" max="13326" width="3.5" style="86" customWidth="1"/>
    <col min="13327" max="13328" width="12.625" style="86" customWidth="1"/>
    <col min="13329" max="13329" width="8.875" style="86"/>
    <col min="13330" max="13330" width="7.75" style="86" customWidth="1"/>
    <col min="13331" max="13331" width="13.125" style="86" customWidth="1"/>
    <col min="13332" max="13332" width="6.125" style="86" customWidth="1"/>
    <col min="13333" max="13333" width="9.75" style="86" customWidth="1"/>
    <col min="13334" max="13334" width="1.375" style="86" customWidth="1"/>
    <col min="13335" max="13574" width="8.875" style="86"/>
    <col min="13575" max="13575" width="1.375" style="86" customWidth="1"/>
    <col min="13576" max="13576" width="3.5" style="86" customWidth="1"/>
    <col min="13577" max="13577" width="22.125" style="86" customWidth="1"/>
    <col min="13578" max="13578" width="9.75" style="86" customWidth="1"/>
    <col min="13579" max="13579" width="7.375" style="86" customWidth="1"/>
    <col min="13580" max="13580" width="8.875" style="86"/>
    <col min="13581" max="13581" width="9.25" style="86" customWidth="1"/>
    <col min="13582" max="13582" width="3.5" style="86" customWidth="1"/>
    <col min="13583" max="13584" width="12.625" style="86" customWidth="1"/>
    <col min="13585" max="13585" width="8.875" style="86"/>
    <col min="13586" max="13586" width="7.75" style="86" customWidth="1"/>
    <col min="13587" max="13587" width="13.125" style="86" customWidth="1"/>
    <col min="13588" max="13588" width="6.125" style="86" customWidth="1"/>
    <col min="13589" max="13589" width="9.75" style="86" customWidth="1"/>
    <col min="13590" max="13590" width="1.375" style="86" customWidth="1"/>
    <col min="13591" max="13830" width="8.875" style="86"/>
    <col min="13831" max="13831" width="1.375" style="86" customWidth="1"/>
    <col min="13832" max="13832" width="3.5" style="86" customWidth="1"/>
    <col min="13833" max="13833" width="22.125" style="86" customWidth="1"/>
    <col min="13834" max="13834" width="9.75" style="86" customWidth="1"/>
    <col min="13835" max="13835" width="7.375" style="86" customWidth="1"/>
    <col min="13836" max="13836" width="8.875" style="86"/>
    <col min="13837" max="13837" width="9.25" style="86" customWidth="1"/>
    <col min="13838" max="13838" width="3.5" style="86" customWidth="1"/>
    <col min="13839" max="13840" width="12.625" style="86" customWidth="1"/>
    <col min="13841" max="13841" width="8.875" style="86"/>
    <col min="13842" max="13842" width="7.75" style="86" customWidth="1"/>
    <col min="13843" max="13843" width="13.125" style="86" customWidth="1"/>
    <col min="13844" max="13844" width="6.125" style="86" customWidth="1"/>
    <col min="13845" max="13845" width="9.75" style="86" customWidth="1"/>
    <col min="13846" max="13846" width="1.375" style="86" customWidth="1"/>
    <col min="13847" max="14086" width="8.875" style="86"/>
    <col min="14087" max="14087" width="1.375" style="86" customWidth="1"/>
    <col min="14088" max="14088" width="3.5" style="86" customWidth="1"/>
    <col min="14089" max="14089" width="22.125" style="86" customWidth="1"/>
    <col min="14090" max="14090" width="9.75" style="86" customWidth="1"/>
    <col min="14091" max="14091" width="7.375" style="86" customWidth="1"/>
    <col min="14092" max="14092" width="8.875" style="86"/>
    <col min="14093" max="14093" width="9.25" style="86" customWidth="1"/>
    <col min="14094" max="14094" width="3.5" style="86" customWidth="1"/>
    <col min="14095" max="14096" width="12.625" style="86" customWidth="1"/>
    <col min="14097" max="14097" width="8.875" style="86"/>
    <col min="14098" max="14098" width="7.75" style="86" customWidth="1"/>
    <col min="14099" max="14099" width="13.125" style="86" customWidth="1"/>
    <col min="14100" max="14100" width="6.125" style="86" customWidth="1"/>
    <col min="14101" max="14101" width="9.75" style="86" customWidth="1"/>
    <col min="14102" max="14102" width="1.375" style="86" customWidth="1"/>
    <col min="14103" max="14342" width="8.875" style="86"/>
    <col min="14343" max="14343" width="1.375" style="86" customWidth="1"/>
    <col min="14344" max="14344" width="3.5" style="86" customWidth="1"/>
    <col min="14345" max="14345" width="22.125" style="86" customWidth="1"/>
    <col min="14346" max="14346" width="9.75" style="86" customWidth="1"/>
    <col min="14347" max="14347" width="7.375" style="86" customWidth="1"/>
    <col min="14348" max="14348" width="8.875" style="86"/>
    <col min="14349" max="14349" width="9.25" style="86" customWidth="1"/>
    <col min="14350" max="14350" width="3.5" style="86" customWidth="1"/>
    <col min="14351" max="14352" width="12.625" style="86" customWidth="1"/>
    <col min="14353" max="14353" width="8.875" style="86"/>
    <col min="14354" max="14354" width="7.75" style="86" customWidth="1"/>
    <col min="14355" max="14355" width="13.125" style="86" customWidth="1"/>
    <col min="14356" max="14356" width="6.125" style="86" customWidth="1"/>
    <col min="14357" max="14357" width="9.75" style="86" customWidth="1"/>
    <col min="14358" max="14358" width="1.375" style="86" customWidth="1"/>
    <col min="14359" max="14598" width="8.875" style="86"/>
    <col min="14599" max="14599" width="1.375" style="86" customWidth="1"/>
    <col min="14600" max="14600" width="3.5" style="86" customWidth="1"/>
    <col min="14601" max="14601" width="22.125" style="86" customWidth="1"/>
    <col min="14602" max="14602" width="9.75" style="86" customWidth="1"/>
    <col min="14603" max="14603" width="7.375" style="86" customWidth="1"/>
    <col min="14604" max="14604" width="8.875" style="86"/>
    <col min="14605" max="14605" width="9.25" style="86" customWidth="1"/>
    <col min="14606" max="14606" width="3.5" style="86" customWidth="1"/>
    <col min="14607" max="14608" width="12.625" style="86" customWidth="1"/>
    <col min="14609" max="14609" width="8.875" style="86"/>
    <col min="14610" max="14610" width="7.75" style="86" customWidth="1"/>
    <col min="14611" max="14611" width="13.125" style="86" customWidth="1"/>
    <col min="14612" max="14612" width="6.125" style="86" customWidth="1"/>
    <col min="14613" max="14613" width="9.75" style="86" customWidth="1"/>
    <col min="14614" max="14614" width="1.375" style="86" customWidth="1"/>
    <col min="14615" max="14854" width="8.875" style="86"/>
    <col min="14855" max="14855" width="1.375" style="86" customWidth="1"/>
    <col min="14856" max="14856" width="3.5" style="86" customWidth="1"/>
    <col min="14857" max="14857" width="22.125" style="86" customWidth="1"/>
    <col min="14858" max="14858" width="9.75" style="86" customWidth="1"/>
    <col min="14859" max="14859" width="7.375" style="86" customWidth="1"/>
    <col min="14860" max="14860" width="8.875" style="86"/>
    <col min="14861" max="14861" width="9.25" style="86" customWidth="1"/>
    <col min="14862" max="14862" width="3.5" style="86" customWidth="1"/>
    <col min="14863" max="14864" width="12.625" style="86" customWidth="1"/>
    <col min="14865" max="14865" width="8.875" style="86"/>
    <col min="14866" max="14866" width="7.75" style="86" customWidth="1"/>
    <col min="14867" max="14867" width="13.125" style="86" customWidth="1"/>
    <col min="14868" max="14868" width="6.125" style="86" customWidth="1"/>
    <col min="14869" max="14869" width="9.75" style="86" customWidth="1"/>
    <col min="14870" max="14870" width="1.375" style="86" customWidth="1"/>
    <col min="14871" max="15110" width="8.875" style="86"/>
    <col min="15111" max="15111" width="1.375" style="86" customWidth="1"/>
    <col min="15112" max="15112" width="3.5" style="86" customWidth="1"/>
    <col min="15113" max="15113" width="22.125" style="86" customWidth="1"/>
    <col min="15114" max="15114" width="9.75" style="86" customWidth="1"/>
    <col min="15115" max="15115" width="7.375" style="86" customWidth="1"/>
    <col min="15116" max="15116" width="8.875" style="86"/>
    <col min="15117" max="15117" width="9.25" style="86" customWidth="1"/>
    <col min="15118" max="15118" width="3.5" style="86" customWidth="1"/>
    <col min="15119" max="15120" width="12.625" style="86" customWidth="1"/>
    <col min="15121" max="15121" width="8.875" style="86"/>
    <col min="15122" max="15122" width="7.75" style="86" customWidth="1"/>
    <col min="15123" max="15123" width="13.125" style="86" customWidth="1"/>
    <col min="15124" max="15124" width="6.125" style="86" customWidth="1"/>
    <col min="15125" max="15125" width="9.75" style="86" customWidth="1"/>
    <col min="15126" max="15126" width="1.375" style="86" customWidth="1"/>
    <col min="15127" max="15366" width="8.875" style="86"/>
    <col min="15367" max="15367" width="1.375" style="86" customWidth="1"/>
    <col min="15368" max="15368" width="3.5" style="86" customWidth="1"/>
    <col min="15369" max="15369" width="22.125" style="86" customWidth="1"/>
    <col min="15370" max="15370" width="9.75" style="86" customWidth="1"/>
    <col min="15371" max="15371" width="7.375" style="86" customWidth="1"/>
    <col min="15372" max="15372" width="8.875" style="86"/>
    <col min="15373" max="15373" width="9.25" style="86" customWidth="1"/>
    <col min="15374" max="15374" width="3.5" style="86" customWidth="1"/>
    <col min="15375" max="15376" width="12.625" style="86" customWidth="1"/>
    <col min="15377" max="15377" width="8.875" style="86"/>
    <col min="15378" max="15378" width="7.75" style="86" customWidth="1"/>
    <col min="15379" max="15379" width="13.125" style="86" customWidth="1"/>
    <col min="15380" max="15380" width="6.125" style="86" customWidth="1"/>
    <col min="15381" max="15381" width="9.75" style="86" customWidth="1"/>
    <col min="15382" max="15382" width="1.375" style="86" customWidth="1"/>
    <col min="15383" max="15622" width="8.875" style="86"/>
    <col min="15623" max="15623" width="1.375" style="86" customWidth="1"/>
    <col min="15624" max="15624" width="3.5" style="86" customWidth="1"/>
    <col min="15625" max="15625" width="22.125" style="86" customWidth="1"/>
    <col min="15626" max="15626" width="9.75" style="86" customWidth="1"/>
    <col min="15627" max="15627" width="7.375" style="86" customWidth="1"/>
    <col min="15628" max="15628" width="8.875" style="86"/>
    <col min="15629" max="15629" width="9.25" style="86" customWidth="1"/>
    <col min="15630" max="15630" width="3.5" style="86" customWidth="1"/>
    <col min="15631" max="15632" width="12.625" style="86" customWidth="1"/>
    <col min="15633" max="15633" width="8.875" style="86"/>
    <col min="15634" max="15634" width="7.75" style="86" customWidth="1"/>
    <col min="15635" max="15635" width="13.125" style="86" customWidth="1"/>
    <col min="15636" max="15636" width="6.125" style="86" customWidth="1"/>
    <col min="15637" max="15637" width="9.75" style="86" customWidth="1"/>
    <col min="15638" max="15638" width="1.375" style="86" customWidth="1"/>
    <col min="15639" max="15878" width="8.875" style="86"/>
    <col min="15879" max="15879" width="1.375" style="86" customWidth="1"/>
    <col min="15880" max="15880" width="3.5" style="86" customWidth="1"/>
    <col min="15881" max="15881" width="22.125" style="86" customWidth="1"/>
    <col min="15882" max="15882" width="9.75" style="86" customWidth="1"/>
    <col min="15883" max="15883" width="7.375" style="86" customWidth="1"/>
    <col min="15884" max="15884" width="8.875" style="86"/>
    <col min="15885" max="15885" width="9.25" style="86" customWidth="1"/>
    <col min="15886" max="15886" width="3.5" style="86" customWidth="1"/>
    <col min="15887" max="15888" width="12.625" style="86" customWidth="1"/>
    <col min="15889" max="15889" width="8.875" style="86"/>
    <col min="15890" max="15890" width="7.75" style="86" customWidth="1"/>
    <col min="15891" max="15891" width="13.125" style="86" customWidth="1"/>
    <col min="15892" max="15892" width="6.125" style="86" customWidth="1"/>
    <col min="15893" max="15893" width="9.75" style="86" customWidth="1"/>
    <col min="15894" max="15894" width="1.375" style="86" customWidth="1"/>
    <col min="15895" max="16134" width="8.875" style="86"/>
    <col min="16135" max="16135" width="1.375" style="86" customWidth="1"/>
    <col min="16136" max="16136" width="3.5" style="86" customWidth="1"/>
    <col min="16137" max="16137" width="22.125" style="86" customWidth="1"/>
    <col min="16138" max="16138" width="9.75" style="86" customWidth="1"/>
    <col min="16139" max="16139" width="7.375" style="86" customWidth="1"/>
    <col min="16140" max="16140" width="8.875" style="86"/>
    <col min="16141" max="16141" width="9.25" style="86" customWidth="1"/>
    <col min="16142" max="16142" width="3.5" style="86" customWidth="1"/>
    <col min="16143" max="16144" width="12.625" style="86" customWidth="1"/>
    <col min="16145" max="16145" width="8.875" style="86"/>
    <col min="16146" max="16146" width="7.75" style="86" customWidth="1"/>
    <col min="16147" max="16147" width="13.125" style="86" customWidth="1"/>
    <col min="16148" max="16148" width="6.125" style="86" customWidth="1"/>
    <col min="16149" max="16149" width="9.75" style="86" customWidth="1"/>
    <col min="16150" max="16150" width="1.375" style="86" customWidth="1"/>
    <col min="16151" max="16384" width="8.875" style="86"/>
  </cols>
  <sheetData>
    <row r="1" spans="2:22" ht="9.9499999999999993" customHeight="1" x14ac:dyDescent="0.15"/>
    <row r="2" spans="2:22" ht="24.95" customHeight="1" x14ac:dyDescent="0.15">
      <c r="B2" s="1" t="s">
        <v>403</v>
      </c>
      <c r="C2" s="88"/>
      <c r="D2" s="13"/>
      <c r="E2" s="13"/>
      <c r="F2" s="88"/>
      <c r="G2" s="153"/>
      <c r="H2" s="163"/>
      <c r="I2" s="153"/>
      <c r="J2" s="153"/>
      <c r="K2" s="153"/>
      <c r="L2" s="153"/>
      <c r="M2" s="153"/>
      <c r="N2" s="153"/>
      <c r="O2" s="13"/>
    </row>
    <row r="3" spans="2:22" ht="15" customHeight="1" thickBot="1" x14ac:dyDescent="0.2">
      <c r="B3" s="86" t="s">
        <v>228</v>
      </c>
      <c r="I3" s="13" t="s">
        <v>229</v>
      </c>
      <c r="P3" s="86" t="s">
        <v>249</v>
      </c>
    </row>
    <row r="4" spans="2:22" ht="15" customHeight="1" x14ac:dyDescent="0.15">
      <c r="B4" s="315" t="s">
        <v>89</v>
      </c>
      <c r="C4" s="202" t="s">
        <v>190</v>
      </c>
      <c r="D4" s="202" t="s">
        <v>152</v>
      </c>
      <c r="E4" s="202" t="s">
        <v>153</v>
      </c>
      <c r="F4" s="397" t="s">
        <v>24</v>
      </c>
      <c r="G4" s="190" t="s">
        <v>154</v>
      </c>
      <c r="H4" s="203"/>
      <c r="I4" s="962" t="s">
        <v>89</v>
      </c>
      <c r="J4" s="960" t="s">
        <v>194</v>
      </c>
      <c r="K4" s="374" t="s">
        <v>191</v>
      </c>
      <c r="L4" s="374" t="s">
        <v>155</v>
      </c>
      <c r="M4" s="970" t="s">
        <v>24</v>
      </c>
      <c r="N4" s="972" t="s">
        <v>154</v>
      </c>
      <c r="O4" s="221"/>
      <c r="P4" s="316" t="s">
        <v>197</v>
      </c>
      <c r="Q4" s="317" t="s">
        <v>198</v>
      </c>
      <c r="R4" s="317" t="s">
        <v>199</v>
      </c>
      <c r="S4" s="317" t="s">
        <v>200</v>
      </c>
      <c r="T4" s="964" t="s">
        <v>201</v>
      </c>
      <c r="U4" s="850"/>
      <c r="V4" s="318" t="s">
        <v>202</v>
      </c>
    </row>
    <row r="5" spans="2:22" ht="15" customHeight="1" x14ac:dyDescent="0.15">
      <c r="B5" s="798" t="s">
        <v>186</v>
      </c>
      <c r="C5" s="107"/>
      <c r="D5" s="85"/>
      <c r="E5" s="96"/>
      <c r="F5" s="107"/>
      <c r="G5" s="191">
        <f t="shared" ref="G5:G6" si="0">D5*F5</f>
        <v>0</v>
      </c>
      <c r="H5" s="204"/>
      <c r="I5" s="963"/>
      <c r="J5" s="961"/>
      <c r="K5" s="375" t="s">
        <v>156</v>
      </c>
      <c r="L5" s="375" t="s">
        <v>306</v>
      </c>
      <c r="M5" s="971"/>
      <c r="N5" s="973"/>
      <c r="O5" s="221"/>
      <c r="P5" s="319" t="s">
        <v>484</v>
      </c>
      <c r="Q5" s="388"/>
      <c r="R5" s="389" t="s">
        <v>485</v>
      </c>
      <c r="S5" s="388"/>
      <c r="T5" s="965" t="s">
        <v>486</v>
      </c>
      <c r="U5" s="956"/>
      <c r="V5" s="567">
        <v>5806.666666666667</v>
      </c>
    </row>
    <row r="6" spans="2:22" ht="15" customHeight="1" x14ac:dyDescent="0.15">
      <c r="B6" s="799"/>
      <c r="C6" s="85"/>
      <c r="D6" s="85"/>
      <c r="E6" s="96"/>
      <c r="F6" s="85"/>
      <c r="G6" s="192">
        <f t="shared" si="0"/>
        <v>0</v>
      </c>
      <c r="H6" s="204"/>
      <c r="I6" s="966" t="s">
        <v>193</v>
      </c>
      <c r="J6" s="353" t="s">
        <v>303</v>
      </c>
      <c r="K6" s="376">
        <v>10.6</v>
      </c>
      <c r="L6" s="376">
        <v>13</v>
      </c>
      <c r="M6" s="489">
        <v>84.7</v>
      </c>
      <c r="N6" s="377">
        <f>K6*L6*M6</f>
        <v>11671.66</v>
      </c>
      <c r="O6" s="221"/>
      <c r="P6" s="319"/>
      <c r="Q6" s="188"/>
      <c r="R6" s="398"/>
      <c r="S6" s="188"/>
      <c r="T6" s="955"/>
      <c r="U6" s="956"/>
      <c r="V6" s="211"/>
    </row>
    <row r="7" spans="2:22" ht="15" customHeight="1" thickBot="1" x14ac:dyDescent="0.2">
      <c r="B7" s="931"/>
      <c r="C7" s="193" t="s">
        <v>157</v>
      </c>
      <c r="D7" s="193"/>
      <c r="E7" s="193"/>
      <c r="F7" s="193"/>
      <c r="G7" s="194">
        <f>SUM(G5:G6)</f>
        <v>0</v>
      </c>
      <c r="H7" s="204"/>
      <c r="I7" s="967"/>
      <c r="J7" s="353" t="s">
        <v>304</v>
      </c>
      <c r="K7" s="376">
        <v>5.4</v>
      </c>
      <c r="L7" s="376">
        <f>5+6.5</f>
        <v>11.5</v>
      </c>
      <c r="M7" s="489">
        <v>84.7</v>
      </c>
      <c r="N7" s="377">
        <f t="shared" ref="N7:N11" si="1">K7*L7*M7</f>
        <v>5259.87</v>
      </c>
      <c r="O7" s="221"/>
      <c r="P7" s="319"/>
      <c r="Q7" s="188"/>
      <c r="R7" s="398"/>
      <c r="S7" s="188"/>
      <c r="T7" s="955"/>
      <c r="U7" s="956"/>
      <c r="V7" s="211"/>
    </row>
    <row r="8" spans="2:22" ht="15" customHeight="1" thickTop="1" x14ac:dyDescent="0.15">
      <c r="B8" s="930" t="s">
        <v>184</v>
      </c>
      <c r="C8" s="85" t="s">
        <v>518</v>
      </c>
      <c r="D8" s="85">
        <v>10</v>
      </c>
      <c r="E8" s="96" t="s">
        <v>290</v>
      </c>
      <c r="F8" s="85">
        <v>3840</v>
      </c>
      <c r="G8" s="192">
        <f>D8*F8</f>
        <v>38400</v>
      </c>
      <c r="H8" s="204"/>
      <c r="I8" s="967"/>
      <c r="J8" s="353" t="s">
        <v>310</v>
      </c>
      <c r="K8" s="376">
        <v>1.2</v>
      </c>
      <c r="L8" s="376">
        <v>3</v>
      </c>
      <c r="M8" s="489">
        <v>84.7</v>
      </c>
      <c r="N8" s="377">
        <f t="shared" si="1"/>
        <v>304.91999999999996</v>
      </c>
      <c r="O8" s="221"/>
      <c r="P8" s="319"/>
      <c r="Q8" s="188"/>
      <c r="R8" s="398"/>
      <c r="S8" s="188"/>
      <c r="T8" s="955"/>
      <c r="U8" s="956"/>
      <c r="V8" s="211"/>
    </row>
    <row r="9" spans="2:22" ht="15" customHeight="1" x14ac:dyDescent="0.15">
      <c r="B9" s="799"/>
      <c r="C9" s="85"/>
      <c r="D9" s="85"/>
      <c r="E9" s="96"/>
      <c r="F9" s="85"/>
      <c r="G9" s="192">
        <f>D9*F9</f>
        <v>0</v>
      </c>
      <c r="H9" s="204"/>
      <c r="I9" s="967"/>
      <c r="J9" s="385" t="s">
        <v>307</v>
      </c>
      <c r="K9" s="386">
        <v>3.5</v>
      </c>
      <c r="L9" s="386">
        <v>5</v>
      </c>
      <c r="M9" s="489">
        <v>84.7</v>
      </c>
      <c r="N9" s="387">
        <f t="shared" si="1"/>
        <v>1482.25</v>
      </c>
      <c r="O9" s="221"/>
      <c r="P9" s="319"/>
      <c r="Q9" s="188"/>
      <c r="R9" s="398"/>
      <c r="S9" s="188"/>
      <c r="T9" s="955"/>
      <c r="U9" s="956"/>
      <c r="V9" s="211"/>
    </row>
    <row r="10" spans="2:22" ht="15" customHeight="1" x14ac:dyDescent="0.15">
      <c r="B10" s="799"/>
      <c r="C10" s="85"/>
      <c r="D10" s="85"/>
      <c r="E10" s="96"/>
      <c r="F10" s="85"/>
      <c r="G10" s="192">
        <f>D10*F10</f>
        <v>0</v>
      </c>
      <c r="H10" s="204"/>
      <c r="I10" s="967"/>
      <c r="J10" s="391"/>
      <c r="K10" s="392"/>
      <c r="L10" s="392"/>
      <c r="M10" s="489"/>
      <c r="N10" s="393"/>
      <c r="O10" s="221"/>
      <c r="P10" s="319"/>
      <c r="Q10" s="388"/>
      <c r="R10" s="389"/>
      <c r="S10" s="388"/>
      <c r="T10" s="390"/>
      <c r="U10" s="399"/>
      <c r="V10" s="211"/>
    </row>
    <row r="11" spans="2:22" ht="15" customHeight="1" thickBot="1" x14ac:dyDescent="0.2">
      <c r="B11" s="931"/>
      <c r="C11" s="195" t="s">
        <v>158</v>
      </c>
      <c r="D11" s="196"/>
      <c r="E11" s="196"/>
      <c r="F11" s="196"/>
      <c r="G11" s="197">
        <f>SUM(G8:G10)</f>
        <v>38400</v>
      </c>
      <c r="H11" s="204"/>
      <c r="I11" s="967"/>
      <c r="J11" s="394" t="s">
        <v>308</v>
      </c>
      <c r="K11" s="395">
        <v>2</v>
      </c>
      <c r="L11" s="395">
        <v>3.5</v>
      </c>
      <c r="M11" s="489">
        <v>84.7</v>
      </c>
      <c r="N11" s="396">
        <f t="shared" si="1"/>
        <v>592.9</v>
      </c>
      <c r="O11" s="221"/>
      <c r="P11" s="319"/>
      <c r="Q11" s="188"/>
      <c r="R11" s="398"/>
      <c r="S11" s="188"/>
      <c r="T11" s="955"/>
      <c r="U11" s="956"/>
      <c r="V11" s="211"/>
    </row>
    <row r="12" spans="2:22" ht="15" customHeight="1" thickTop="1" thickBot="1" x14ac:dyDescent="0.2">
      <c r="B12" s="930" t="s">
        <v>185</v>
      </c>
      <c r="C12" s="85" t="s">
        <v>519</v>
      </c>
      <c r="D12" s="85">
        <v>500</v>
      </c>
      <c r="E12" s="96" t="s">
        <v>294</v>
      </c>
      <c r="F12" s="107">
        <f>3220/20</f>
        <v>161</v>
      </c>
      <c r="G12" s="192">
        <f>D12*F12</f>
        <v>80500</v>
      </c>
      <c r="H12" s="204"/>
      <c r="I12" s="968"/>
      <c r="J12" s="372" t="s">
        <v>254</v>
      </c>
      <c r="K12" s="373">
        <f>SUM(K6:K9)</f>
        <v>20.7</v>
      </c>
      <c r="L12" s="373">
        <f>SUM(L6:L11)</f>
        <v>36</v>
      </c>
      <c r="M12" s="373"/>
      <c r="N12" s="378">
        <f>SUM(N6:N11)</f>
        <v>19311.599999999999</v>
      </c>
      <c r="O12" s="221"/>
      <c r="P12" s="319"/>
      <c r="Q12" s="188"/>
      <c r="R12" s="398"/>
      <c r="S12" s="188"/>
      <c r="T12" s="955"/>
      <c r="U12" s="956"/>
      <c r="V12" s="211"/>
    </row>
    <row r="13" spans="2:22" ht="15" customHeight="1" thickTop="1" x14ac:dyDescent="0.15">
      <c r="B13" s="799"/>
      <c r="C13" s="85"/>
      <c r="D13" s="85"/>
      <c r="E13" s="96"/>
      <c r="F13" s="85"/>
      <c r="G13" s="192">
        <f>D13*F13</f>
        <v>0</v>
      </c>
      <c r="H13" s="204"/>
      <c r="I13" s="939" t="s">
        <v>48</v>
      </c>
      <c r="J13" s="353" t="s">
        <v>305</v>
      </c>
      <c r="K13" s="376">
        <v>2.8</v>
      </c>
      <c r="L13" s="376">
        <v>3.3</v>
      </c>
      <c r="M13" s="489">
        <v>158.4</v>
      </c>
      <c r="N13" s="377">
        <f>K13*L13*M13</f>
        <v>1463.6159999999998</v>
      </c>
      <c r="O13" s="221"/>
      <c r="P13" s="319"/>
      <c r="Q13" s="188"/>
      <c r="R13" s="398"/>
      <c r="S13" s="188"/>
      <c r="T13" s="955"/>
      <c r="U13" s="956"/>
      <c r="V13" s="211"/>
    </row>
    <row r="14" spans="2:22" ht="15" customHeight="1" x14ac:dyDescent="0.15">
      <c r="B14" s="799"/>
      <c r="C14" s="85"/>
      <c r="D14" s="85"/>
      <c r="E14" s="96"/>
      <c r="F14" s="85"/>
      <c r="G14" s="192">
        <f>D14*F14</f>
        <v>0</v>
      </c>
      <c r="H14" s="204"/>
      <c r="I14" s="940"/>
      <c r="J14" s="353"/>
      <c r="K14" s="376"/>
      <c r="L14" s="376"/>
      <c r="M14" s="489"/>
      <c r="N14" s="377">
        <f t="shared" ref="N14:N15" si="2">K14*L14*M14</f>
        <v>0</v>
      </c>
      <c r="O14" s="221"/>
      <c r="P14" s="319"/>
      <c r="Q14" s="188"/>
      <c r="R14" s="398"/>
      <c r="S14" s="188"/>
      <c r="T14" s="955"/>
      <c r="U14" s="956"/>
      <c r="V14" s="211"/>
    </row>
    <row r="15" spans="2:22" ht="15" customHeight="1" x14ac:dyDescent="0.15">
      <c r="B15" s="799"/>
      <c r="C15" s="85"/>
      <c r="D15" s="85"/>
      <c r="E15" s="85"/>
      <c r="F15" s="85"/>
      <c r="G15" s="192">
        <f t="shared" ref="G15" si="3">D15*F15</f>
        <v>0</v>
      </c>
      <c r="H15" s="204"/>
      <c r="I15" s="940"/>
      <c r="J15" s="353"/>
      <c r="K15" s="376"/>
      <c r="L15" s="376"/>
      <c r="M15" s="489"/>
      <c r="N15" s="377">
        <f t="shared" si="2"/>
        <v>0</v>
      </c>
      <c r="O15" s="221"/>
      <c r="P15" s="319"/>
      <c r="Q15" s="188"/>
      <c r="R15" s="398"/>
      <c r="S15" s="188"/>
      <c r="T15" s="955"/>
      <c r="U15" s="956"/>
      <c r="V15" s="211"/>
    </row>
    <row r="16" spans="2:22" ht="15" customHeight="1" thickBot="1" x14ac:dyDescent="0.2">
      <c r="B16" s="931"/>
      <c r="C16" s="195" t="s">
        <v>158</v>
      </c>
      <c r="D16" s="196"/>
      <c r="E16" s="196"/>
      <c r="F16" s="196"/>
      <c r="G16" s="197">
        <f>SUM(G12:G15)</f>
        <v>80500</v>
      </c>
      <c r="H16" s="204"/>
      <c r="I16" s="941"/>
      <c r="J16" s="320" t="s">
        <v>254</v>
      </c>
      <c r="K16" s="207">
        <f>SUM(K13:K15)</f>
        <v>2.8</v>
      </c>
      <c r="L16" s="207">
        <f>SUM(L13:L15)</f>
        <v>3.3</v>
      </c>
      <c r="M16" s="490"/>
      <c r="N16" s="379">
        <f>SUM(N13:N15)</f>
        <v>1463.6159999999998</v>
      </c>
      <c r="O16" s="221"/>
      <c r="P16" s="319"/>
      <c r="Q16" s="188"/>
      <c r="R16" s="398"/>
      <c r="S16" s="188"/>
      <c r="T16" s="955"/>
      <c r="U16" s="956"/>
      <c r="V16" s="211"/>
    </row>
    <row r="17" spans="2:22" ht="15" customHeight="1" thickTop="1" x14ac:dyDescent="0.15">
      <c r="B17" s="930" t="s">
        <v>187</v>
      </c>
      <c r="C17" s="85"/>
      <c r="D17" s="85"/>
      <c r="E17" s="96"/>
      <c r="F17" s="85"/>
      <c r="G17" s="192">
        <f t="shared" ref="G17" si="4">D17*F17</f>
        <v>0</v>
      </c>
      <c r="H17" s="204"/>
      <c r="I17" s="939" t="s">
        <v>195</v>
      </c>
      <c r="J17" s="353"/>
      <c r="K17" s="376">
        <v>0</v>
      </c>
      <c r="L17" s="376"/>
      <c r="M17" s="489"/>
      <c r="N17" s="377">
        <f>K17*L17*M17</f>
        <v>0</v>
      </c>
      <c r="O17" s="221"/>
      <c r="P17" s="319"/>
      <c r="Q17" s="188"/>
      <c r="R17" s="398"/>
      <c r="S17" s="188"/>
      <c r="T17" s="955"/>
      <c r="U17" s="956"/>
      <c r="V17" s="211"/>
    </row>
    <row r="18" spans="2:22" ht="15" customHeight="1" x14ac:dyDescent="0.15">
      <c r="B18" s="799"/>
      <c r="C18" s="85"/>
      <c r="D18" s="85"/>
      <c r="E18" s="96"/>
      <c r="F18" s="85"/>
      <c r="G18" s="192">
        <f>D18*F18</f>
        <v>0</v>
      </c>
      <c r="H18" s="204"/>
      <c r="I18" s="940"/>
      <c r="J18" s="353"/>
      <c r="K18" s="376"/>
      <c r="L18" s="376"/>
      <c r="M18" s="489"/>
      <c r="N18" s="377">
        <f t="shared" ref="N18:N19" si="5">K18*L18*M18</f>
        <v>0</v>
      </c>
      <c r="O18" s="221"/>
      <c r="P18" s="319"/>
      <c r="Q18" s="188"/>
      <c r="R18" s="398"/>
      <c r="S18" s="188"/>
      <c r="T18" s="955"/>
      <c r="U18" s="956"/>
      <c r="V18" s="211"/>
    </row>
    <row r="19" spans="2:22" ht="15" customHeight="1" x14ac:dyDescent="0.15">
      <c r="B19" s="799"/>
      <c r="C19" s="85"/>
      <c r="D19" s="85"/>
      <c r="E19" s="85"/>
      <c r="F19" s="85"/>
      <c r="G19" s="192">
        <f t="shared" ref="G19" si="6">D19*F19</f>
        <v>0</v>
      </c>
      <c r="H19" s="204"/>
      <c r="I19" s="940"/>
      <c r="J19" s="353"/>
      <c r="K19" s="376"/>
      <c r="L19" s="376"/>
      <c r="M19" s="489"/>
      <c r="N19" s="377">
        <f t="shared" si="5"/>
        <v>0</v>
      </c>
      <c r="O19" s="221"/>
      <c r="P19" s="319"/>
      <c r="Q19" s="188"/>
      <c r="R19" s="398"/>
      <c r="S19" s="188"/>
      <c r="T19" s="955"/>
      <c r="U19" s="956"/>
      <c r="V19" s="211"/>
    </row>
    <row r="20" spans="2:22" ht="15" customHeight="1" thickBot="1" x14ac:dyDescent="0.2">
      <c r="B20" s="931"/>
      <c r="C20" s="195" t="s">
        <v>158</v>
      </c>
      <c r="D20" s="196"/>
      <c r="E20" s="196"/>
      <c r="F20" s="196"/>
      <c r="G20" s="197">
        <f>SUM(G17:G19)</f>
        <v>0</v>
      </c>
      <c r="H20" s="204"/>
      <c r="I20" s="941"/>
      <c r="J20" s="320" t="s">
        <v>254</v>
      </c>
      <c r="K20" s="207">
        <f>SUM(K17:K19)</f>
        <v>0</v>
      </c>
      <c r="L20" s="208">
        <f>SUM(L17:L19)</f>
        <v>0</v>
      </c>
      <c r="M20" s="491"/>
      <c r="N20" s="379">
        <f>SUM(N17:N19)</f>
        <v>0</v>
      </c>
      <c r="O20" s="221"/>
      <c r="P20" s="319"/>
      <c r="Q20" s="188"/>
      <c r="R20" s="398"/>
      <c r="S20" s="188"/>
      <c r="T20" s="955"/>
      <c r="U20" s="956"/>
      <c r="V20" s="211"/>
    </row>
    <row r="21" spans="2:22" ht="15" customHeight="1" thickTop="1" thickBot="1" x14ac:dyDescent="0.2">
      <c r="B21" s="930" t="s">
        <v>188</v>
      </c>
      <c r="C21" s="85" t="s">
        <v>520</v>
      </c>
      <c r="D21" s="85">
        <f>189*4.3</f>
        <v>812.69999999999993</v>
      </c>
      <c r="E21" s="96" t="s">
        <v>294</v>
      </c>
      <c r="F21" s="85">
        <f>510/20</f>
        <v>25.5</v>
      </c>
      <c r="G21" s="192">
        <f>D21*F21</f>
        <v>20723.849999999999</v>
      </c>
      <c r="H21" s="204"/>
      <c r="I21" s="939" t="s">
        <v>196</v>
      </c>
      <c r="J21" s="353"/>
      <c r="K21" s="376"/>
      <c r="L21" s="376"/>
      <c r="M21" s="489"/>
      <c r="N21" s="377"/>
      <c r="O21" s="221"/>
      <c r="P21" s="212" t="s">
        <v>29</v>
      </c>
      <c r="Q21" s="213"/>
      <c r="R21" s="213"/>
      <c r="S21" s="213"/>
      <c r="T21" s="974"/>
      <c r="U21" s="975"/>
      <c r="V21" s="214">
        <f>SUM(V5:V20)</f>
        <v>5806.666666666667</v>
      </c>
    </row>
    <row r="22" spans="2:22" ht="15" customHeight="1" x14ac:dyDescent="0.15">
      <c r="B22" s="799"/>
      <c r="C22" s="85"/>
      <c r="D22" s="85"/>
      <c r="E22" s="96"/>
      <c r="F22" s="85"/>
      <c r="G22" s="192">
        <f>D22*F22</f>
        <v>0</v>
      </c>
      <c r="H22" s="204"/>
      <c r="I22" s="940"/>
      <c r="J22" s="353"/>
      <c r="K22" s="376"/>
      <c r="L22" s="376"/>
      <c r="M22" s="489"/>
      <c r="N22" s="377">
        <f t="shared" ref="N22:N23" si="7">K22*L22*M22</f>
        <v>0</v>
      </c>
      <c r="O22" s="221"/>
    </row>
    <row r="23" spans="2:22" ht="15" customHeight="1" thickBot="1" x14ac:dyDescent="0.2">
      <c r="B23" s="799"/>
      <c r="C23" s="85"/>
      <c r="D23" s="85"/>
      <c r="E23" s="96"/>
      <c r="F23" s="85"/>
      <c r="G23" s="192">
        <f>D23*F23</f>
        <v>0</v>
      </c>
      <c r="H23" s="204"/>
      <c r="I23" s="940"/>
      <c r="J23" s="353"/>
      <c r="K23" s="376"/>
      <c r="L23" s="376"/>
      <c r="M23" s="489"/>
      <c r="N23" s="377">
        <f t="shared" si="7"/>
        <v>0</v>
      </c>
      <c r="O23" s="221"/>
      <c r="P23" s="86" t="s">
        <v>250</v>
      </c>
    </row>
    <row r="24" spans="2:22" ht="15" customHeight="1" thickBot="1" x14ac:dyDescent="0.2">
      <c r="B24" s="957"/>
      <c r="C24" s="198" t="s">
        <v>159</v>
      </c>
      <c r="D24" s="199"/>
      <c r="E24" s="199"/>
      <c r="F24" s="206"/>
      <c r="G24" s="200">
        <f>SUM(G21:G23)</f>
        <v>20723.849999999999</v>
      </c>
      <c r="H24" s="204"/>
      <c r="I24" s="941"/>
      <c r="J24" s="320" t="s">
        <v>254</v>
      </c>
      <c r="K24" s="207">
        <f>SUM(K21:K23)</f>
        <v>0</v>
      </c>
      <c r="L24" s="208">
        <f>SUM(L21:L23)</f>
        <v>0</v>
      </c>
      <c r="M24" s="491"/>
      <c r="N24" s="379">
        <f>SUM(N21:N23)</f>
        <v>0</v>
      </c>
      <c r="O24" s="221"/>
      <c r="P24" s="316" t="s">
        <v>203</v>
      </c>
      <c r="Q24" s="317" t="s">
        <v>198</v>
      </c>
      <c r="R24" s="317" t="s">
        <v>199</v>
      </c>
      <c r="S24" s="317" t="s">
        <v>200</v>
      </c>
      <c r="T24" s="317" t="s">
        <v>201</v>
      </c>
      <c r="U24" s="400" t="s">
        <v>204</v>
      </c>
      <c r="V24" s="318" t="s">
        <v>202</v>
      </c>
    </row>
    <row r="25" spans="2:22" ht="15" customHeight="1" thickTop="1" x14ac:dyDescent="0.15">
      <c r="I25" s="939" t="s">
        <v>275</v>
      </c>
      <c r="J25" s="353"/>
      <c r="K25" s="376"/>
      <c r="L25" s="376"/>
      <c r="M25" s="489"/>
      <c r="N25" s="377">
        <f>K25*L25*M25</f>
        <v>0</v>
      </c>
      <c r="O25" s="221"/>
      <c r="P25" s="319" t="s">
        <v>411</v>
      </c>
      <c r="Q25" s="188">
        <v>10</v>
      </c>
      <c r="R25" s="398" t="s">
        <v>253</v>
      </c>
      <c r="S25" s="465">
        <v>500</v>
      </c>
      <c r="T25" s="188">
        <v>2</v>
      </c>
      <c r="U25" s="189">
        <f>'１　対象経営の概要，２　前提条件'!$N$7+'１　対象経営の概要，２　前提条件'!$Y$7+'１　対象経営の概要，２　前提条件'!$N$8+'１　対象経営の概要，２　前提条件'!$N$9</f>
        <v>15</v>
      </c>
      <c r="V25" s="211">
        <f>Q25*S25/T25/U25</f>
        <v>166.66666666666666</v>
      </c>
    </row>
    <row r="26" spans="2:22" ht="15" customHeight="1" thickBot="1" x14ac:dyDescent="0.2">
      <c r="B26" s="13" t="s">
        <v>258</v>
      </c>
      <c r="C26" s="13"/>
      <c r="D26" s="88"/>
      <c r="E26" s="13"/>
      <c r="F26" s="88"/>
      <c r="G26" s="92"/>
      <c r="H26" s="205"/>
      <c r="I26" s="940"/>
      <c r="J26" s="353"/>
      <c r="K26" s="376"/>
      <c r="L26" s="376"/>
      <c r="M26" s="489"/>
      <c r="N26" s="377">
        <f t="shared" ref="N26:N27" si="8">K26*L26*M26</f>
        <v>0</v>
      </c>
      <c r="O26" s="221"/>
      <c r="P26" s="319"/>
      <c r="Q26" s="188"/>
      <c r="R26" s="398"/>
      <c r="S26" s="188"/>
      <c r="T26" s="188"/>
      <c r="U26" s="189"/>
      <c r="V26" s="211"/>
    </row>
    <row r="27" spans="2:22" ht="15" customHeight="1" x14ac:dyDescent="0.15">
      <c r="B27" s="315" t="s">
        <v>89</v>
      </c>
      <c r="C27" s="202" t="s">
        <v>151</v>
      </c>
      <c r="D27" s="202" t="s">
        <v>152</v>
      </c>
      <c r="E27" s="202" t="s">
        <v>153</v>
      </c>
      <c r="F27" s="397" t="s">
        <v>24</v>
      </c>
      <c r="G27" s="190" t="s">
        <v>154</v>
      </c>
      <c r="H27" s="203"/>
      <c r="I27" s="940"/>
      <c r="J27" s="353"/>
      <c r="K27" s="376"/>
      <c r="L27" s="376"/>
      <c r="M27" s="489"/>
      <c r="N27" s="377">
        <f t="shared" si="8"/>
        <v>0</v>
      </c>
      <c r="O27" s="221"/>
      <c r="P27" s="319"/>
      <c r="Q27" s="188"/>
      <c r="R27" s="398"/>
      <c r="S27" s="188"/>
      <c r="T27" s="188"/>
      <c r="U27" s="189"/>
      <c r="V27" s="211"/>
    </row>
    <row r="28" spans="2:22" ht="15" customHeight="1" thickBot="1" x14ac:dyDescent="0.2">
      <c r="B28" s="798" t="s">
        <v>30</v>
      </c>
      <c r="C28" s="85" t="s">
        <v>521</v>
      </c>
      <c r="D28" s="85">
        <v>300</v>
      </c>
      <c r="E28" s="96" t="s">
        <v>300</v>
      </c>
      <c r="F28" s="85">
        <f>62610/10000</f>
        <v>6.2610000000000001</v>
      </c>
      <c r="G28" s="191">
        <f>D28*F28</f>
        <v>1878.3</v>
      </c>
      <c r="H28" s="204"/>
      <c r="I28" s="941"/>
      <c r="J28" s="320" t="s">
        <v>254</v>
      </c>
      <c r="K28" s="207">
        <f>SUM(K25:K27)</f>
        <v>0</v>
      </c>
      <c r="L28" s="208">
        <f>SUM(L25:L27)</f>
        <v>0</v>
      </c>
      <c r="M28" s="491"/>
      <c r="N28" s="379">
        <f>SUM(N25:N27)</f>
        <v>0</v>
      </c>
      <c r="O28" s="221"/>
      <c r="P28" s="319"/>
      <c r="Q28" s="188"/>
      <c r="R28" s="398"/>
      <c r="S28" s="188"/>
      <c r="T28" s="188"/>
      <c r="U28" s="189"/>
      <c r="V28" s="211"/>
    </row>
    <row r="29" spans="2:22" ht="15" customHeight="1" thickTop="1" x14ac:dyDescent="0.15">
      <c r="B29" s="799"/>
      <c r="C29" s="370" t="s">
        <v>522</v>
      </c>
      <c r="D29" s="353">
        <v>180</v>
      </c>
      <c r="E29" s="96" t="s">
        <v>300</v>
      </c>
      <c r="F29" s="353">
        <f>4180/500</f>
        <v>8.36</v>
      </c>
      <c r="G29" s="191">
        <f>D29*F29</f>
        <v>1504.8</v>
      </c>
      <c r="H29" s="204"/>
      <c r="I29" s="939" t="s">
        <v>192</v>
      </c>
      <c r="J29" s="353"/>
      <c r="K29" s="376"/>
      <c r="L29" s="376"/>
      <c r="M29" s="489"/>
      <c r="N29" s="377"/>
      <c r="O29" s="221"/>
      <c r="P29" s="319"/>
      <c r="Q29" s="188"/>
      <c r="R29" s="398"/>
      <c r="S29" s="188"/>
      <c r="T29" s="188"/>
      <c r="U29" s="352"/>
      <c r="V29" s="211"/>
    </row>
    <row r="30" spans="2:22" ht="15" customHeight="1" x14ac:dyDescent="0.15">
      <c r="B30" s="799"/>
      <c r="C30" s="85" t="s">
        <v>523</v>
      </c>
      <c r="D30" s="85">
        <v>1000</v>
      </c>
      <c r="E30" s="96" t="s">
        <v>311</v>
      </c>
      <c r="F30" s="85">
        <f>42580/20000</f>
        <v>2.129</v>
      </c>
      <c r="G30" s="191">
        <f>D30*F30</f>
        <v>2129</v>
      </c>
      <c r="H30" s="204"/>
      <c r="I30" s="940"/>
      <c r="J30" s="353"/>
      <c r="K30" s="376"/>
      <c r="L30" s="376"/>
      <c r="M30" s="489"/>
      <c r="N30" s="377"/>
      <c r="O30" s="87"/>
      <c r="P30" s="319"/>
      <c r="Q30" s="188"/>
      <c r="R30" s="398"/>
      <c r="S30" s="188"/>
      <c r="T30" s="188"/>
      <c r="U30" s="352"/>
      <c r="V30" s="211"/>
    </row>
    <row r="31" spans="2:22" ht="15" customHeight="1" x14ac:dyDescent="0.15">
      <c r="B31" s="799"/>
      <c r="C31" s="370"/>
      <c r="D31" s="353"/>
      <c r="E31" s="96"/>
      <c r="F31" s="353"/>
      <c r="G31" s="192">
        <v>0</v>
      </c>
      <c r="H31" s="204"/>
      <c r="I31" s="940"/>
      <c r="J31" s="353" t="s">
        <v>309</v>
      </c>
      <c r="K31" s="376">
        <v>24.5</v>
      </c>
      <c r="L31" s="376">
        <v>0.95</v>
      </c>
      <c r="M31" s="489">
        <v>14</v>
      </c>
      <c r="N31" s="377">
        <f t="shared" ref="N31" si="9">K31*L31*M31</f>
        <v>325.84999999999997</v>
      </c>
      <c r="P31" s="319"/>
      <c r="Q31" s="188"/>
      <c r="R31" s="398"/>
      <c r="S31" s="188"/>
      <c r="T31" s="188"/>
      <c r="U31" s="189"/>
      <c r="V31" s="211"/>
    </row>
    <row r="32" spans="2:22" ht="15" customHeight="1" thickBot="1" x14ac:dyDescent="0.2">
      <c r="B32" s="799"/>
      <c r="C32" s="353"/>
      <c r="D32" s="353"/>
      <c r="E32" s="96"/>
      <c r="F32" s="353"/>
      <c r="G32" s="192">
        <f t="shared" ref="G32:G37" si="10">D32*F32</f>
        <v>0</v>
      </c>
      <c r="H32" s="204"/>
      <c r="I32" s="944"/>
      <c r="J32" s="380" t="s">
        <v>254</v>
      </c>
      <c r="K32" s="381">
        <f>SUM(K29:K31)</f>
        <v>24.5</v>
      </c>
      <c r="L32" s="382">
        <f>SUM(L29:L31)</f>
        <v>0.95</v>
      </c>
      <c r="M32" s="492"/>
      <c r="N32" s="384">
        <f>SUM(N29:N31)</f>
        <v>325.84999999999997</v>
      </c>
      <c r="P32" s="319"/>
      <c r="Q32" s="188"/>
      <c r="R32" s="398"/>
      <c r="S32" s="188"/>
      <c r="T32" s="188"/>
      <c r="U32" s="189"/>
      <c r="V32" s="211"/>
    </row>
    <row r="33" spans="2:22" ht="15" customHeight="1" x14ac:dyDescent="0.15">
      <c r="B33" s="799"/>
      <c r="C33" s="353"/>
      <c r="D33" s="353"/>
      <c r="E33" s="96"/>
      <c r="F33" s="353"/>
      <c r="G33" s="192">
        <f t="shared" si="10"/>
        <v>0</v>
      </c>
      <c r="H33" s="204"/>
      <c r="I33" s="182"/>
      <c r="J33" s="182"/>
      <c r="K33" s="182"/>
      <c r="L33" s="182"/>
      <c r="M33" s="182"/>
      <c r="N33" s="182"/>
      <c r="P33" s="319"/>
      <c r="Q33" s="188"/>
      <c r="R33" s="398"/>
      <c r="S33" s="188"/>
      <c r="T33" s="188"/>
      <c r="U33" s="189"/>
      <c r="V33" s="211"/>
    </row>
    <row r="34" spans="2:22" ht="15" customHeight="1" thickBot="1" x14ac:dyDescent="0.2">
      <c r="B34" s="799"/>
      <c r="C34" s="353"/>
      <c r="D34" s="353"/>
      <c r="E34" s="96"/>
      <c r="F34" s="353"/>
      <c r="G34" s="192">
        <f t="shared" si="10"/>
        <v>0</v>
      </c>
      <c r="H34" s="204"/>
      <c r="I34" s="172" t="s">
        <v>248</v>
      </c>
      <c r="J34" s="172"/>
      <c r="K34" s="172"/>
      <c r="L34" s="172"/>
      <c r="M34" s="172"/>
      <c r="P34" s="322" t="s">
        <v>241</v>
      </c>
      <c r="Q34" s="213"/>
      <c r="R34" s="213"/>
      <c r="S34" s="213"/>
      <c r="T34" s="213"/>
      <c r="U34" s="215"/>
      <c r="V34" s="214">
        <f>SUM(V25:V33)</f>
        <v>166.66666666666666</v>
      </c>
    </row>
    <row r="35" spans="2:22" ht="15" customHeight="1" x14ac:dyDescent="0.15">
      <c r="B35" s="799"/>
      <c r="C35" s="353"/>
      <c r="D35" s="353"/>
      <c r="E35" s="96"/>
      <c r="F35" s="353"/>
      <c r="G35" s="192">
        <f t="shared" si="10"/>
        <v>0</v>
      </c>
      <c r="H35" s="204"/>
      <c r="I35" s="295" t="s">
        <v>236</v>
      </c>
      <c r="J35" s="296" t="s">
        <v>5</v>
      </c>
      <c r="K35" s="942" t="s">
        <v>237</v>
      </c>
      <c r="L35" s="943"/>
      <c r="M35" s="323" t="s">
        <v>204</v>
      </c>
      <c r="N35" s="321" t="s">
        <v>260</v>
      </c>
    </row>
    <row r="36" spans="2:22" ht="15" customHeight="1" thickBot="1" x14ac:dyDescent="0.2">
      <c r="B36" s="799"/>
      <c r="C36" s="353"/>
      <c r="D36" s="353"/>
      <c r="E36" s="96"/>
      <c r="F36" s="353"/>
      <c r="G36" s="192">
        <f t="shared" si="10"/>
        <v>0</v>
      </c>
      <c r="H36" s="204"/>
      <c r="I36" s="927" t="s">
        <v>2</v>
      </c>
      <c r="J36" s="201" t="str">
        <f>'６（参考）水稲資本装備'!C5</f>
        <v>農機具庫</v>
      </c>
      <c r="K36" s="936">
        <f>'６（参考）水稲資本装備'!I5</f>
        <v>4752000</v>
      </c>
      <c r="L36" s="936"/>
      <c r="M36" s="428">
        <f>SUM('１　対象経営の概要，２　前提条件'!$F$13:$F$20)</f>
        <v>25</v>
      </c>
      <c r="N36" s="310">
        <f>+K36/M36*0.014*0.3</f>
        <v>798.3359999999999</v>
      </c>
      <c r="P36" s="172" t="s">
        <v>242</v>
      </c>
      <c r="Q36" s="172"/>
      <c r="R36" s="172"/>
      <c r="S36" s="172"/>
      <c r="T36" s="172"/>
    </row>
    <row r="37" spans="2:22" ht="15" customHeight="1" x14ac:dyDescent="0.15">
      <c r="B37" s="799"/>
      <c r="C37" s="353"/>
      <c r="D37" s="353"/>
      <c r="E37" s="96"/>
      <c r="F37" s="353"/>
      <c r="G37" s="192">
        <f t="shared" si="10"/>
        <v>0</v>
      </c>
      <c r="H37" s="204"/>
      <c r="I37" s="928"/>
      <c r="J37" s="201"/>
      <c r="K37" s="936"/>
      <c r="L37" s="936"/>
      <c r="M37" s="428"/>
      <c r="N37" s="310"/>
      <c r="P37" s="295" t="s">
        <v>235</v>
      </c>
      <c r="Q37" s="969" t="s">
        <v>243</v>
      </c>
      <c r="R37" s="969"/>
      <c r="S37" s="401" t="s">
        <v>246</v>
      </c>
      <c r="T37" s="401" t="s">
        <v>245</v>
      </c>
      <c r="U37" s="323" t="s">
        <v>204</v>
      </c>
      <c r="V37" s="324" t="s">
        <v>260</v>
      </c>
    </row>
    <row r="38" spans="2:22" ht="15" customHeight="1" thickBot="1" x14ac:dyDescent="0.2">
      <c r="B38" s="931"/>
      <c r="C38" s="193" t="s">
        <v>157</v>
      </c>
      <c r="D38" s="193"/>
      <c r="E38" s="193"/>
      <c r="F38" s="193"/>
      <c r="G38" s="194">
        <f>SUM(G28:G37)</f>
        <v>5512.1</v>
      </c>
      <c r="H38" s="204"/>
      <c r="I38" s="928"/>
      <c r="J38" s="201" t="str">
        <f>'６（参考）水稲資本装備'!C6</f>
        <v>育苗ハウス</v>
      </c>
      <c r="K38" s="936">
        <f>'６（参考）水稲資本装備'!I6</f>
        <v>1148175</v>
      </c>
      <c r="L38" s="936"/>
      <c r="M38" s="428">
        <f>SUM('１　対象経営の概要，２　前提条件'!$F$13:$F$14,'１　対象経営の概要，２　前提条件'!$F$20)</f>
        <v>17</v>
      </c>
      <c r="N38" s="310">
        <f>+K38/M38*0.014*0.3</f>
        <v>283.66676470588231</v>
      </c>
      <c r="O38" s="210"/>
      <c r="P38" s="924" t="s">
        <v>244</v>
      </c>
      <c r="Q38" s="301" t="s">
        <v>234</v>
      </c>
      <c r="R38" s="328"/>
      <c r="S38" s="302">
        <v>3880</v>
      </c>
      <c r="T38" s="329"/>
      <c r="U38" s="302"/>
      <c r="V38" s="310">
        <v>3880</v>
      </c>
    </row>
    <row r="39" spans="2:22" ht="15" customHeight="1" thickTop="1" x14ac:dyDescent="0.15">
      <c r="B39" s="930" t="s">
        <v>189</v>
      </c>
      <c r="C39" s="409" t="s">
        <v>524</v>
      </c>
      <c r="D39" s="85">
        <v>60</v>
      </c>
      <c r="E39" s="96" t="s">
        <v>311</v>
      </c>
      <c r="F39" s="85">
        <f>1450/500</f>
        <v>2.9</v>
      </c>
      <c r="G39" s="192">
        <f>D39*F39</f>
        <v>174</v>
      </c>
      <c r="H39" s="204"/>
      <c r="I39" s="928"/>
      <c r="J39" s="201"/>
      <c r="K39" s="936"/>
      <c r="L39" s="936"/>
      <c r="M39" s="424"/>
      <c r="N39" s="310"/>
      <c r="O39" s="210"/>
      <c r="P39" s="925"/>
      <c r="Q39" s="301"/>
      <c r="R39" s="328"/>
      <c r="S39" s="302"/>
      <c r="T39" s="329"/>
      <c r="U39" s="302"/>
      <c r="V39" s="310"/>
    </row>
    <row r="40" spans="2:22" ht="15" customHeight="1" x14ac:dyDescent="0.15">
      <c r="B40" s="799"/>
      <c r="C40" s="85" t="s">
        <v>528</v>
      </c>
      <c r="D40" s="85">
        <v>1000</v>
      </c>
      <c r="E40" s="96" t="s">
        <v>311</v>
      </c>
      <c r="F40" s="85">
        <f>96020/20000</f>
        <v>4.8010000000000002</v>
      </c>
      <c r="G40" s="192">
        <f>D40*F40</f>
        <v>4801</v>
      </c>
      <c r="H40" s="204"/>
      <c r="I40" s="928"/>
      <c r="J40" s="201"/>
      <c r="K40" s="936"/>
      <c r="L40" s="936"/>
      <c r="M40" s="424"/>
      <c r="N40" s="310"/>
      <c r="O40" s="210"/>
      <c r="P40" s="925"/>
      <c r="Q40" s="301"/>
      <c r="R40" s="328"/>
      <c r="S40" s="302"/>
      <c r="T40" s="329"/>
      <c r="U40" s="302"/>
      <c r="V40" s="310"/>
    </row>
    <row r="41" spans="2:22" ht="15" customHeight="1" x14ac:dyDescent="0.15">
      <c r="B41" s="799"/>
      <c r="C41" s="85"/>
      <c r="D41" s="85"/>
      <c r="E41" s="96"/>
      <c r="F41" s="85"/>
      <c r="G41" s="192">
        <f>D41*F41</f>
        <v>0</v>
      </c>
      <c r="H41" s="204"/>
      <c r="I41" s="928"/>
      <c r="J41" s="201"/>
      <c r="K41" s="936"/>
      <c r="L41" s="936"/>
      <c r="M41" s="424"/>
      <c r="N41" s="310"/>
      <c r="O41" s="210"/>
      <c r="P41" s="925"/>
      <c r="Q41" s="301"/>
      <c r="R41" s="328"/>
      <c r="S41" s="302"/>
      <c r="T41" s="329"/>
      <c r="U41" s="302"/>
      <c r="V41" s="310"/>
    </row>
    <row r="42" spans="2:22" ht="15" customHeight="1" thickBot="1" x14ac:dyDescent="0.2">
      <c r="B42" s="799"/>
      <c r="C42" s="85"/>
      <c r="D42" s="85"/>
      <c r="E42" s="96"/>
      <c r="F42" s="85"/>
      <c r="G42" s="192">
        <f t="shared" ref="G42:G52" si="11">D42*F42</f>
        <v>0</v>
      </c>
      <c r="H42" s="204"/>
      <c r="I42" s="929"/>
      <c r="J42" s="297" t="s">
        <v>158</v>
      </c>
      <c r="K42" s="937"/>
      <c r="L42" s="938"/>
      <c r="M42" s="298"/>
      <c r="N42" s="306">
        <f>SUM(N36:N41)</f>
        <v>1082.0027647058823</v>
      </c>
      <c r="O42" s="210"/>
      <c r="P42" s="925"/>
      <c r="Q42" s="301"/>
      <c r="R42" s="328"/>
      <c r="S42" s="302"/>
      <c r="T42" s="329"/>
      <c r="U42" s="302"/>
      <c r="V42" s="310"/>
    </row>
    <row r="43" spans="2:22" ht="15" customHeight="1" thickTop="1" x14ac:dyDescent="0.15">
      <c r="B43" s="799"/>
      <c r="C43" s="85"/>
      <c r="D43" s="85"/>
      <c r="E43" s="96"/>
      <c r="F43" s="85"/>
      <c r="G43" s="192"/>
      <c r="H43" s="204"/>
      <c r="I43" s="932" t="s">
        <v>238</v>
      </c>
      <c r="J43" s="299" t="s">
        <v>261</v>
      </c>
      <c r="K43" s="935">
        <v>8200</v>
      </c>
      <c r="L43" s="935"/>
      <c r="M43" s="518">
        <f>SUM('１　対象経営の概要，２　前提条件'!$F$13:$F$20)</f>
        <v>25</v>
      </c>
      <c r="N43" s="326">
        <f>+K43/M43</f>
        <v>328</v>
      </c>
      <c r="O43" s="210"/>
      <c r="P43" s="925"/>
      <c r="Q43" s="301"/>
      <c r="R43" s="328"/>
      <c r="S43" s="302"/>
      <c r="T43" s="329"/>
      <c r="U43" s="302"/>
      <c r="V43" s="310"/>
    </row>
    <row r="44" spans="2:22" ht="15" customHeight="1" thickBot="1" x14ac:dyDescent="0.2">
      <c r="B44" s="799"/>
      <c r="C44" s="85"/>
      <c r="D44" s="85"/>
      <c r="E44" s="96"/>
      <c r="F44" s="85"/>
      <c r="G44" s="192"/>
      <c r="H44" s="204"/>
      <c r="I44" s="933"/>
      <c r="J44" s="301"/>
      <c r="K44" s="936"/>
      <c r="L44" s="936"/>
      <c r="M44" s="424"/>
      <c r="N44" s="310"/>
      <c r="O44" s="210"/>
      <c r="P44" s="926"/>
      <c r="Q44" s="311" t="s">
        <v>247</v>
      </c>
      <c r="R44" s="312"/>
      <c r="S44" s="312"/>
      <c r="T44" s="312"/>
      <c r="U44" s="312"/>
      <c r="V44" s="313">
        <f>SUM(V38:V43)</f>
        <v>3880</v>
      </c>
    </row>
    <row r="45" spans="2:22" ht="15" customHeight="1" thickTop="1" x14ac:dyDescent="0.15">
      <c r="B45" s="799"/>
      <c r="C45" s="85"/>
      <c r="D45" s="85"/>
      <c r="E45" s="96"/>
      <c r="F45" s="85"/>
      <c r="G45" s="192"/>
      <c r="H45" s="204"/>
      <c r="I45" s="933"/>
      <c r="J45" s="201"/>
      <c r="K45" s="936"/>
      <c r="L45" s="936"/>
      <c r="M45" s="424"/>
      <c r="N45" s="310"/>
      <c r="O45" s="210"/>
      <c r="P45" s="981" t="s">
        <v>252</v>
      </c>
      <c r="Q45" s="978" t="s">
        <v>263</v>
      </c>
      <c r="R45" s="330" t="s">
        <v>264</v>
      </c>
      <c r="S45" s="299">
        <v>35750</v>
      </c>
      <c r="T45" s="331">
        <v>1</v>
      </c>
      <c r="U45" s="518">
        <f>SUM('１　対象経営の概要，２　前提条件'!$F$13:$F$20)</f>
        <v>25</v>
      </c>
      <c r="V45" s="325">
        <f>+S45*T45/U45</f>
        <v>1430</v>
      </c>
    </row>
    <row r="46" spans="2:22" ht="15" customHeight="1" thickBot="1" x14ac:dyDescent="0.2">
      <c r="B46" s="799"/>
      <c r="C46" s="85"/>
      <c r="D46" s="85"/>
      <c r="E46" s="96"/>
      <c r="F46" s="85"/>
      <c r="G46" s="192">
        <f t="shared" si="11"/>
        <v>0</v>
      </c>
      <c r="H46" s="204"/>
      <c r="I46" s="934"/>
      <c r="J46" s="297" t="s">
        <v>158</v>
      </c>
      <c r="K46" s="937"/>
      <c r="L46" s="938"/>
      <c r="M46" s="298"/>
      <c r="N46" s="306">
        <f>SUM(N43:N45)</f>
        <v>328</v>
      </c>
      <c r="O46" s="210"/>
      <c r="P46" s="925"/>
      <c r="Q46" s="979"/>
      <c r="R46" s="332" t="s">
        <v>251</v>
      </c>
      <c r="S46" s="301">
        <v>15600</v>
      </c>
      <c r="T46" s="329">
        <v>1</v>
      </c>
      <c r="U46" s="301">
        <f>SUM('１　対象経営の概要，２　前提条件'!$F$13:$F$20)</f>
        <v>25</v>
      </c>
      <c r="V46" s="310">
        <f>+S46*T46/U46</f>
        <v>624</v>
      </c>
    </row>
    <row r="47" spans="2:22" ht="15" customHeight="1" thickTop="1" x14ac:dyDescent="0.15">
      <c r="B47" s="799"/>
      <c r="C47" s="85"/>
      <c r="D47" s="85"/>
      <c r="E47" s="96"/>
      <c r="F47" s="85"/>
      <c r="G47" s="192">
        <f t="shared" si="11"/>
        <v>0</v>
      </c>
      <c r="H47" s="204"/>
      <c r="I47" s="932" t="s">
        <v>239</v>
      </c>
      <c r="J47" s="299" t="s">
        <v>261</v>
      </c>
      <c r="K47" s="935">
        <v>11500</v>
      </c>
      <c r="L47" s="935"/>
      <c r="M47" s="518">
        <f>SUM('１　対象経営の概要，２　前提条件'!$F$13:$F$20)</f>
        <v>25</v>
      </c>
      <c r="N47" s="325">
        <f>K47/M47</f>
        <v>460</v>
      </c>
      <c r="O47" s="210"/>
      <c r="P47" s="925"/>
      <c r="Q47" s="979"/>
      <c r="R47" s="332"/>
      <c r="S47" s="301"/>
      <c r="T47" s="301"/>
      <c r="U47" s="201"/>
      <c r="V47" s="333"/>
    </row>
    <row r="48" spans="2:22" ht="15" customHeight="1" x14ac:dyDescent="0.15">
      <c r="B48" s="799"/>
      <c r="C48" s="85"/>
      <c r="D48" s="85"/>
      <c r="E48" s="96"/>
      <c r="F48" s="85"/>
      <c r="G48" s="192">
        <f t="shared" si="11"/>
        <v>0</v>
      </c>
      <c r="H48" s="204"/>
      <c r="I48" s="933"/>
      <c r="J48" s="301"/>
      <c r="K48" s="936"/>
      <c r="L48" s="936"/>
      <c r="M48" s="424"/>
      <c r="N48" s="310"/>
      <c r="O48" s="210"/>
      <c r="P48" s="925"/>
      <c r="Q48" s="979"/>
      <c r="R48" s="332"/>
      <c r="S48" s="301"/>
      <c r="T48" s="329"/>
      <c r="U48" s="301"/>
      <c r="V48" s="310"/>
    </row>
    <row r="49" spans="2:22" ht="15" customHeight="1" thickBot="1" x14ac:dyDescent="0.2">
      <c r="B49" s="931"/>
      <c r="C49" s="195" t="s">
        <v>158</v>
      </c>
      <c r="D49" s="196"/>
      <c r="E49" s="196"/>
      <c r="F49" s="196"/>
      <c r="G49" s="197">
        <f>SUM(G39:G48)</f>
        <v>4975</v>
      </c>
      <c r="H49" s="204"/>
      <c r="I49" s="933"/>
      <c r="J49" s="201"/>
      <c r="K49" s="936"/>
      <c r="L49" s="936"/>
      <c r="M49" s="424"/>
      <c r="N49" s="310"/>
      <c r="O49" s="210"/>
      <c r="P49" s="925"/>
      <c r="Q49" s="980"/>
      <c r="R49" s="332"/>
      <c r="S49" s="301"/>
      <c r="T49" s="301"/>
      <c r="U49" s="201"/>
      <c r="V49" s="333"/>
    </row>
    <row r="50" spans="2:22" ht="15" customHeight="1" thickTop="1" thickBot="1" x14ac:dyDescent="0.2">
      <c r="B50" s="930" t="s">
        <v>32</v>
      </c>
      <c r="C50" s="85" t="s">
        <v>525</v>
      </c>
      <c r="D50" s="85">
        <v>10</v>
      </c>
      <c r="E50" s="96" t="s">
        <v>294</v>
      </c>
      <c r="F50" s="85">
        <f>24330/10</f>
        <v>2433</v>
      </c>
      <c r="G50" s="192">
        <f t="shared" si="11"/>
        <v>24330</v>
      </c>
      <c r="H50" s="204"/>
      <c r="I50" s="934"/>
      <c r="J50" s="297" t="s">
        <v>158</v>
      </c>
      <c r="K50" s="937"/>
      <c r="L50" s="938"/>
      <c r="M50" s="298"/>
      <c r="N50" s="306">
        <f>SUM(N47:N49)</f>
        <v>460</v>
      </c>
      <c r="O50" s="210"/>
      <c r="P50" s="925"/>
      <c r="Q50" s="311" t="s">
        <v>247</v>
      </c>
      <c r="R50" s="312"/>
      <c r="S50" s="312"/>
      <c r="T50" s="312"/>
      <c r="U50" s="312"/>
      <c r="V50" s="313">
        <f>SUM(V45:V49)</f>
        <v>2054</v>
      </c>
    </row>
    <row r="51" spans="2:22" ht="15" customHeight="1" thickTop="1" x14ac:dyDescent="0.15">
      <c r="B51" s="799"/>
      <c r="C51" s="85"/>
      <c r="D51" s="85"/>
      <c r="E51" s="85"/>
      <c r="F51" s="85"/>
      <c r="G51" s="192">
        <f t="shared" si="11"/>
        <v>0</v>
      </c>
      <c r="H51" s="204"/>
      <c r="I51" s="932" t="s">
        <v>240</v>
      </c>
      <c r="J51" s="299" t="s">
        <v>54</v>
      </c>
      <c r="K51" s="945">
        <v>2400</v>
      </c>
      <c r="L51" s="946"/>
      <c r="M51" s="518">
        <f>SUM('１　対象経営の概要，２　前提条件'!$F$13:$F$16)</f>
        <v>19</v>
      </c>
      <c r="N51" s="326">
        <f>+K51/M51</f>
        <v>126.31578947368421</v>
      </c>
      <c r="O51" s="210"/>
      <c r="P51" s="925"/>
      <c r="Q51" s="978" t="s">
        <v>265</v>
      </c>
      <c r="R51" s="330" t="s">
        <v>264</v>
      </c>
      <c r="S51" s="299">
        <v>60000</v>
      </c>
      <c r="T51" s="331">
        <v>1</v>
      </c>
      <c r="U51" s="485">
        <f>SUM('１　対象経営の概要，２　前提条件'!$F$13:$F$20)</f>
        <v>25</v>
      </c>
      <c r="V51" s="325">
        <f>+S51*T51/U51</f>
        <v>2400</v>
      </c>
    </row>
    <row r="52" spans="2:22" ht="15" customHeight="1" x14ac:dyDescent="0.15">
      <c r="B52" s="799"/>
      <c r="C52" s="85"/>
      <c r="D52" s="85"/>
      <c r="E52" s="85"/>
      <c r="F52" s="85"/>
      <c r="G52" s="192">
        <f t="shared" si="11"/>
        <v>0</v>
      </c>
      <c r="H52" s="204"/>
      <c r="I52" s="933"/>
      <c r="J52" s="301"/>
      <c r="K52" s="947"/>
      <c r="L52" s="948"/>
      <c r="M52" s="428"/>
      <c r="N52" s="310"/>
      <c r="O52" s="210"/>
      <c r="P52" s="925"/>
      <c r="Q52" s="979"/>
      <c r="R52" s="332" t="s">
        <v>251</v>
      </c>
      <c r="S52" s="301">
        <v>25000</v>
      </c>
      <c r="T52" s="329">
        <v>1</v>
      </c>
      <c r="U52" s="486">
        <f>SUM('１　対象経営の概要，２　前提条件'!$F$13:$F$20)</f>
        <v>25</v>
      </c>
      <c r="V52" s="310">
        <f>+S52*T52/U52</f>
        <v>1000</v>
      </c>
    </row>
    <row r="53" spans="2:22" ht="15" customHeight="1" thickBot="1" x14ac:dyDescent="0.2">
      <c r="B53" s="931"/>
      <c r="C53" s="195" t="s">
        <v>158</v>
      </c>
      <c r="D53" s="196"/>
      <c r="E53" s="196"/>
      <c r="F53" s="196"/>
      <c r="G53" s="197">
        <f>SUM(G50:G52)</f>
        <v>24330</v>
      </c>
      <c r="H53" s="204"/>
      <c r="I53" s="933"/>
      <c r="J53" s="301" t="s">
        <v>422</v>
      </c>
      <c r="K53" s="949">
        <v>2400</v>
      </c>
      <c r="L53" s="950"/>
      <c r="M53" s="314">
        <f>SUM('１　対象経営の概要，２　前提条件'!$F$13:$F$14,'１　対象経営の概要，２　前提条件'!$F$18)</f>
        <v>17</v>
      </c>
      <c r="N53" s="310">
        <f>+K53/M53*2</f>
        <v>282.35294117647061</v>
      </c>
      <c r="O53" s="210"/>
      <c r="P53" s="925"/>
      <c r="Q53" s="979"/>
      <c r="R53" s="332"/>
      <c r="S53" s="301"/>
      <c r="T53" s="301"/>
      <c r="U53" s="201"/>
      <c r="V53" s="333"/>
    </row>
    <row r="54" spans="2:22" ht="13.9" customHeight="1" thickTop="1" x14ac:dyDescent="0.15">
      <c r="B54" s="930" t="s">
        <v>327</v>
      </c>
      <c r="C54" s="85" t="s">
        <v>526</v>
      </c>
      <c r="D54" s="402">
        <f>189*50/1000</f>
        <v>9.4499999999999993</v>
      </c>
      <c r="E54" s="96" t="s">
        <v>294</v>
      </c>
      <c r="F54" s="85">
        <f>9650/3</f>
        <v>3216.6666666666665</v>
      </c>
      <c r="G54" s="191">
        <f>D54*F54</f>
        <v>30397.499999999996</v>
      </c>
      <c r="I54" s="933"/>
      <c r="J54" s="424" t="s">
        <v>251</v>
      </c>
      <c r="K54" s="951">
        <v>5000</v>
      </c>
      <c r="L54" s="952"/>
      <c r="M54" s="428">
        <f>SUM('１　対象経営の概要，２　前提条件'!$F$13:$F$20)</f>
        <v>25</v>
      </c>
      <c r="N54" s="310">
        <f t="shared" ref="N54" si="12">+K54/M54</f>
        <v>200</v>
      </c>
      <c r="O54" s="210"/>
      <c r="P54" s="925"/>
      <c r="Q54" s="979"/>
      <c r="R54" s="332"/>
      <c r="S54" s="301"/>
      <c r="T54" s="329"/>
      <c r="U54" s="486"/>
      <c r="V54" s="310"/>
    </row>
    <row r="55" spans="2:22" x14ac:dyDescent="0.15">
      <c r="B55" s="799"/>
      <c r="C55" s="85" t="s">
        <v>527</v>
      </c>
      <c r="D55" s="85">
        <v>1000</v>
      </c>
      <c r="E55" s="96" t="s">
        <v>300</v>
      </c>
      <c r="F55" s="85">
        <f>68710/10000</f>
        <v>6.8710000000000004</v>
      </c>
      <c r="G55" s="192">
        <f>D55*F55</f>
        <v>6871</v>
      </c>
      <c r="I55" s="933"/>
      <c r="J55" s="301"/>
      <c r="K55" s="949"/>
      <c r="L55" s="950"/>
      <c r="M55" s="428"/>
      <c r="N55" s="327"/>
      <c r="O55" s="210"/>
      <c r="P55" s="925"/>
      <c r="Q55" s="980"/>
      <c r="R55" s="332"/>
      <c r="S55" s="301"/>
      <c r="T55" s="301"/>
      <c r="U55" s="201"/>
      <c r="V55" s="333"/>
    </row>
    <row r="56" spans="2:22" x14ac:dyDescent="0.15">
      <c r="B56" s="799"/>
      <c r="C56" s="85"/>
      <c r="D56" s="85"/>
      <c r="E56" s="96"/>
      <c r="F56" s="85"/>
      <c r="G56" s="192">
        <f>D56*F56</f>
        <v>0</v>
      </c>
      <c r="I56" s="927"/>
      <c r="J56" s="303" t="s">
        <v>158</v>
      </c>
      <c r="K56" s="953"/>
      <c r="L56" s="954"/>
      <c r="M56" s="304"/>
      <c r="N56" s="307">
        <f>SUM(N51:N55)</f>
        <v>608.66873065015488</v>
      </c>
      <c r="O56" s="210"/>
      <c r="P56" s="982"/>
      <c r="Q56" s="336" t="s">
        <v>247</v>
      </c>
      <c r="R56" s="337"/>
      <c r="S56" s="337"/>
      <c r="T56" s="337"/>
      <c r="U56" s="337"/>
      <c r="V56" s="338">
        <f>SUM(V51:V55)</f>
        <v>3400</v>
      </c>
    </row>
    <row r="57" spans="2:22" ht="14.25" thickBot="1" x14ac:dyDescent="0.2">
      <c r="B57" s="957"/>
      <c r="C57" s="198" t="s">
        <v>159</v>
      </c>
      <c r="D57" s="199"/>
      <c r="E57" s="199"/>
      <c r="F57" s="199"/>
      <c r="G57" s="200">
        <f>SUM(G54:G56)</f>
        <v>37268.5</v>
      </c>
      <c r="I57" s="983" t="s">
        <v>241</v>
      </c>
      <c r="J57" s="975"/>
      <c r="K57" s="958"/>
      <c r="L57" s="959"/>
      <c r="M57" s="215"/>
      <c r="N57" s="308">
        <f>SUM(N42,N46,N50,N56)</f>
        <v>2478.6714953560372</v>
      </c>
      <c r="O57" s="210"/>
      <c r="P57" s="976" t="s">
        <v>241</v>
      </c>
      <c r="Q57" s="977"/>
      <c r="R57" s="334"/>
      <c r="S57" s="334"/>
      <c r="T57" s="334"/>
      <c r="U57" s="334"/>
      <c r="V57" s="335">
        <f>SUM(V44,V50,V56)</f>
        <v>9334</v>
      </c>
    </row>
    <row r="58" spans="2:22" x14ac:dyDescent="0.15">
      <c r="O58" s="210"/>
      <c r="V58" s="86"/>
    </row>
    <row r="59" spans="2:22" x14ac:dyDescent="0.15">
      <c r="I59" s="210"/>
      <c r="J59" s="210"/>
      <c r="K59" s="210"/>
      <c r="L59" s="210"/>
      <c r="M59" s="210"/>
      <c r="N59" s="210"/>
      <c r="O59" s="210"/>
    </row>
    <row r="60" spans="2:22" x14ac:dyDescent="0.15">
      <c r="I60" s="210"/>
      <c r="J60" s="210"/>
      <c r="K60" s="210"/>
      <c r="L60" s="210"/>
      <c r="M60" s="210"/>
      <c r="N60" s="210"/>
      <c r="O60" s="210"/>
    </row>
    <row r="61" spans="2:22" x14ac:dyDescent="0.15">
      <c r="I61" s="210"/>
      <c r="J61" s="210"/>
      <c r="K61" s="210"/>
      <c r="L61" s="210"/>
      <c r="M61" s="210"/>
      <c r="N61" s="210"/>
      <c r="O61" s="210"/>
    </row>
    <row r="62" spans="2:22" x14ac:dyDescent="0.15">
      <c r="I62" s="210"/>
      <c r="J62" s="210"/>
      <c r="K62" s="210"/>
      <c r="L62" s="210"/>
      <c r="M62" s="210"/>
      <c r="N62" s="210"/>
      <c r="O62" s="210"/>
    </row>
    <row r="63" spans="2:22" x14ac:dyDescent="0.15">
      <c r="I63" s="210"/>
      <c r="J63" s="210"/>
      <c r="K63" s="210"/>
      <c r="L63" s="210"/>
      <c r="M63" s="210"/>
      <c r="N63" s="210"/>
      <c r="O63" s="210"/>
    </row>
    <row r="64" spans="2:22" x14ac:dyDescent="0.15">
      <c r="I64" s="210"/>
      <c r="J64" s="210"/>
      <c r="K64" s="210"/>
      <c r="L64" s="210"/>
      <c r="M64" s="210"/>
      <c r="N64" s="210"/>
      <c r="O64" s="210"/>
    </row>
    <row r="65" spans="9:15" x14ac:dyDescent="0.15">
      <c r="I65" s="210"/>
      <c r="J65" s="210"/>
      <c r="K65" s="210"/>
      <c r="L65" s="210"/>
      <c r="M65" s="210"/>
      <c r="N65" s="210"/>
      <c r="O65" s="210"/>
    </row>
    <row r="66" spans="9:15" x14ac:dyDescent="0.15">
      <c r="I66" s="210"/>
      <c r="J66" s="210"/>
      <c r="K66" s="210"/>
      <c r="L66" s="210"/>
      <c r="M66" s="210"/>
      <c r="N66" s="210"/>
      <c r="O66" s="210"/>
    </row>
    <row r="67" spans="9:15" x14ac:dyDescent="0.15">
      <c r="I67" s="210"/>
      <c r="J67" s="210"/>
      <c r="K67" s="210"/>
      <c r="L67" s="210"/>
      <c r="M67" s="210"/>
      <c r="N67" s="210"/>
      <c r="O67" s="210"/>
    </row>
    <row r="68" spans="9:15" x14ac:dyDescent="0.15">
      <c r="I68" s="210"/>
      <c r="J68" s="210"/>
      <c r="K68" s="210"/>
      <c r="L68" s="210"/>
      <c r="M68" s="210"/>
      <c r="N68" s="210"/>
      <c r="O68" s="210"/>
    </row>
    <row r="69" spans="9:15" x14ac:dyDescent="0.15">
      <c r="I69" s="210"/>
      <c r="J69" s="210"/>
      <c r="K69" s="210"/>
      <c r="L69" s="210"/>
      <c r="M69" s="210"/>
      <c r="N69" s="210"/>
      <c r="O69" s="210"/>
    </row>
    <row r="70" spans="9:15" x14ac:dyDescent="0.15">
      <c r="I70" s="210"/>
      <c r="J70" s="210"/>
      <c r="K70" s="210"/>
      <c r="L70" s="210"/>
      <c r="M70" s="210"/>
      <c r="N70" s="210"/>
      <c r="O70" s="210"/>
    </row>
    <row r="71" spans="9:15" x14ac:dyDescent="0.15">
      <c r="I71" s="210"/>
      <c r="J71" s="210"/>
      <c r="K71" s="210"/>
      <c r="L71" s="210"/>
      <c r="M71" s="210"/>
      <c r="N71" s="210"/>
      <c r="O71" s="210"/>
    </row>
    <row r="72" spans="9:15" x14ac:dyDescent="0.15">
      <c r="I72" s="210"/>
      <c r="J72" s="210"/>
      <c r="K72" s="210"/>
      <c r="L72" s="210"/>
      <c r="M72" s="210"/>
      <c r="N72" s="210"/>
      <c r="O72" s="210"/>
    </row>
    <row r="73" spans="9:15" x14ac:dyDescent="0.15">
      <c r="I73" s="210"/>
      <c r="J73" s="210"/>
      <c r="K73" s="210"/>
      <c r="L73" s="210"/>
      <c r="M73" s="210"/>
      <c r="N73" s="210"/>
      <c r="O73" s="210"/>
    </row>
    <row r="74" spans="9:15" x14ac:dyDescent="0.15">
      <c r="I74" s="210"/>
      <c r="J74" s="210"/>
      <c r="K74" s="210"/>
      <c r="L74" s="210"/>
      <c r="M74" s="210"/>
      <c r="N74" s="210"/>
      <c r="O74" s="210"/>
    </row>
    <row r="75" spans="9:15" x14ac:dyDescent="0.15">
      <c r="I75" s="210"/>
      <c r="J75" s="210"/>
      <c r="K75" s="210"/>
      <c r="L75" s="210"/>
      <c r="M75" s="210"/>
      <c r="N75" s="210"/>
      <c r="O75" s="210"/>
    </row>
    <row r="76" spans="9:15" x14ac:dyDescent="0.15">
      <c r="I76" s="210"/>
      <c r="J76" s="210"/>
      <c r="K76" s="210"/>
      <c r="L76" s="210"/>
      <c r="M76" s="210"/>
      <c r="N76" s="210"/>
      <c r="O76" s="210"/>
    </row>
    <row r="77" spans="9:15" x14ac:dyDescent="0.15">
      <c r="I77" s="210"/>
      <c r="J77" s="210"/>
      <c r="K77" s="210"/>
      <c r="L77" s="210"/>
      <c r="M77" s="210"/>
      <c r="N77" s="210"/>
      <c r="O77" s="210"/>
    </row>
    <row r="78" spans="9:15" x14ac:dyDescent="0.15">
      <c r="I78" s="210"/>
      <c r="J78" s="210"/>
      <c r="K78" s="210"/>
      <c r="L78" s="210"/>
      <c r="M78" s="210"/>
      <c r="N78" s="210"/>
      <c r="O78" s="210"/>
    </row>
    <row r="79" spans="9:15" x14ac:dyDescent="0.15">
      <c r="I79" s="210"/>
      <c r="J79" s="210"/>
      <c r="K79" s="210"/>
      <c r="L79" s="210"/>
      <c r="M79" s="210"/>
      <c r="N79" s="210"/>
      <c r="O79" s="210"/>
    </row>
    <row r="80" spans="9:15" x14ac:dyDescent="0.15">
      <c r="I80" s="210"/>
      <c r="J80" s="210"/>
      <c r="K80" s="210"/>
      <c r="L80" s="210"/>
      <c r="M80" s="210"/>
      <c r="N80" s="210"/>
      <c r="O80" s="210"/>
    </row>
    <row r="81" spans="2:15" x14ac:dyDescent="0.15">
      <c r="I81" s="210"/>
      <c r="J81" s="210"/>
      <c r="K81" s="210"/>
      <c r="L81" s="210"/>
      <c r="M81" s="210"/>
      <c r="N81" s="210"/>
      <c r="O81" s="210"/>
    </row>
    <row r="82" spans="2:15" x14ac:dyDescent="0.15">
      <c r="I82" s="210"/>
      <c r="J82" s="210"/>
      <c r="K82" s="210"/>
      <c r="L82" s="210"/>
      <c r="M82" s="210"/>
      <c r="N82" s="210"/>
      <c r="O82" s="210"/>
    </row>
    <row r="83" spans="2:15" x14ac:dyDescent="0.15">
      <c r="B83" s="203"/>
      <c r="C83" s="204"/>
      <c r="D83" s="204"/>
      <c r="E83" s="204"/>
      <c r="F83" s="204"/>
      <c r="I83" s="210"/>
      <c r="J83" s="210"/>
      <c r="K83" s="210"/>
      <c r="L83" s="210"/>
      <c r="M83" s="210"/>
      <c r="N83" s="210"/>
      <c r="O83" s="210"/>
    </row>
    <row r="84" spans="2:15" x14ac:dyDescent="0.15">
      <c r="B84" s="203"/>
      <c r="C84" s="204"/>
      <c r="D84" s="204"/>
      <c r="E84" s="204"/>
      <c r="F84" s="204"/>
      <c r="I84" s="210"/>
      <c r="J84" s="210"/>
      <c r="K84" s="210"/>
      <c r="L84" s="210"/>
      <c r="M84" s="210"/>
      <c r="N84" s="210"/>
      <c r="O84" s="210"/>
    </row>
    <row r="85" spans="2:15" x14ac:dyDescent="0.15">
      <c r="I85" s="210"/>
      <c r="J85" s="210"/>
      <c r="K85" s="210"/>
      <c r="L85" s="210"/>
      <c r="M85" s="210"/>
      <c r="N85" s="210"/>
      <c r="O85" s="210"/>
    </row>
    <row r="86" spans="2:15" x14ac:dyDescent="0.15">
      <c r="I86" s="210"/>
      <c r="J86" s="210"/>
      <c r="K86" s="210"/>
      <c r="L86" s="210"/>
      <c r="M86" s="210"/>
      <c r="N86" s="210"/>
      <c r="O86" s="210"/>
    </row>
    <row r="87" spans="2:15" x14ac:dyDescent="0.15">
      <c r="I87" s="210"/>
      <c r="J87" s="210"/>
      <c r="K87" s="210"/>
      <c r="L87" s="210"/>
      <c r="M87" s="210"/>
      <c r="N87" s="210"/>
      <c r="O87" s="210"/>
    </row>
    <row r="88" spans="2:15" x14ac:dyDescent="0.15">
      <c r="I88" s="210"/>
      <c r="J88" s="210"/>
      <c r="K88" s="210"/>
      <c r="L88" s="210"/>
      <c r="M88" s="210"/>
      <c r="N88" s="210"/>
      <c r="O88" s="210"/>
    </row>
    <row r="89" spans="2:15" x14ac:dyDescent="0.15">
      <c r="I89" s="210"/>
      <c r="J89" s="210"/>
      <c r="K89" s="210"/>
      <c r="L89" s="210"/>
      <c r="M89" s="210"/>
      <c r="N89" s="210"/>
      <c r="O89" s="210"/>
    </row>
    <row r="90" spans="2:15" x14ac:dyDescent="0.15">
      <c r="I90" s="210"/>
      <c r="J90" s="210"/>
      <c r="K90" s="210"/>
      <c r="L90" s="210"/>
      <c r="M90" s="210"/>
      <c r="N90" s="210"/>
      <c r="O90" s="210"/>
    </row>
    <row r="91" spans="2:15" x14ac:dyDescent="0.15">
      <c r="I91" s="210"/>
      <c r="J91" s="210"/>
      <c r="K91" s="210"/>
      <c r="L91" s="210"/>
      <c r="M91" s="210"/>
      <c r="N91" s="210"/>
      <c r="O91" s="210"/>
    </row>
    <row r="92" spans="2:15" x14ac:dyDescent="0.15">
      <c r="I92" s="210"/>
      <c r="J92" s="210"/>
      <c r="K92" s="210"/>
      <c r="L92" s="210"/>
      <c r="M92" s="210"/>
      <c r="N92" s="210"/>
      <c r="O92" s="210"/>
    </row>
    <row r="93" spans="2:15" x14ac:dyDescent="0.15">
      <c r="I93" s="210"/>
      <c r="J93" s="210"/>
      <c r="K93" s="210"/>
      <c r="L93" s="210"/>
      <c r="M93" s="210"/>
      <c r="N93" s="210"/>
      <c r="O93" s="210"/>
    </row>
    <row r="94" spans="2:15" x14ac:dyDescent="0.15">
      <c r="I94" s="210"/>
      <c r="J94" s="210"/>
      <c r="K94" s="210"/>
      <c r="L94" s="210"/>
      <c r="M94" s="210"/>
      <c r="N94" s="210"/>
      <c r="O94" s="210"/>
    </row>
    <row r="95" spans="2:15" x14ac:dyDescent="0.15">
      <c r="I95" s="210"/>
      <c r="J95" s="210"/>
      <c r="K95" s="210"/>
      <c r="L95" s="210"/>
      <c r="M95" s="210"/>
      <c r="N95" s="210"/>
      <c r="O95" s="210"/>
    </row>
    <row r="96" spans="2:15" x14ac:dyDescent="0.15">
      <c r="I96" s="210"/>
      <c r="J96" s="210"/>
      <c r="K96" s="210"/>
      <c r="L96" s="210"/>
      <c r="M96" s="210"/>
      <c r="N96" s="210"/>
      <c r="O96" s="210"/>
    </row>
    <row r="97" spans="9:15" x14ac:dyDescent="0.15">
      <c r="I97" s="210"/>
      <c r="J97" s="210"/>
      <c r="K97" s="210"/>
      <c r="L97" s="210"/>
      <c r="M97" s="210"/>
      <c r="N97" s="210"/>
      <c r="O97" s="210"/>
    </row>
    <row r="98" spans="9:15" x14ac:dyDescent="0.15">
      <c r="I98" s="210"/>
      <c r="J98" s="210"/>
      <c r="K98" s="210"/>
      <c r="L98" s="210"/>
      <c r="M98" s="210"/>
      <c r="N98" s="210"/>
      <c r="O98" s="210"/>
    </row>
    <row r="99" spans="9:15" x14ac:dyDescent="0.15">
      <c r="I99" s="210"/>
      <c r="J99" s="210"/>
      <c r="K99" s="210"/>
      <c r="L99" s="210"/>
      <c r="M99" s="210"/>
      <c r="N99" s="210"/>
      <c r="O99" s="210"/>
    </row>
    <row r="100" spans="9:15" x14ac:dyDescent="0.15">
      <c r="I100" s="210"/>
      <c r="J100" s="210"/>
      <c r="K100" s="210"/>
      <c r="L100" s="210"/>
      <c r="M100" s="210"/>
      <c r="N100" s="210"/>
      <c r="O100" s="210"/>
    </row>
    <row r="101" spans="9:15" x14ac:dyDescent="0.15">
      <c r="I101" s="210"/>
      <c r="J101" s="210"/>
      <c r="K101" s="210"/>
      <c r="L101" s="210"/>
      <c r="M101" s="210"/>
      <c r="N101" s="210"/>
      <c r="O101" s="210"/>
    </row>
    <row r="102" spans="9:15" x14ac:dyDescent="0.15">
      <c r="I102" s="210"/>
      <c r="J102" s="210"/>
      <c r="K102" s="210"/>
      <c r="L102" s="210"/>
      <c r="M102" s="210"/>
      <c r="N102" s="210"/>
      <c r="O102" s="210"/>
    </row>
    <row r="103" spans="9:15" x14ac:dyDescent="0.15">
      <c r="I103" s="210"/>
      <c r="J103" s="210"/>
      <c r="K103" s="210"/>
      <c r="L103" s="210"/>
      <c r="M103" s="210"/>
      <c r="N103" s="210"/>
      <c r="O103" s="210"/>
    </row>
    <row r="104" spans="9:15" x14ac:dyDescent="0.15">
      <c r="I104" s="210"/>
      <c r="J104" s="210"/>
      <c r="K104" s="210"/>
      <c r="L104" s="210"/>
      <c r="M104" s="210"/>
      <c r="N104" s="210"/>
      <c r="O104" s="210"/>
    </row>
    <row r="105" spans="9:15" x14ac:dyDescent="0.15">
      <c r="I105" s="210"/>
      <c r="J105" s="210"/>
      <c r="K105" s="210"/>
      <c r="L105" s="210"/>
      <c r="M105" s="210"/>
      <c r="N105" s="210"/>
      <c r="O105" s="210"/>
    </row>
    <row r="106" spans="9:15" x14ac:dyDescent="0.15">
      <c r="I106" s="210"/>
      <c r="J106" s="210"/>
      <c r="K106" s="210"/>
      <c r="L106" s="210"/>
      <c r="M106" s="210"/>
      <c r="N106" s="210"/>
      <c r="O106" s="210"/>
    </row>
    <row r="107" spans="9:15" x14ac:dyDescent="0.15">
      <c r="I107" s="210"/>
      <c r="J107" s="210"/>
      <c r="K107" s="210"/>
      <c r="L107" s="210"/>
      <c r="M107" s="210"/>
      <c r="N107" s="210"/>
      <c r="O107" s="210"/>
    </row>
    <row r="108" spans="9:15" x14ac:dyDescent="0.15">
      <c r="I108" s="210"/>
      <c r="J108" s="210"/>
      <c r="K108" s="210"/>
      <c r="L108" s="210"/>
      <c r="M108" s="210"/>
      <c r="N108" s="210"/>
      <c r="O108" s="210"/>
    </row>
    <row r="109" spans="9:15" x14ac:dyDescent="0.15">
      <c r="I109" s="210"/>
      <c r="J109" s="210"/>
      <c r="K109" s="210"/>
      <c r="L109" s="210"/>
      <c r="M109" s="210"/>
      <c r="N109" s="210"/>
      <c r="O109" s="210"/>
    </row>
    <row r="110" spans="9:15" x14ac:dyDescent="0.15">
      <c r="I110" s="210"/>
      <c r="J110" s="210"/>
      <c r="K110" s="210"/>
      <c r="L110" s="210"/>
      <c r="M110" s="210"/>
      <c r="N110" s="210"/>
      <c r="O110" s="210"/>
    </row>
    <row r="111" spans="9:15" x14ac:dyDescent="0.15">
      <c r="I111" s="210"/>
      <c r="J111" s="210"/>
      <c r="K111" s="210"/>
      <c r="L111" s="210"/>
      <c r="M111" s="210"/>
      <c r="N111" s="210"/>
      <c r="O111" s="210"/>
    </row>
    <row r="112" spans="9:15" x14ac:dyDescent="0.15">
      <c r="I112" s="210"/>
      <c r="J112" s="210"/>
      <c r="K112" s="210"/>
      <c r="L112" s="210"/>
      <c r="M112" s="210"/>
      <c r="N112" s="210"/>
      <c r="O112" s="210"/>
    </row>
    <row r="113" spans="9:15" x14ac:dyDescent="0.15">
      <c r="I113" s="210"/>
      <c r="J113" s="210"/>
      <c r="K113" s="210"/>
      <c r="L113" s="210"/>
      <c r="M113" s="210"/>
      <c r="N113" s="210"/>
      <c r="O113" s="210"/>
    </row>
    <row r="114" spans="9:15" x14ac:dyDescent="0.15">
      <c r="I114" s="210"/>
      <c r="J114" s="210"/>
      <c r="K114" s="210"/>
      <c r="L114" s="210"/>
      <c r="M114" s="210"/>
      <c r="N114" s="210"/>
      <c r="O114" s="210"/>
    </row>
    <row r="115" spans="9:15" x14ac:dyDescent="0.15">
      <c r="I115" s="210"/>
      <c r="J115" s="210"/>
      <c r="K115" s="210"/>
      <c r="L115" s="210"/>
      <c r="M115" s="210"/>
      <c r="N115" s="210"/>
      <c r="O115" s="210"/>
    </row>
    <row r="116" spans="9:15" x14ac:dyDescent="0.15">
      <c r="I116" s="210"/>
      <c r="J116" s="210"/>
      <c r="K116" s="210"/>
      <c r="L116" s="210"/>
      <c r="M116" s="210"/>
      <c r="N116" s="210"/>
      <c r="O116" s="210"/>
    </row>
    <row r="117" spans="9:15" x14ac:dyDescent="0.15">
      <c r="I117" s="210"/>
      <c r="J117" s="210"/>
      <c r="K117" s="210"/>
      <c r="L117" s="210"/>
      <c r="M117" s="210"/>
      <c r="N117" s="210"/>
      <c r="O117" s="210"/>
    </row>
    <row r="118" spans="9:15" x14ac:dyDescent="0.15">
      <c r="I118" s="210"/>
      <c r="J118" s="210"/>
      <c r="K118" s="210"/>
      <c r="L118" s="210"/>
      <c r="M118" s="210"/>
      <c r="N118" s="210"/>
      <c r="O118" s="210"/>
    </row>
    <row r="119" spans="9:15" x14ac:dyDescent="0.15">
      <c r="I119" s="210"/>
      <c r="J119" s="210"/>
      <c r="K119" s="210"/>
      <c r="L119" s="210"/>
      <c r="M119" s="210"/>
      <c r="N119" s="210"/>
      <c r="O119" s="210"/>
    </row>
    <row r="120" spans="9:15" x14ac:dyDescent="0.15">
      <c r="I120" s="210"/>
      <c r="J120" s="210"/>
      <c r="K120" s="210"/>
      <c r="L120" s="210"/>
      <c r="M120" s="210"/>
      <c r="N120" s="210"/>
      <c r="O120" s="210"/>
    </row>
    <row r="121" spans="9:15" x14ac:dyDescent="0.15">
      <c r="I121" s="210"/>
      <c r="J121" s="210"/>
      <c r="K121" s="210"/>
      <c r="L121" s="210"/>
      <c r="M121" s="210"/>
      <c r="N121" s="210"/>
      <c r="O121" s="210"/>
    </row>
    <row r="122" spans="9:15" x14ac:dyDescent="0.15">
      <c r="I122" s="210"/>
      <c r="J122" s="210"/>
      <c r="K122" s="210"/>
      <c r="L122" s="210"/>
      <c r="M122" s="210"/>
      <c r="N122" s="210"/>
      <c r="O122" s="210"/>
    </row>
    <row r="123" spans="9:15" x14ac:dyDescent="0.15">
      <c r="I123" s="210"/>
      <c r="J123" s="210"/>
      <c r="K123" s="210"/>
      <c r="L123" s="210"/>
      <c r="M123" s="210"/>
      <c r="N123" s="210"/>
      <c r="O123" s="210"/>
    </row>
    <row r="124" spans="9:15" x14ac:dyDescent="0.15">
      <c r="I124" s="210"/>
      <c r="J124" s="210"/>
      <c r="K124" s="210"/>
      <c r="L124" s="210"/>
      <c r="M124" s="210"/>
      <c r="N124" s="210"/>
      <c r="O124" s="210"/>
    </row>
    <row r="125" spans="9:15" x14ac:dyDescent="0.15">
      <c r="I125" s="210"/>
      <c r="J125" s="210"/>
      <c r="K125" s="210"/>
      <c r="L125" s="210"/>
      <c r="M125" s="210"/>
      <c r="N125" s="210"/>
      <c r="O125" s="210"/>
    </row>
    <row r="126" spans="9:15" x14ac:dyDescent="0.15">
      <c r="I126" s="210"/>
      <c r="J126" s="210"/>
      <c r="K126" s="210"/>
      <c r="L126" s="210"/>
      <c r="M126" s="210"/>
      <c r="N126" s="210"/>
      <c r="O126" s="210"/>
    </row>
    <row r="127" spans="9:15" x14ac:dyDescent="0.15">
      <c r="I127" s="210"/>
      <c r="J127" s="210"/>
      <c r="K127" s="210"/>
      <c r="L127" s="210"/>
      <c r="M127" s="210"/>
      <c r="N127" s="210"/>
      <c r="O127" s="210"/>
    </row>
    <row r="128" spans="9:15" x14ac:dyDescent="0.15">
      <c r="I128" s="210"/>
      <c r="J128" s="210"/>
      <c r="K128" s="210"/>
      <c r="L128" s="210"/>
      <c r="M128" s="210"/>
      <c r="N128" s="210"/>
      <c r="O128" s="210"/>
    </row>
    <row r="129" spans="9:15" x14ac:dyDescent="0.15">
      <c r="I129" s="210"/>
      <c r="J129" s="210"/>
      <c r="K129" s="210"/>
      <c r="L129" s="210"/>
      <c r="M129" s="210"/>
      <c r="N129" s="210"/>
      <c r="O129" s="210"/>
    </row>
    <row r="130" spans="9:15" x14ac:dyDescent="0.15">
      <c r="I130" s="210"/>
      <c r="J130" s="210"/>
      <c r="K130" s="210"/>
      <c r="L130" s="210"/>
      <c r="M130" s="210"/>
      <c r="N130" s="210"/>
      <c r="O130" s="210"/>
    </row>
    <row r="131" spans="9:15" x14ac:dyDescent="0.15">
      <c r="I131" s="210"/>
      <c r="J131" s="210"/>
      <c r="K131" s="210"/>
      <c r="L131" s="210"/>
      <c r="M131" s="210"/>
      <c r="N131" s="210"/>
      <c r="O131" s="210"/>
    </row>
    <row r="132" spans="9:15" x14ac:dyDescent="0.15">
      <c r="I132" s="210"/>
      <c r="J132" s="210"/>
      <c r="K132" s="210"/>
      <c r="L132" s="210"/>
      <c r="M132" s="210"/>
      <c r="N132" s="210"/>
      <c r="O132" s="210"/>
    </row>
    <row r="133" spans="9:15" x14ac:dyDescent="0.15">
      <c r="I133" s="210"/>
      <c r="J133" s="210"/>
      <c r="K133" s="210"/>
      <c r="L133" s="210"/>
      <c r="M133" s="210"/>
      <c r="N133" s="210"/>
      <c r="O133" s="210"/>
    </row>
    <row r="134" spans="9:15" x14ac:dyDescent="0.15">
      <c r="I134" s="210"/>
      <c r="J134" s="210"/>
      <c r="K134" s="210"/>
      <c r="L134" s="210"/>
      <c r="M134" s="210"/>
      <c r="N134" s="210"/>
      <c r="O134" s="210"/>
    </row>
    <row r="135" spans="9:15" x14ac:dyDescent="0.15">
      <c r="I135" s="210"/>
      <c r="J135" s="210"/>
      <c r="K135" s="210"/>
      <c r="L135" s="210"/>
      <c r="M135" s="210"/>
      <c r="N135" s="210"/>
      <c r="O135" s="210"/>
    </row>
    <row r="136" spans="9:15" x14ac:dyDescent="0.15">
      <c r="I136" s="210"/>
      <c r="J136" s="210"/>
      <c r="K136" s="210"/>
      <c r="L136" s="210"/>
      <c r="M136" s="210"/>
      <c r="N136" s="210"/>
      <c r="O136" s="210"/>
    </row>
    <row r="137" spans="9:15" x14ac:dyDescent="0.15">
      <c r="I137" s="210"/>
      <c r="J137" s="210"/>
      <c r="K137" s="210"/>
      <c r="L137" s="210"/>
      <c r="M137" s="210"/>
      <c r="N137" s="210"/>
      <c r="O137" s="210"/>
    </row>
    <row r="138" spans="9:15" x14ac:dyDescent="0.15">
      <c r="I138" s="210"/>
      <c r="J138" s="210"/>
      <c r="K138" s="210"/>
      <c r="L138" s="210"/>
      <c r="M138" s="210"/>
      <c r="N138" s="210"/>
      <c r="O138" s="210"/>
    </row>
    <row r="139" spans="9:15" x14ac:dyDescent="0.15">
      <c r="I139" s="210"/>
      <c r="J139" s="210"/>
      <c r="K139" s="210"/>
      <c r="L139" s="210"/>
      <c r="M139" s="210"/>
      <c r="N139" s="210"/>
      <c r="O139" s="210"/>
    </row>
    <row r="140" spans="9:15" x14ac:dyDescent="0.15">
      <c r="I140" s="210"/>
      <c r="J140" s="210"/>
      <c r="K140" s="210"/>
      <c r="L140" s="210"/>
      <c r="M140" s="210"/>
      <c r="N140" s="210"/>
    </row>
    <row r="141" spans="9:15" x14ac:dyDescent="0.15">
      <c r="I141" s="210"/>
      <c r="J141" s="210"/>
      <c r="K141" s="210"/>
      <c r="L141" s="210"/>
      <c r="M141" s="210"/>
      <c r="N141" s="210"/>
    </row>
    <row r="142" spans="9:15" x14ac:dyDescent="0.15">
      <c r="I142" s="210"/>
      <c r="J142" s="210"/>
      <c r="K142" s="210"/>
      <c r="L142" s="210"/>
      <c r="M142" s="210"/>
      <c r="N142" s="210"/>
    </row>
    <row r="143" spans="9:15" x14ac:dyDescent="0.15">
      <c r="I143" s="210"/>
      <c r="J143" s="210"/>
      <c r="K143" s="210"/>
      <c r="L143" s="210"/>
      <c r="M143" s="210"/>
      <c r="N143" s="210"/>
    </row>
    <row r="144" spans="9:15" x14ac:dyDescent="0.15">
      <c r="I144" s="210"/>
      <c r="J144" s="210"/>
      <c r="K144" s="210"/>
      <c r="L144" s="210"/>
      <c r="M144" s="210"/>
      <c r="N144" s="210"/>
    </row>
    <row r="145" spans="9:14" x14ac:dyDescent="0.15">
      <c r="I145" s="210"/>
      <c r="J145" s="210"/>
      <c r="K145" s="210"/>
      <c r="L145" s="210"/>
      <c r="M145" s="210"/>
      <c r="N145" s="210"/>
    </row>
    <row r="146" spans="9:14" x14ac:dyDescent="0.15">
      <c r="I146" s="210"/>
      <c r="J146" s="210"/>
      <c r="K146" s="210"/>
      <c r="L146" s="210"/>
      <c r="M146" s="210"/>
      <c r="N146" s="210"/>
    </row>
    <row r="147" spans="9:14" x14ac:dyDescent="0.15">
      <c r="I147" s="210"/>
      <c r="J147" s="210"/>
      <c r="K147" s="210"/>
      <c r="L147" s="210"/>
      <c r="M147" s="210"/>
      <c r="N147" s="210"/>
    </row>
    <row r="148" spans="9:14" x14ac:dyDescent="0.15">
      <c r="I148" s="210"/>
      <c r="J148" s="210"/>
      <c r="K148" s="210"/>
      <c r="L148" s="210"/>
      <c r="M148" s="210"/>
      <c r="N148" s="210"/>
    </row>
    <row r="149" spans="9:14" x14ac:dyDescent="0.15">
      <c r="I149" s="210"/>
      <c r="J149" s="210"/>
      <c r="K149" s="210"/>
      <c r="L149" s="210"/>
      <c r="M149" s="210"/>
      <c r="N149" s="210"/>
    </row>
    <row r="150" spans="9:14" x14ac:dyDescent="0.15">
      <c r="I150" s="210"/>
      <c r="J150" s="210"/>
      <c r="K150" s="210"/>
      <c r="L150" s="210"/>
      <c r="M150" s="210"/>
      <c r="N150" s="210"/>
    </row>
    <row r="151" spans="9:14" x14ac:dyDescent="0.15">
      <c r="I151" s="210"/>
      <c r="J151" s="210"/>
      <c r="K151" s="210"/>
      <c r="L151" s="210"/>
      <c r="M151" s="210"/>
      <c r="N151" s="210"/>
    </row>
    <row r="152" spans="9:14" x14ac:dyDescent="0.15">
      <c r="I152" s="210"/>
      <c r="J152" s="210"/>
      <c r="K152" s="210"/>
      <c r="L152" s="210"/>
      <c r="M152" s="210"/>
      <c r="N152" s="210"/>
    </row>
    <row r="153" spans="9:14" x14ac:dyDescent="0.15">
      <c r="I153" s="210"/>
      <c r="J153" s="210"/>
      <c r="K153" s="210"/>
      <c r="L153" s="210"/>
      <c r="M153" s="210"/>
      <c r="N153" s="210"/>
    </row>
    <row r="154" spans="9:14" x14ac:dyDescent="0.15">
      <c r="I154" s="210"/>
      <c r="J154" s="210"/>
      <c r="K154" s="210"/>
      <c r="L154" s="210"/>
      <c r="M154" s="210"/>
      <c r="N154" s="210"/>
    </row>
    <row r="155" spans="9:14" x14ac:dyDescent="0.15">
      <c r="J155" s="210"/>
      <c r="K155" s="210"/>
      <c r="L155" s="210"/>
      <c r="M155" s="210"/>
      <c r="N155" s="210"/>
    </row>
    <row r="156" spans="9:14" x14ac:dyDescent="0.15">
      <c r="J156" s="210"/>
      <c r="K156" s="210"/>
      <c r="L156" s="210"/>
      <c r="M156" s="210"/>
      <c r="N156" s="210"/>
    </row>
    <row r="173" spans="15:15" x14ac:dyDescent="0.15">
      <c r="O173" s="210"/>
    </row>
    <row r="174" spans="15:15" x14ac:dyDescent="0.15">
      <c r="O174" s="210"/>
    </row>
    <row r="175" spans="15:15" x14ac:dyDescent="0.15">
      <c r="O175" s="210"/>
    </row>
    <row r="176" spans="15:15" x14ac:dyDescent="0.15">
      <c r="O176" s="210"/>
    </row>
    <row r="177" spans="15:15" x14ac:dyDescent="0.15">
      <c r="O177" s="210"/>
    </row>
    <row r="178" spans="15:15" x14ac:dyDescent="0.15">
      <c r="O178" s="210"/>
    </row>
    <row r="179" spans="15:15" x14ac:dyDescent="0.15">
      <c r="O179" s="210"/>
    </row>
    <row r="180" spans="15:15" x14ac:dyDescent="0.15">
      <c r="O180" s="210"/>
    </row>
    <row r="181" spans="15:15" x14ac:dyDescent="0.15">
      <c r="O181" s="210"/>
    </row>
    <row r="182" spans="15:15" x14ac:dyDescent="0.15">
      <c r="O182" s="210"/>
    </row>
    <row r="183" spans="15:15" x14ac:dyDescent="0.15">
      <c r="O183" s="210"/>
    </row>
    <row r="184" spans="15:15" x14ac:dyDescent="0.15">
      <c r="O184" s="210"/>
    </row>
    <row r="185" spans="15:15" x14ac:dyDescent="0.15">
      <c r="O185" s="210"/>
    </row>
    <row r="186" spans="15:15" x14ac:dyDescent="0.15">
      <c r="O186" s="210"/>
    </row>
    <row r="187" spans="15:15" x14ac:dyDescent="0.15">
      <c r="O187" s="210"/>
    </row>
    <row r="188" spans="15:15" x14ac:dyDescent="0.15">
      <c r="O188" s="210"/>
    </row>
    <row r="189" spans="15:15" x14ac:dyDescent="0.15">
      <c r="O189" s="210"/>
    </row>
    <row r="190" spans="15:15" x14ac:dyDescent="0.15">
      <c r="O190" s="210"/>
    </row>
    <row r="191" spans="15:15" x14ac:dyDescent="0.15">
      <c r="O191" s="210"/>
    </row>
    <row r="192" spans="15:15" x14ac:dyDescent="0.15">
      <c r="O192" s="210"/>
    </row>
  </sheetData>
  <mergeCells count="70"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I43:I46"/>
    <mergeCell ref="K43:L43"/>
    <mergeCell ref="K44:L44"/>
    <mergeCell ref="K45:L45"/>
    <mergeCell ref="P45:P56"/>
    <mergeCell ref="K46:L46"/>
    <mergeCell ref="K49:L49"/>
    <mergeCell ref="K56:L56"/>
    <mergeCell ref="P38:P44"/>
    <mergeCell ref="K39:L39"/>
    <mergeCell ref="K40:L40"/>
    <mergeCell ref="K41:L41"/>
    <mergeCell ref="K42:L42"/>
    <mergeCell ref="K48:L48"/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</mergeCells>
  <phoneticPr fontId="6"/>
  <pageMargins left="0.78740157480314965" right="0.78740157480314965" top="0.78740157480314965" bottom="0.78740157480314965" header="0.39370078740157483" footer="0.39370078740157483"/>
  <pageSetup paperSize="9" scale="61" orientation="landscape" r:id="rId1"/>
  <headerFooter alignWithMargins="0">
    <oddHeader>&amp;R&amp;A</oddHeader>
  </headerFooter>
  <ignoredErrors>
    <ignoredError sqref="G3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V192"/>
  <sheetViews>
    <sheetView zoomScale="75" zoomScaleNormal="75" workbookViewId="0"/>
  </sheetViews>
  <sheetFormatPr defaultRowHeight="13.5" x14ac:dyDescent="0.15"/>
  <cols>
    <col min="1" max="1" width="1.625" style="86" customWidth="1"/>
    <col min="2" max="2" width="3.625" style="86" customWidth="1"/>
    <col min="3" max="3" width="19.5" style="86" customWidth="1"/>
    <col min="4" max="7" width="8.625" style="86" customWidth="1"/>
    <col min="8" max="8" width="2.375" style="210" customWidth="1"/>
    <col min="9" max="9" width="3.625" style="86" customWidth="1"/>
    <col min="10" max="10" width="15.625" style="86" customWidth="1"/>
    <col min="11" max="14" width="8.625" style="86" customWidth="1"/>
    <col min="15" max="15" width="3.5" style="86" customWidth="1"/>
    <col min="16" max="16" width="15.625" style="181" customWidth="1"/>
    <col min="17" max="17" width="8.625" style="86" customWidth="1"/>
    <col min="18" max="18" width="8.625" style="87" customWidth="1"/>
    <col min="19" max="21" width="8.625" style="86" customWidth="1"/>
    <col min="22" max="22" width="10.625" style="87" customWidth="1"/>
    <col min="23" max="262" width="8.875" style="86"/>
    <col min="263" max="263" width="1.375" style="86" customWidth="1"/>
    <col min="264" max="264" width="3.5" style="86" customWidth="1"/>
    <col min="265" max="265" width="22.125" style="86" customWidth="1"/>
    <col min="266" max="266" width="9.75" style="86" customWidth="1"/>
    <col min="267" max="267" width="7.375" style="86" customWidth="1"/>
    <col min="268" max="268" width="8.875" style="86"/>
    <col min="269" max="269" width="9.25" style="86" customWidth="1"/>
    <col min="270" max="270" width="3.5" style="86" customWidth="1"/>
    <col min="271" max="272" width="12.625" style="86" customWidth="1"/>
    <col min="273" max="273" width="8.875" style="86"/>
    <col min="274" max="274" width="7.75" style="86" customWidth="1"/>
    <col min="275" max="275" width="13.125" style="86" customWidth="1"/>
    <col min="276" max="276" width="6.125" style="86" customWidth="1"/>
    <col min="277" max="277" width="9.75" style="86" customWidth="1"/>
    <col min="278" max="278" width="1.375" style="86" customWidth="1"/>
    <col min="279" max="518" width="8.875" style="86"/>
    <col min="519" max="519" width="1.375" style="86" customWidth="1"/>
    <col min="520" max="520" width="3.5" style="86" customWidth="1"/>
    <col min="521" max="521" width="22.125" style="86" customWidth="1"/>
    <col min="522" max="522" width="9.75" style="86" customWidth="1"/>
    <col min="523" max="523" width="7.375" style="86" customWidth="1"/>
    <col min="524" max="524" width="8.875" style="86"/>
    <col min="525" max="525" width="9.25" style="86" customWidth="1"/>
    <col min="526" max="526" width="3.5" style="86" customWidth="1"/>
    <col min="527" max="528" width="12.625" style="86" customWidth="1"/>
    <col min="529" max="529" width="8.875" style="86"/>
    <col min="530" max="530" width="7.75" style="86" customWidth="1"/>
    <col min="531" max="531" width="13.125" style="86" customWidth="1"/>
    <col min="532" max="532" width="6.125" style="86" customWidth="1"/>
    <col min="533" max="533" width="9.75" style="86" customWidth="1"/>
    <col min="534" max="534" width="1.375" style="86" customWidth="1"/>
    <col min="535" max="774" width="8.875" style="86"/>
    <col min="775" max="775" width="1.375" style="86" customWidth="1"/>
    <col min="776" max="776" width="3.5" style="86" customWidth="1"/>
    <col min="777" max="777" width="22.125" style="86" customWidth="1"/>
    <col min="778" max="778" width="9.75" style="86" customWidth="1"/>
    <col min="779" max="779" width="7.375" style="86" customWidth="1"/>
    <col min="780" max="780" width="8.875" style="86"/>
    <col min="781" max="781" width="9.25" style="86" customWidth="1"/>
    <col min="782" max="782" width="3.5" style="86" customWidth="1"/>
    <col min="783" max="784" width="12.625" style="86" customWidth="1"/>
    <col min="785" max="785" width="8.875" style="86"/>
    <col min="786" max="786" width="7.75" style="86" customWidth="1"/>
    <col min="787" max="787" width="13.125" style="86" customWidth="1"/>
    <col min="788" max="788" width="6.125" style="86" customWidth="1"/>
    <col min="789" max="789" width="9.75" style="86" customWidth="1"/>
    <col min="790" max="790" width="1.375" style="86" customWidth="1"/>
    <col min="791" max="1030" width="8.875" style="86"/>
    <col min="1031" max="1031" width="1.375" style="86" customWidth="1"/>
    <col min="1032" max="1032" width="3.5" style="86" customWidth="1"/>
    <col min="1033" max="1033" width="22.125" style="86" customWidth="1"/>
    <col min="1034" max="1034" width="9.75" style="86" customWidth="1"/>
    <col min="1035" max="1035" width="7.375" style="86" customWidth="1"/>
    <col min="1036" max="1036" width="8.875" style="86"/>
    <col min="1037" max="1037" width="9.25" style="86" customWidth="1"/>
    <col min="1038" max="1038" width="3.5" style="86" customWidth="1"/>
    <col min="1039" max="1040" width="12.625" style="86" customWidth="1"/>
    <col min="1041" max="1041" width="8.875" style="86"/>
    <col min="1042" max="1042" width="7.75" style="86" customWidth="1"/>
    <col min="1043" max="1043" width="13.125" style="86" customWidth="1"/>
    <col min="1044" max="1044" width="6.125" style="86" customWidth="1"/>
    <col min="1045" max="1045" width="9.75" style="86" customWidth="1"/>
    <col min="1046" max="1046" width="1.375" style="86" customWidth="1"/>
    <col min="1047" max="1286" width="8.875" style="86"/>
    <col min="1287" max="1287" width="1.375" style="86" customWidth="1"/>
    <col min="1288" max="1288" width="3.5" style="86" customWidth="1"/>
    <col min="1289" max="1289" width="22.125" style="86" customWidth="1"/>
    <col min="1290" max="1290" width="9.75" style="86" customWidth="1"/>
    <col min="1291" max="1291" width="7.375" style="86" customWidth="1"/>
    <col min="1292" max="1292" width="8.875" style="86"/>
    <col min="1293" max="1293" width="9.25" style="86" customWidth="1"/>
    <col min="1294" max="1294" width="3.5" style="86" customWidth="1"/>
    <col min="1295" max="1296" width="12.625" style="86" customWidth="1"/>
    <col min="1297" max="1297" width="8.875" style="86"/>
    <col min="1298" max="1298" width="7.75" style="86" customWidth="1"/>
    <col min="1299" max="1299" width="13.125" style="86" customWidth="1"/>
    <col min="1300" max="1300" width="6.125" style="86" customWidth="1"/>
    <col min="1301" max="1301" width="9.75" style="86" customWidth="1"/>
    <col min="1302" max="1302" width="1.375" style="86" customWidth="1"/>
    <col min="1303" max="1542" width="8.875" style="86"/>
    <col min="1543" max="1543" width="1.375" style="86" customWidth="1"/>
    <col min="1544" max="1544" width="3.5" style="86" customWidth="1"/>
    <col min="1545" max="1545" width="22.125" style="86" customWidth="1"/>
    <col min="1546" max="1546" width="9.75" style="86" customWidth="1"/>
    <col min="1547" max="1547" width="7.375" style="86" customWidth="1"/>
    <col min="1548" max="1548" width="8.875" style="86"/>
    <col min="1549" max="1549" width="9.25" style="86" customWidth="1"/>
    <col min="1550" max="1550" width="3.5" style="86" customWidth="1"/>
    <col min="1551" max="1552" width="12.625" style="86" customWidth="1"/>
    <col min="1553" max="1553" width="8.875" style="86"/>
    <col min="1554" max="1554" width="7.75" style="86" customWidth="1"/>
    <col min="1555" max="1555" width="13.125" style="86" customWidth="1"/>
    <col min="1556" max="1556" width="6.125" style="86" customWidth="1"/>
    <col min="1557" max="1557" width="9.75" style="86" customWidth="1"/>
    <col min="1558" max="1558" width="1.375" style="86" customWidth="1"/>
    <col min="1559" max="1798" width="8.875" style="86"/>
    <col min="1799" max="1799" width="1.375" style="86" customWidth="1"/>
    <col min="1800" max="1800" width="3.5" style="86" customWidth="1"/>
    <col min="1801" max="1801" width="22.125" style="86" customWidth="1"/>
    <col min="1802" max="1802" width="9.75" style="86" customWidth="1"/>
    <col min="1803" max="1803" width="7.375" style="86" customWidth="1"/>
    <col min="1804" max="1804" width="8.875" style="86"/>
    <col min="1805" max="1805" width="9.25" style="86" customWidth="1"/>
    <col min="1806" max="1806" width="3.5" style="86" customWidth="1"/>
    <col min="1807" max="1808" width="12.625" style="86" customWidth="1"/>
    <col min="1809" max="1809" width="8.875" style="86"/>
    <col min="1810" max="1810" width="7.75" style="86" customWidth="1"/>
    <col min="1811" max="1811" width="13.125" style="86" customWidth="1"/>
    <col min="1812" max="1812" width="6.125" style="86" customWidth="1"/>
    <col min="1813" max="1813" width="9.75" style="86" customWidth="1"/>
    <col min="1814" max="1814" width="1.375" style="86" customWidth="1"/>
    <col min="1815" max="2054" width="8.875" style="86"/>
    <col min="2055" max="2055" width="1.375" style="86" customWidth="1"/>
    <col min="2056" max="2056" width="3.5" style="86" customWidth="1"/>
    <col min="2057" max="2057" width="22.125" style="86" customWidth="1"/>
    <col min="2058" max="2058" width="9.75" style="86" customWidth="1"/>
    <col min="2059" max="2059" width="7.375" style="86" customWidth="1"/>
    <col min="2060" max="2060" width="8.875" style="86"/>
    <col min="2061" max="2061" width="9.25" style="86" customWidth="1"/>
    <col min="2062" max="2062" width="3.5" style="86" customWidth="1"/>
    <col min="2063" max="2064" width="12.625" style="86" customWidth="1"/>
    <col min="2065" max="2065" width="8.875" style="86"/>
    <col min="2066" max="2066" width="7.75" style="86" customWidth="1"/>
    <col min="2067" max="2067" width="13.125" style="86" customWidth="1"/>
    <col min="2068" max="2068" width="6.125" style="86" customWidth="1"/>
    <col min="2069" max="2069" width="9.75" style="86" customWidth="1"/>
    <col min="2070" max="2070" width="1.375" style="86" customWidth="1"/>
    <col min="2071" max="2310" width="8.875" style="86"/>
    <col min="2311" max="2311" width="1.375" style="86" customWidth="1"/>
    <col min="2312" max="2312" width="3.5" style="86" customWidth="1"/>
    <col min="2313" max="2313" width="22.125" style="86" customWidth="1"/>
    <col min="2314" max="2314" width="9.75" style="86" customWidth="1"/>
    <col min="2315" max="2315" width="7.375" style="86" customWidth="1"/>
    <col min="2316" max="2316" width="8.875" style="86"/>
    <col min="2317" max="2317" width="9.25" style="86" customWidth="1"/>
    <col min="2318" max="2318" width="3.5" style="86" customWidth="1"/>
    <col min="2319" max="2320" width="12.625" style="86" customWidth="1"/>
    <col min="2321" max="2321" width="8.875" style="86"/>
    <col min="2322" max="2322" width="7.75" style="86" customWidth="1"/>
    <col min="2323" max="2323" width="13.125" style="86" customWidth="1"/>
    <col min="2324" max="2324" width="6.125" style="86" customWidth="1"/>
    <col min="2325" max="2325" width="9.75" style="86" customWidth="1"/>
    <col min="2326" max="2326" width="1.375" style="86" customWidth="1"/>
    <col min="2327" max="2566" width="8.875" style="86"/>
    <col min="2567" max="2567" width="1.375" style="86" customWidth="1"/>
    <col min="2568" max="2568" width="3.5" style="86" customWidth="1"/>
    <col min="2569" max="2569" width="22.125" style="86" customWidth="1"/>
    <col min="2570" max="2570" width="9.75" style="86" customWidth="1"/>
    <col min="2571" max="2571" width="7.375" style="86" customWidth="1"/>
    <col min="2572" max="2572" width="8.875" style="86"/>
    <col min="2573" max="2573" width="9.25" style="86" customWidth="1"/>
    <col min="2574" max="2574" width="3.5" style="86" customWidth="1"/>
    <col min="2575" max="2576" width="12.625" style="86" customWidth="1"/>
    <col min="2577" max="2577" width="8.875" style="86"/>
    <col min="2578" max="2578" width="7.75" style="86" customWidth="1"/>
    <col min="2579" max="2579" width="13.125" style="86" customWidth="1"/>
    <col min="2580" max="2580" width="6.125" style="86" customWidth="1"/>
    <col min="2581" max="2581" width="9.75" style="86" customWidth="1"/>
    <col min="2582" max="2582" width="1.375" style="86" customWidth="1"/>
    <col min="2583" max="2822" width="8.875" style="86"/>
    <col min="2823" max="2823" width="1.375" style="86" customWidth="1"/>
    <col min="2824" max="2824" width="3.5" style="86" customWidth="1"/>
    <col min="2825" max="2825" width="22.125" style="86" customWidth="1"/>
    <col min="2826" max="2826" width="9.75" style="86" customWidth="1"/>
    <col min="2827" max="2827" width="7.375" style="86" customWidth="1"/>
    <col min="2828" max="2828" width="8.875" style="86"/>
    <col min="2829" max="2829" width="9.25" style="86" customWidth="1"/>
    <col min="2830" max="2830" width="3.5" style="86" customWidth="1"/>
    <col min="2831" max="2832" width="12.625" style="86" customWidth="1"/>
    <col min="2833" max="2833" width="8.875" style="86"/>
    <col min="2834" max="2834" width="7.75" style="86" customWidth="1"/>
    <col min="2835" max="2835" width="13.125" style="86" customWidth="1"/>
    <col min="2836" max="2836" width="6.125" style="86" customWidth="1"/>
    <col min="2837" max="2837" width="9.75" style="86" customWidth="1"/>
    <col min="2838" max="2838" width="1.375" style="86" customWidth="1"/>
    <col min="2839" max="3078" width="8.875" style="86"/>
    <col min="3079" max="3079" width="1.375" style="86" customWidth="1"/>
    <col min="3080" max="3080" width="3.5" style="86" customWidth="1"/>
    <col min="3081" max="3081" width="22.125" style="86" customWidth="1"/>
    <col min="3082" max="3082" width="9.75" style="86" customWidth="1"/>
    <col min="3083" max="3083" width="7.375" style="86" customWidth="1"/>
    <col min="3084" max="3084" width="8.875" style="86"/>
    <col min="3085" max="3085" width="9.25" style="86" customWidth="1"/>
    <col min="3086" max="3086" width="3.5" style="86" customWidth="1"/>
    <col min="3087" max="3088" width="12.625" style="86" customWidth="1"/>
    <col min="3089" max="3089" width="8.875" style="86"/>
    <col min="3090" max="3090" width="7.75" style="86" customWidth="1"/>
    <col min="3091" max="3091" width="13.125" style="86" customWidth="1"/>
    <col min="3092" max="3092" width="6.125" style="86" customWidth="1"/>
    <col min="3093" max="3093" width="9.75" style="86" customWidth="1"/>
    <col min="3094" max="3094" width="1.375" style="86" customWidth="1"/>
    <col min="3095" max="3334" width="8.875" style="86"/>
    <col min="3335" max="3335" width="1.375" style="86" customWidth="1"/>
    <col min="3336" max="3336" width="3.5" style="86" customWidth="1"/>
    <col min="3337" max="3337" width="22.125" style="86" customWidth="1"/>
    <col min="3338" max="3338" width="9.75" style="86" customWidth="1"/>
    <col min="3339" max="3339" width="7.375" style="86" customWidth="1"/>
    <col min="3340" max="3340" width="8.875" style="86"/>
    <col min="3341" max="3341" width="9.25" style="86" customWidth="1"/>
    <col min="3342" max="3342" width="3.5" style="86" customWidth="1"/>
    <col min="3343" max="3344" width="12.625" style="86" customWidth="1"/>
    <col min="3345" max="3345" width="8.875" style="86"/>
    <col min="3346" max="3346" width="7.75" style="86" customWidth="1"/>
    <col min="3347" max="3347" width="13.125" style="86" customWidth="1"/>
    <col min="3348" max="3348" width="6.125" style="86" customWidth="1"/>
    <col min="3349" max="3349" width="9.75" style="86" customWidth="1"/>
    <col min="3350" max="3350" width="1.375" style="86" customWidth="1"/>
    <col min="3351" max="3590" width="8.875" style="86"/>
    <col min="3591" max="3591" width="1.375" style="86" customWidth="1"/>
    <col min="3592" max="3592" width="3.5" style="86" customWidth="1"/>
    <col min="3593" max="3593" width="22.125" style="86" customWidth="1"/>
    <col min="3594" max="3594" width="9.75" style="86" customWidth="1"/>
    <col min="3595" max="3595" width="7.375" style="86" customWidth="1"/>
    <col min="3596" max="3596" width="8.875" style="86"/>
    <col min="3597" max="3597" width="9.25" style="86" customWidth="1"/>
    <col min="3598" max="3598" width="3.5" style="86" customWidth="1"/>
    <col min="3599" max="3600" width="12.625" style="86" customWidth="1"/>
    <col min="3601" max="3601" width="8.875" style="86"/>
    <col min="3602" max="3602" width="7.75" style="86" customWidth="1"/>
    <col min="3603" max="3603" width="13.125" style="86" customWidth="1"/>
    <col min="3604" max="3604" width="6.125" style="86" customWidth="1"/>
    <col min="3605" max="3605" width="9.75" style="86" customWidth="1"/>
    <col min="3606" max="3606" width="1.375" style="86" customWidth="1"/>
    <col min="3607" max="3846" width="8.875" style="86"/>
    <col min="3847" max="3847" width="1.375" style="86" customWidth="1"/>
    <col min="3848" max="3848" width="3.5" style="86" customWidth="1"/>
    <col min="3849" max="3849" width="22.125" style="86" customWidth="1"/>
    <col min="3850" max="3850" width="9.75" style="86" customWidth="1"/>
    <col min="3851" max="3851" width="7.375" style="86" customWidth="1"/>
    <col min="3852" max="3852" width="8.875" style="86"/>
    <col min="3853" max="3853" width="9.25" style="86" customWidth="1"/>
    <col min="3854" max="3854" width="3.5" style="86" customWidth="1"/>
    <col min="3855" max="3856" width="12.625" style="86" customWidth="1"/>
    <col min="3857" max="3857" width="8.875" style="86"/>
    <col min="3858" max="3858" width="7.75" style="86" customWidth="1"/>
    <col min="3859" max="3859" width="13.125" style="86" customWidth="1"/>
    <col min="3860" max="3860" width="6.125" style="86" customWidth="1"/>
    <col min="3861" max="3861" width="9.75" style="86" customWidth="1"/>
    <col min="3862" max="3862" width="1.375" style="86" customWidth="1"/>
    <col min="3863" max="4102" width="8.875" style="86"/>
    <col min="4103" max="4103" width="1.375" style="86" customWidth="1"/>
    <col min="4104" max="4104" width="3.5" style="86" customWidth="1"/>
    <col min="4105" max="4105" width="22.125" style="86" customWidth="1"/>
    <col min="4106" max="4106" width="9.75" style="86" customWidth="1"/>
    <col min="4107" max="4107" width="7.375" style="86" customWidth="1"/>
    <col min="4108" max="4108" width="8.875" style="86"/>
    <col min="4109" max="4109" width="9.25" style="86" customWidth="1"/>
    <col min="4110" max="4110" width="3.5" style="86" customWidth="1"/>
    <col min="4111" max="4112" width="12.625" style="86" customWidth="1"/>
    <col min="4113" max="4113" width="8.875" style="86"/>
    <col min="4114" max="4114" width="7.75" style="86" customWidth="1"/>
    <col min="4115" max="4115" width="13.125" style="86" customWidth="1"/>
    <col min="4116" max="4116" width="6.125" style="86" customWidth="1"/>
    <col min="4117" max="4117" width="9.75" style="86" customWidth="1"/>
    <col min="4118" max="4118" width="1.375" style="86" customWidth="1"/>
    <col min="4119" max="4358" width="8.875" style="86"/>
    <col min="4359" max="4359" width="1.375" style="86" customWidth="1"/>
    <col min="4360" max="4360" width="3.5" style="86" customWidth="1"/>
    <col min="4361" max="4361" width="22.125" style="86" customWidth="1"/>
    <col min="4362" max="4362" width="9.75" style="86" customWidth="1"/>
    <col min="4363" max="4363" width="7.375" style="86" customWidth="1"/>
    <col min="4364" max="4364" width="8.875" style="86"/>
    <col min="4365" max="4365" width="9.25" style="86" customWidth="1"/>
    <col min="4366" max="4366" width="3.5" style="86" customWidth="1"/>
    <col min="4367" max="4368" width="12.625" style="86" customWidth="1"/>
    <col min="4369" max="4369" width="8.875" style="86"/>
    <col min="4370" max="4370" width="7.75" style="86" customWidth="1"/>
    <col min="4371" max="4371" width="13.125" style="86" customWidth="1"/>
    <col min="4372" max="4372" width="6.125" style="86" customWidth="1"/>
    <col min="4373" max="4373" width="9.75" style="86" customWidth="1"/>
    <col min="4374" max="4374" width="1.375" style="86" customWidth="1"/>
    <col min="4375" max="4614" width="8.875" style="86"/>
    <col min="4615" max="4615" width="1.375" style="86" customWidth="1"/>
    <col min="4616" max="4616" width="3.5" style="86" customWidth="1"/>
    <col min="4617" max="4617" width="22.125" style="86" customWidth="1"/>
    <col min="4618" max="4618" width="9.75" style="86" customWidth="1"/>
    <col min="4619" max="4619" width="7.375" style="86" customWidth="1"/>
    <col min="4620" max="4620" width="8.875" style="86"/>
    <col min="4621" max="4621" width="9.25" style="86" customWidth="1"/>
    <col min="4622" max="4622" width="3.5" style="86" customWidth="1"/>
    <col min="4623" max="4624" width="12.625" style="86" customWidth="1"/>
    <col min="4625" max="4625" width="8.875" style="86"/>
    <col min="4626" max="4626" width="7.75" style="86" customWidth="1"/>
    <col min="4627" max="4627" width="13.125" style="86" customWidth="1"/>
    <col min="4628" max="4628" width="6.125" style="86" customWidth="1"/>
    <col min="4629" max="4629" width="9.75" style="86" customWidth="1"/>
    <col min="4630" max="4630" width="1.375" style="86" customWidth="1"/>
    <col min="4631" max="4870" width="8.875" style="86"/>
    <col min="4871" max="4871" width="1.375" style="86" customWidth="1"/>
    <col min="4872" max="4872" width="3.5" style="86" customWidth="1"/>
    <col min="4873" max="4873" width="22.125" style="86" customWidth="1"/>
    <col min="4874" max="4874" width="9.75" style="86" customWidth="1"/>
    <col min="4875" max="4875" width="7.375" style="86" customWidth="1"/>
    <col min="4876" max="4876" width="8.875" style="86"/>
    <col min="4877" max="4877" width="9.25" style="86" customWidth="1"/>
    <col min="4878" max="4878" width="3.5" style="86" customWidth="1"/>
    <col min="4879" max="4880" width="12.625" style="86" customWidth="1"/>
    <col min="4881" max="4881" width="8.875" style="86"/>
    <col min="4882" max="4882" width="7.75" style="86" customWidth="1"/>
    <col min="4883" max="4883" width="13.125" style="86" customWidth="1"/>
    <col min="4884" max="4884" width="6.125" style="86" customWidth="1"/>
    <col min="4885" max="4885" width="9.75" style="86" customWidth="1"/>
    <col min="4886" max="4886" width="1.375" style="86" customWidth="1"/>
    <col min="4887" max="5126" width="8.875" style="86"/>
    <col min="5127" max="5127" width="1.375" style="86" customWidth="1"/>
    <col min="5128" max="5128" width="3.5" style="86" customWidth="1"/>
    <col min="5129" max="5129" width="22.125" style="86" customWidth="1"/>
    <col min="5130" max="5130" width="9.75" style="86" customWidth="1"/>
    <col min="5131" max="5131" width="7.375" style="86" customWidth="1"/>
    <col min="5132" max="5132" width="8.875" style="86"/>
    <col min="5133" max="5133" width="9.25" style="86" customWidth="1"/>
    <col min="5134" max="5134" width="3.5" style="86" customWidth="1"/>
    <col min="5135" max="5136" width="12.625" style="86" customWidth="1"/>
    <col min="5137" max="5137" width="8.875" style="86"/>
    <col min="5138" max="5138" width="7.75" style="86" customWidth="1"/>
    <col min="5139" max="5139" width="13.125" style="86" customWidth="1"/>
    <col min="5140" max="5140" width="6.125" style="86" customWidth="1"/>
    <col min="5141" max="5141" width="9.75" style="86" customWidth="1"/>
    <col min="5142" max="5142" width="1.375" style="86" customWidth="1"/>
    <col min="5143" max="5382" width="8.875" style="86"/>
    <col min="5383" max="5383" width="1.375" style="86" customWidth="1"/>
    <col min="5384" max="5384" width="3.5" style="86" customWidth="1"/>
    <col min="5385" max="5385" width="22.125" style="86" customWidth="1"/>
    <col min="5386" max="5386" width="9.75" style="86" customWidth="1"/>
    <col min="5387" max="5387" width="7.375" style="86" customWidth="1"/>
    <col min="5388" max="5388" width="8.875" style="86"/>
    <col min="5389" max="5389" width="9.25" style="86" customWidth="1"/>
    <col min="5390" max="5390" width="3.5" style="86" customWidth="1"/>
    <col min="5391" max="5392" width="12.625" style="86" customWidth="1"/>
    <col min="5393" max="5393" width="8.875" style="86"/>
    <col min="5394" max="5394" width="7.75" style="86" customWidth="1"/>
    <col min="5395" max="5395" width="13.125" style="86" customWidth="1"/>
    <col min="5396" max="5396" width="6.125" style="86" customWidth="1"/>
    <col min="5397" max="5397" width="9.75" style="86" customWidth="1"/>
    <col min="5398" max="5398" width="1.375" style="86" customWidth="1"/>
    <col min="5399" max="5638" width="8.875" style="86"/>
    <col min="5639" max="5639" width="1.375" style="86" customWidth="1"/>
    <col min="5640" max="5640" width="3.5" style="86" customWidth="1"/>
    <col min="5641" max="5641" width="22.125" style="86" customWidth="1"/>
    <col min="5642" max="5642" width="9.75" style="86" customWidth="1"/>
    <col min="5643" max="5643" width="7.375" style="86" customWidth="1"/>
    <col min="5644" max="5644" width="8.875" style="86"/>
    <col min="5645" max="5645" width="9.25" style="86" customWidth="1"/>
    <col min="5646" max="5646" width="3.5" style="86" customWidth="1"/>
    <col min="5647" max="5648" width="12.625" style="86" customWidth="1"/>
    <col min="5649" max="5649" width="8.875" style="86"/>
    <col min="5650" max="5650" width="7.75" style="86" customWidth="1"/>
    <col min="5651" max="5651" width="13.125" style="86" customWidth="1"/>
    <col min="5652" max="5652" width="6.125" style="86" customWidth="1"/>
    <col min="5653" max="5653" width="9.75" style="86" customWidth="1"/>
    <col min="5654" max="5654" width="1.375" style="86" customWidth="1"/>
    <col min="5655" max="5894" width="8.875" style="86"/>
    <col min="5895" max="5895" width="1.375" style="86" customWidth="1"/>
    <col min="5896" max="5896" width="3.5" style="86" customWidth="1"/>
    <col min="5897" max="5897" width="22.125" style="86" customWidth="1"/>
    <col min="5898" max="5898" width="9.75" style="86" customWidth="1"/>
    <col min="5899" max="5899" width="7.375" style="86" customWidth="1"/>
    <col min="5900" max="5900" width="8.875" style="86"/>
    <col min="5901" max="5901" width="9.25" style="86" customWidth="1"/>
    <col min="5902" max="5902" width="3.5" style="86" customWidth="1"/>
    <col min="5903" max="5904" width="12.625" style="86" customWidth="1"/>
    <col min="5905" max="5905" width="8.875" style="86"/>
    <col min="5906" max="5906" width="7.75" style="86" customWidth="1"/>
    <col min="5907" max="5907" width="13.125" style="86" customWidth="1"/>
    <col min="5908" max="5908" width="6.125" style="86" customWidth="1"/>
    <col min="5909" max="5909" width="9.75" style="86" customWidth="1"/>
    <col min="5910" max="5910" width="1.375" style="86" customWidth="1"/>
    <col min="5911" max="6150" width="8.875" style="86"/>
    <col min="6151" max="6151" width="1.375" style="86" customWidth="1"/>
    <col min="6152" max="6152" width="3.5" style="86" customWidth="1"/>
    <col min="6153" max="6153" width="22.125" style="86" customWidth="1"/>
    <col min="6154" max="6154" width="9.75" style="86" customWidth="1"/>
    <col min="6155" max="6155" width="7.375" style="86" customWidth="1"/>
    <col min="6156" max="6156" width="8.875" style="86"/>
    <col min="6157" max="6157" width="9.25" style="86" customWidth="1"/>
    <col min="6158" max="6158" width="3.5" style="86" customWidth="1"/>
    <col min="6159" max="6160" width="12.625" style="86" customWidth="1"/>
    <col min="6161" max="6161" width="8.875" style="86"/>
    <col min="6162" max="6162" width="7.75" style="86" customWidth="1"/>
    <col min="6163" max="6163" width="13.125" style="86" customWidth="1"/>
    <col min="6164" max="6164" width="6.125" style="86" customWidth="1"/>
    <col min="6165" max="6165" width="9.75" style="86" customWidth="1"/>
    <col min="6166" max="6166" width="1.375" style="86" customWidth="1"/>
    <col min="6167" max="6406" width="8.875" style="86"/>
    <col min="6407" max="6407" width="1.375" style="86" customWidth="1"/>
    <col min="6408" max="6408" width="3.5" style="86" customWidth="1"/>
    <col min="6409" max="6409" width="22.125" style="86" customWidth="1"/>
    <col min="6410" max="6410" width="9.75" style="86" customWidth="1"/>
    <col min="6411" max="6411" width="7.375" style="86" customWidth="1"/>
    <col min="6412" max="6412" width="8.875" style="86"/>
    <col min="6413" max="6413" width="9.25" style="86" customWidth="1"/>
    <col min="6414" max="6414" width="3.5" style="86" customWidth="1"/>
    <col min="6415" max="6416" width="12.625" style="86" customWidth="1"/>
    <col min="6417" max="6417" width="8.875" style="86"/>
    <col min="6418" max="6418" width="7.75" style="86" customWidth="1"/>
    <col min="6419" max="6419" width="13.125" style="86" customWidth="1"/>
    <col min="6420" max="6420" width="6.125" style="86" customWidth="1"/>
    <col min="6421" max="6421" width="9.75" style="86" customWidth="1"/>
    <col min="6422" max="6422" width="1.375" style="86" customWidth="1"/>
    <col min="6423" max="6662" width="8.875" style="86"/>
    <col min="6663" max="6663" width="1.375" style="86" customWidth="1"/>
    <col min="6664" max="6664" width="3.5" style="86" customWidth="1"/>
    <col min="6665" max="6665" width="22.125" style="86" customWidth="1"/>
    <col min="6666" max="6666" width="9.75" style="86" customWidth="1"/>
    <col min="6667" max="6667" width="7.375" style="86" customWidth="1"/>
    <col min="6668" max="6668" width="8.875" style="86"/>
    <col min="6669" max="6669" width="9.25" style="86" customWidth="1"/>
    <col min="6670" max="6670" width="3.5" style="86" customWidth="1"/>
    <col min="6671" max="6672" width="12.625" style="86" customWidth="1"/>
    <col min="6673" max="6673" width="8.875" style="86"/>
    <col min="6674" max="6674" width="7.75" style="86" customWidth="1"/>
    <col min="6675" max="6675" width="13.125" style="86" customWidth="1"/>
    <col min="6676" max="6676" width="6.125" style="86" customWidth="1"/>
    <col min="6677" max="6677" width="9.75" style="86" customWidth="1"/>
    <col min="6678" max="6678" width="1.375" style="86" customWidth="1"/>
    <col min="6679" max="6918" width="8.875" style="86"/>
    <col min="6919" max="6919" width="1.375" style="86" customWidth="1"/>
    <col min="6920" max="6920" width="3.5" style="86" customWidth="1"/>
    <col min="6921" max="6921" width="22.125" style="86" customWidth="1"/>
    <col min="6922" max="6922" width="9.75" style="86" customWidth="1"/>
    <col min="6923" max="6923" width="7.375" style="86" customWidth="1"/>
    <col min="6924" max="6924" width="8.875" style="86"/>
    <col min="6925" max="6925" width="9.25" style="86" customWidth="1"/>
    <col min="6926" max="6926" width="3.5" style="86" customWidth="1"/>
    <col min="6927" max="6928" width="12.625" style="86" customWidth="1"/>
    <col min="6929" max="6929" width="8.875" style="86"/>
    <col min="6930" max="6930" width="7.75" style="86" customWidth="1"/>
    <col min="6931" max="6931" width="13.125" style="86" customWidth="1"/>
    <col min="6932" max="6932" width="6.125" style="86" customWidth="1"/>
    <col min="6933" max="6933" width="9.75" style="86" customWidth="1"/>
    <col min="6934" max="6934" width="1.375" style="86" customWidth="1"/>
    <col min="6935" max="7174" width="8.875" style="86"/>
    <col min="7175" max="7175" width="1.375" style="86" customWidth="1"/>
    <col min="7176" max="7176" width="3.5" style="86" customWidth="1"/>
    <col min="7177" max="7177" width="22.125" style="86" customWidth="1"/>
    <col min="7178" max="7178" width="9.75" style="86" customWidth="1"/>
    <col min="7179" max="7179" width="7.375" style="86" customWidth="1"/>
    <col min="7180" max="7180" width="8.875" style="86"/>
    <col min="7181" max="7181" width="9.25" style="86" customWidth="1"/>
    <col min="7182" max="7182" width="3.5" style="86" customWidth="1"/>
    <col min="7183" max="7184" width="12.625" style="86" customWidth="1"/>
    <col min="7185" max="7185" width="8.875" style="86"/>
    <col min="7186" max="7186" width="7.75" style="86" customWidth="1"/>
    <col min="7187" max="7187" width="13.125" style="86" customWidth="1"/>
    <col min="7188" max="7188" width="6.125" style="86" customWidth="1"/>
    <col min="7189" max="7189" width="9.75" style="86" customWidth="1"/>
    <col min="7190" max="7190" width="1.375" style="86" customWidth="1"/>
    <col min="7191" max="7430" width="8.875" style="86"/>
    <col min="7431" max="7431" width="1.375" style="86" customWidth="1"/>
    <col min="7432" max="7432" width="3.5" style="86" customWidth="1"/>
    <col min="7433" max="7433" width="22.125" style="86" customWidth="1"/>
    <col min="7434" max="7434" width="9.75" style="86" customWidth="1"/>
    <col min="7435" max="7435" width="7.375" style="86" customWidth="1"/>
    <col min="7436" max="7436" width="8.875" style="86"/>
    <col min="7437" max="7437" width="9.25" style="86" customWidth="1"/>
    <col min="7438" max="7438" width="3.5" style="86" customWidth="1"/>
    <col min="7439" max="7440" width="12.625" style="86" customWidth="1"/>
    <col min="7441" max="7441" width="8.875" style="86"/>
    <col min="7442" max="7442" width="7.75" style="86" customWidth="1"/>
    <col min="7443" max="7443" width="13.125" style="86" customWidth="1"/>
    <col min="7444" max="7444" width="6.125" style="86" customWidth="1"/>
    <col min="7445" max="7445" width="9.75" style="86" customWidth="1"/>
    <col min="7446" max="7446" width="1.375" style="86" customWidth="1"/>
    <col min="7447" max="7686" width="8.875" style="86"/>
    <col min="7687" max="7687" width="1.375" style="86" customWidth="1"/>
    <col min="7688" max="7688" width="3.5" style="86" customWidth="1"/>
    <col min="7689" max="7689" width="22.125" style="86" customWidth="1"/>
    <col min="7690" max="7690" width="9.75" style="86" customWidth="1"/>
    <col min="7691" max="7691" width="7.375" style="86" customWidth="1"/>
    <col min="7692" max="7692" width="8.875" style="86"/>
    <col min="7693" max="7693" width="9.25" style="86" customWidth="1"/>
    <col min="7694" max="7694" width="3.5" style="86" customWidth="1"/>
    <col min="7695" max="7696" width="12.625" style="86" customWidth="1"/>
    <col min="7697" max="7697" width="8.875" style="86"/>
    <col min="7698" max="7698" width="7.75" style="86" customWidth="1"/>
    <col min="7699" max="7699" width="13.125" style="86" customWidth="1"/>
    <col min="7700" max="7700" width="6.125" style="86" customWidth="1"/>
    <col min="7701" max="7701" width="9.75" style="86" customWidth="1"/>
    <col min="7702" max="7702" width="1.375" style="86" customWidth="1"/>
    <col min="7703" max="7942" width="8.875" style="86"/>
    <col min="7943" max="7943" width="1.375" style="86" customWidth="1"/>
    <col min="7944" max="7944" width="3.5" style="86" customWidth="1"/>
    <col min="7945" max="7945" width="22.125" style="86" customWidth="1"/>
    <col min="7946" max="7946" width="9.75" style="86" customWidth="1"/>
    <col min="7947" max="7947" width="7.375" style="86" customWidth="1"/>
    <col min="7948" max="7948" width="8.875" style="86"/>
    <col min="7949" max="7949" width="9.25" style="86" customWidth="1"/>
    <col min="7950" max="7950" width="3.5" style="86" customWidth="1"/>
    <col min="7951" max="7952" width="12.625" style="86" customWidth="1"/>
    <col min="7953" max="7953" width="8.875" style="86"/>
    <col min="7954" max="7954" width="7.75" style="86" customWidth="1"/>
    <col min="7955" max="7955" width="13.125" style="86" customWidth="1"/>
    <col min="7956" max="7956" width="6.125" style="86" customWidth="1"/>
    <col min="7957" max="7957" width="9.75" style="86" customWidth="1"/>
    <col min="7958" max="7958" width="1.375" style="86" customWidth="1"/>
    <col min="7959" max="8198" width="8.875" style="86"/>
    <col min="8199" max="8199" width="1.375" style="86" customWidth="1"/>
    <col min="8200" max="8200" width="3.5" style="86" customWidth="1"/>
    <col min="8201" max="8201" width="22.125" style="86" customWidth="1"/>
    <col min="8202" max="8202" width="9.75" style="86" customWidth="1"/>
    <col min="8203" max="8203" width="7.375" style="86" customWidth="1"/>
    <col min="8204" max="8204" width="8.875" style="86"/>
    <col min="8205" max="8205" width="9.25" style="86" customWidth="1"/>
    <col min="8206" max="8206" width="3.5" style="86" customWidth="1"/>
    <col min="8207" max="8208" width="12.625" style="86" customWidth="1"/>
    <col min="8209" max="8209" width="8.875" style="86"/>
    <col min="8210" max="8210" width="7.75" style="86" customWidth="1"/>
    <col min="8211" max="8211" width="13.125" style="86" customWidth="1"/>
    <col min="8212" max="8212" width="6.125" style="86" customWidth="1"/>
    <col min="8213" max="8213" width="9.75" style="86" customWidth="1"/>
    <col min="8214" max="8214" width="1.375" style="86" customWidth="1"/>
    <col min="8215" max="8454" width="8.875" style="86"/>
    <col min="8455" max="8455" width="1.375" style="86" customWidth="1"/>
    <col min="8456" max="8456" width="3.5" style="86" customWidth="1"/>
    <col min="8457" max="8457" width="22.125" style="86" customWidth="1"/>
    <col min="8458" max="8458" width="9.75" style="86" customWidth="1"/>
    <col min="8459" max="8459" width="7.375" style="86" customWidth="1"/>
    <col min="8460" max="8460" width="8.875" style="86"/>
    <col min="8461" max="8461" width="9.25" style="86" customWidth="1"/>
    <col min="8462" max="8462" width="3.5" style="86" customWidth="1"/>
    <col min="8463" max="8464" width="12.625" style="86" customWidth="1"/>
    <col min="8465" max="8465" width="8.875" style="86"/>
    <col min="8466" max="8466" width="7.75" style="86" customWidth="1"/>
    <col min="8467" max="8467" width="13.125" style="86" customWidth="1"/>
    <col min="8468" max="8468" width="6.125" style="86" customWidth="1"/>
    <col min="8469" max="8469" width="9.75" style="86" customWidth="1"/>
    <col min="8470" max="8470" width="1.375" style="86" customWidth="1"/>
    <col min="8471" max="8710" width="8.875" style="86"/>
    <col min="8711" max="8711" width="1.375" style="86" customWidth="1"/>
    <col min="8712" max="8712" width="3.5" style="86" customWidth="1"/>
    <col min="8713" max="8713" width="22.125" style="86" customWidth="1"/>
    <col min="8714" max="8714" width="9.75" style="86" customWidth="1"/>
    <col min="8715" max="8715" width="7.375" style="86" customWidth="1"/>
    <col min="8716" max="8716" width="8.875" style="86"/>
    <col min="8717" max="8717" width="9.25" style="86" customWidth="1"/>
    <col min="8718" max="8718" width="3.5" style="86" customWidth="1"/>
    <col min="8719" max="8720" width="12.625" style="86" customWidth="1"/>
    <col min="8721" max="8721" width="8.875" style="86"/>
    <col min="8722" max="8722" width="7.75" style="86" customWidth="1"/>
    <col min="8723" max="8723" width="13.125" style="86" customWidth="1"/>
    <col min="8724" max="8724" width="6.125" style="86" customWidth="1"/>
    <col min="8725" max="8725" width="9.75" style="86" customWidth="1"/>
    <col min="8726" max="8726" width="1.375" style="86" customWidth="1"/>
    <col min="8727" max="8966" width="8.875" style="86"/>
    <col min="8967" max="8967" width="1.375" style="86" customWidth="1"/>
    <col min="8968" max="8968" width="3.5" style="86" customWidth="1"/>
    <col min="8969" max="8969" width="22.125" style="86" customWidth="1"/>
    <col min="8970" max="8970" width="9.75" style="86" customWidth="1"/>
    <col min="8971" max="8971" width="7.375" style="86" customWidth="1"/>
    <col min="8972" max="8972" width="8.875" style="86"/>
    <col min="8973" max="8973" width="9.25" style="86" customWidth="1"/>
    <col min="8974" max="8974" width="3.5" style="86" customWidth="1"/>
    <col min="8975" max="8976" width="12.625" style="86" customWidth="1"/>
    <col min="8977" max="8977" width="8.875" style="86"/>
    <col min="8978" max="8978" width="7.75" style="86" customWidth="1"/>
    <col min="8979" max="8979" width="13.125" style="86" customWidth="1"/>
    <col min="8980" max="8980" width="6.125" style="86" customWidth="1"/>
    <col min="8981" max="8981" width="9.75" style="86" customWidth="1"/>
    <col min="8982" max="8982" width="1.375" style="86" customWidth="1"/>
    <col min="8983" max="9222" width="8.875" style="86"/>
    <col min="9223" max="9223" width="1.375" style="86" customWidth="1"/>
    <col min="9224" max="9224" width="3.5" style="86" customWidth="1"/>
    <col min="9225" max="9225" width="22.125" style="86" customWidth="1"/>
    <col min="9226" max="9226" width="9.75" style="86" customWidth="1"/>
    <col min="9227" max="9227" width="7.375" style="86" customWidth="1"/>
    <col min="9228" max="9228" width="8.875" style="86"/>
    <col min="9229" max="9229" width="9.25" style="86" customWidth="1"/>
    <col min="9230" max="9230" width="3.5" style="86" customWidth="1"/>
    <col min="9231" max="9232" width="12.625" style="86" customWidth="1"/>
    <col min="9233" max="9233" width="8.875" style="86"/>
    <col min="9234" max="9234" width="7.75" style="86" customWidth="1"/>
    <col min="9235" max="9235" width="13.125" style="86" customWidth="1"/>
    <col min="9236" max="9236" width="6.125" style="86" customWidth="1"/>
    <col min="9237" max="9237" width="9.75" style="86" customWidth="1"/>
    <col min="9238" max="9238" width="1.375" style="86" customWidth="1"/>
    <col min="9239" max="9478" width="8.875" style="86"/>
    <col min="9479" max="9479" width="1.375" style="86" customWidth="1"/>
    <col min="9480" max="9480" width="3.5" style="86" customWidth="1"/>
    <col min="9481" max="9481" width="22.125" style="86" customWidth="1"/>
    <col min="9482" max="9482" width="9.75" style="86" customWidth="1"/>
    <col min="9483" max="9483" width="7.375" style="86" customWidth="1"/>
    <col min="9484" max="9484" width="8.875" style="86"/>
    <col min="9485" max="9485" width="9.25" style="86" customWidth="1"/>
    <col min="9486" max="9486" width="3.5" style="86" customWidth="1"/>
    <col min="9487" max="9488" width="12.625" style="86" customWidth="1"/>
    <col min="9489" max="9489" width="8.875" style="86"/>
    <col min="9490" max="9490" width="7.75" style="86" customWidth="1"/>
    <col min="9491" max="9491" width="13.125" style="86" customWidth="1"/>
    <col min="9492" max="9492" width="6.125" style="86" customWidth="1"/>
    <col min="9493" max="9493" width="9.75" style="86" customWidth="1"/>
    <col min="9494" max="9494" width="1.375" style="86" customWidth="1"/>
    <col min="9495" max="9734" width="8.875" style="86"/>
    <col min="9735" max="9735" width="1.375" style="86" customWidth="1"/>
    <col min="9736" max="9736" width="3.5" style="86" customWidth="1"/>
    <col min="9737" max="9737" width="22.125" style="86" customWidth="1"/>
    <col min="9738" max="9738" width="9.75" style="86" customWidth="1"/>
    <col min="9739" max="9739" width="7.375" style="86" customWidth="1"/>
    <col min="9740" max="9740" width="8.875" style="86"/>
    <col min="9741" max="9741" width="9.25" style="86" customWidth="1"/>
    <col min="9742" max="9742" width="3.5" style="86" customWidth="1"/>
    <col min="9743" max="9744" width="12.625" style="86" customWidth="1"/>
    <col min="9745" max="9745" width="8.875" style="86"/>
    <col min="9746" max="9746" width="7.75" style="86" customWidth="1"/>
    <col min="9747" max="9747" width="13.125" style="86" customWidth="1"/>
    <col min="9748" max="9748" width="6.125" style="86" customWidth="1"/>
    <col min="9749" max="9749" width="9.75" style="86" customWidth="1"/>
    <col min="9750" max="9750" width="1.375" style="86" customWidth="1"/>
    <col min="9751" max="9990" width="8.875" style="86"/>
    <col min="9991" max="9991" width="1.375" style="86" customWidth="1"/>
    <col min="9992" max="9992" width="3.5" style="86" customWidth="1"/>
    <col min="9993" max="9993" width="22.125" style="86" customWidth="1"/>
    <col min="9994" max="9994" width="9.75" style="86" customWidth="1"/>
    <col min="9995" max="9995" width="7.375" style="86" customWidth="1"/>
    <col min="9996" max="9996" width="8.875" style="86"/>
    <col min="9997" max="9997" width="9.25" style="86" customWidth="1"/>
    <col min="9998" max="9998" width="3.5" style="86" customWidth="1"/>
    <col min="9999" max="10000" width="12.625" style="86" customWidth="1"/>
    <col min="10001" max="10001" width="8.875" style="86"/>
    <col min="10002" max="10002" width="7.75" style="86" customWidth="1"/>
    <col min="10003" max="10003" width="13.125" style="86" customWidth="1"/>
    <col min="10004" max="10004" width="6.125" style="86" customWidth="1"/>
    <col min="10005" max="10005" width="9.75" style="86" customWidth="1"/>
    <col min="10006" max="10006" width="1.375" style="86" customWidth="1"/>
    <col min="10007" max="10246" width="8.875" style="86"/>
    <col min="10247" max="10247" width="1.375" style="86" customWidth="1"/>
    <col min="10248" max="10248" width="3.5" style="86" customWidth="1"/>
    <col min="10249" max="10249" width="22.125" style="86" customWidth="1"/>
    <col min="10250" max="10250" width="9.75" style="86" customWidth="1"/>
    <col min="10251" max="10251" width="7.375" style="86" customWidth="1"/>
    <col min="10252" max="10252" width="8.875" style="86"/>
    <col min="10253" max="10253" width="9.25" style="86" customWidth="1"/>
    <col min="10254" max="10254" width="3.5" style="86" customWidth="1"/>
    <col min="10255" max="10256" width="12.625" style="86" customWidth="1"/>
    <col min="10257" max="10257" width="8.875" style="86"/>
    <col min="10258" max="10258" width="7.75" style="86" customWidth="1"/>
    <col min="10259" max="10259" width="13.125" style="86" customWidth="1"/>
    <col min="10260" max="10260" width="6.125" style="86" customWidth="1"/>
    <col min="10261" max="10261" width="9.75" style="86" customWidth="1"/>
    <col min="10262" max="10262" width="1.375" style="86" customWidth="1"/>
    <col min="10263" max="10502" width="8.875" style="86"/>
    <col min="10503" max="10503" width="1.375" style="86" customWidth="1"/>
    <col min="10504" max="10504" width="3.5" style="86" customWidth="1"/>
    <col min="10505" max="10505" width="22.125" style="86" customWidth="1"/>
    <col min="10506" max="10506" width="9.75" style="86" customWidth="1"/>
    <col min="10507" max="10507" width="7.375" style="86" customWidth="1"/>
    <col min="10508" max="10508" width="8.875" style="86"/>
    <col min="10509" max="10509" width="9.25" style="86" customWidth="1"/>
    <col min="10510" max="10510" width="3.5" style="86" customWidth="1"/>
    <col min="10511" max="10512" width="12.625" style="86" customWidth="1"/>
    <col min="10513" max="10513" width="8.875" style="86"/>
    <col min="10514" max="10514" width="7.75" style="86" customWidth="1"/>
    <col min="10515" max="10515" width="13.125" style="86" customWidth="1"/>
    <col min="10516" max="10516" width="6.125" style="86" customWidth="1"/>
    <col min="10517" max="10517" width="9.75" style="86" customWidth="1"/>
    <col min="10518" max="10518" width="1.375" style="86" customWidth="1"/>
    <col min="10519" max="10758" width="8.875" style="86"/>
    <col min="10759" max="10759" width="1.375" style="86" customWidth="1"/>
    <col min="10760" max="10760" width="3.5" style="86" customWidth="1"/>
    <col min="10761" max="10761" width="22.125" style="86" customWidth="1"/>
    <col min="10762" max="10762" width="9.75" style="86" customWidth="1"/>
    <col min="10763" max="10763" width="7.375" style="86" customWidth="1"/>
    <col min="10764" max="10764" width="8.875" style="86"/>
    <col min="10765" max="10765" width="9.25" style="86" customWidth="1"/>
    <col min="10766" max="10766" width="3.5" style="86" customWidth="1"/>
    <col min="10767" max="10768" width="12.625" style="86" customWidth="1"/>
    <col min="10769" max="10769" width="8.875" style="86"/>
    <col min="10770" max="10770" width="7.75" style="86" customWidth="1"/>
    <col min="10771" max="10771" width="13.125" style="86" customWidth="1"/>
    <col min="10772" max="10772" width="6.125" style="86" customWidth="1"/>
    <col min="10773" max="10773" width="9.75" style="86" customWidth="1"/>
    <col min="10774" max="10774" width="1.375" style="86" customWidth="1"/>
    <col min="10775" max="11014" width="8.875" style="86"/>
    <col min="11015" max="11015" width="1.375" style="86" customWidth="1"/>
    <col min="11016" max="11016" width="3.5" style="86" customWidth="1"/>
    <col min="11017" max="11017" width="22.125" style="86" customWidth="1"/>
    <col min="11018" max="11018" width="9.75" style="86" customWidth="1"/>
    <col min="11019" max="11019" width="7.375" style="86" customWidth="1"/>
    <col min="11020" max="11020" width="8.875" style="86"/>
    <col min="11021" max="11021" width="9.25" style="86" customWidth="1"/>
    <col min="11022" max="11022" width="3.5" style="86" customWidth="1"/>
    <col min="11023" max="11024" width="12.625" style="86" customWidth="1"/>
    <col min="11025" max="11025" width="8.875" style="86"/>
    <col min="11026" max="11026" width="7.75" style="86" customWidth="1"/>
    <col min="11027" max="11027" width="13.125" style="86" customWidth="1"/>
    <col min="11028" max="11028" width="6.125" style="86" customWidth="1"/>
    <col min="11029" max="11029" width="9.75" style="86" customWidth="1"/>
    <col min="11030" max="11030" width="1.375" style="86" customWidth="1"/>
    <col min="11031" max="11270" width="8.875" style="86"/>
    <col min="11271" max="11271" width="1.375" style="86" customWidth="1"/>
    <col min="11272" max="11272" width="3.5" style="86" customWidth="1"/>
    <col min="11273" max="11273" width="22.125" style="86" customWidth="1"/>
    <col min="11274" max="11274" width="9.75" style="86" customWidth="1"/>
    <col min="11275" max="11275" width="7.375" style="86" customWidth="1"/>
    <col min="11276" max="11276" width="8.875" style="86"/>
    <col min="11277" max="11277" width="9.25" style="86" customWidth="1"/>
    <col min="11278" max="11278" width="3.5" style="86" customWidth="1"/>
    <col min="11279" max="11280" width="12.625" style="86" customWidth="1"/>
    <col min="11281" max="11281" width="8.875" style="86"/>
    <col min="11282" max="11282" width="7.75" style="86" customWidth="1"/>
    <col min="11283" max="11283" width="13.125" style="86" customWidth="1"/>
    <col min="11284" max="11284" width="6.125" style="86" customWidth="1"/>
    <col min="11285" max="11285" width="9.75" style="86" customWidth="1"/>
    <col min="11286" max="11286" width="1.375" style="86" customWidth="1"/>
    <col min="11287" max="11526" width="8.875" style="86"/>
    <col min="11527" max="11527" width="1.375" style="86" customWidth="1"/>
    <col min="11528" max="11528" width="3.5" style="86" customWidth="1"/>
    <col min="11529" max="11529" width="22.125" style="86" customWidth="1"/>
    <col min="11530" max="11530" width="9.75" style="86" customWidth="1"/>
    <col min="11531" max="11531" width="7.375" style="86" customWidth="1"/>
    <col min="11532" max="11532" width="8.875" style="86"/>
    <col min="11533" max="11533" width="9.25" style="86" customWidth="1"/>
    <col min="11534" max="11534" width="3.5" style="86" customWidth="1"/>
    <col min="11535" max="11536" width="12.625" style="86" customWidth="1"/>
    <col min="11537" max="11537" width="8.875" style="86"/>
    <col min="11538" max="11538" width="7.75" style="86" customWidth="1"/>
    <col min="11539" max="11539" width="13.125" style="86" customWidth="1"/>
    <col min="11540" max="11540" width="6.125" style="86" customWidth="1"/>
    <col min="11541" max="11541" width="9.75" style="86" customWidth="1"/>
    <col min="11542" max="11542" width="1.375" style="86" customWidth="1"/>
    <col min="11543" max="11782" width="8.875" style="86"/>
    <col min="11783" max="11783" width="1.375" style="86" customWidth="1"/>
    <col min="11784" max="11784" width="3.5" style="86" customWidth="1"/>
    <col min="11785" max="11785" width="22.125" style="86" customWidth="1"/>
    <col min="11786" max="11786" width="9.75" style="86" customWidth="1"/>
    <col min="11787" max="11787" width="7.375" style="86" customWidth="1"/>
    <col min="11788" max="11788" width="8.875" style="86"/>
    <col min="11789" max="11789" width="9.25" style="86" customWidth="1"/>
    <col min="11790" max="11790" width="3.5" style="86" customWidth="1"/>
    <col min="11791" max="11792" width="12.625" style="86" customWidth="1"/>
    <col min="11793" max="11793" width="8.875" style="86"/>
    <col min="11794" max="11794" width="7.75" style="86" customWidth="1"/>
    <col min="11795" max="11795" width="13.125" style="86" customWidth="1"/>
    <col min="11796" max="11796" width="6.125" style="86" customWidth="1"/>
    <col min="11797" max="11797" width="9.75" style="86" customWidth="1"/>
    <col min="11798" max="11798" width="1.375" style="86" customWidth="1"/>
    <col min="11799" max="12038" width="8.875" style="86"/>
    <col min="12039" max="12039" width="1.375" style="86" customWidth="1"/>
    <col min="12040" max="12040" width="3.5" style="86" customWidth="1"/>
    <col min="12041" max="12041" width="22.125" style="86" customWidth="1"/>
    <col min="12042" max="12042" width="9.75" style="86" customWidth="1"/>
    <col min="12043" max="12043" width="7.375" style="86" customWidth="1"/>
    <col min="12044" max="12044" width="8.875" style="86"/>
    <col min="12045" max="12045" width="9.25" style="86" customWidth="1"/>
    <col min="12046" max="12046" width="3.5" style="86" customWidth="1"/>
    <col min="12047" max="12048" width="12.625" style="86" customWidth="1"/>
    <col min="12049" max="12049" width="8.875" style="86"/>
    <col min="12050" max="12050" width="7.75" style="86" customWidth="1"/>
    <col min="12051" max="12051" width="13.125" style="86" customWidth="1"/>
    <col min="12052" max="12052" width="6.125" style="86" customWidth="1"/>
    <col min="12053" max="12053" width="9.75" style="86" customWidth="1"/>
    <col min="12054" max="12054" width="1.375" style="86" customWidth="1"/>
    <col min="12055" max="12294" width="8.875" style="86"/>
    <col min="12295" max="12295" width="1.375" style="86" customWidth="1"/>
    <col min="12296" max="12296" width="3.5" style="86" customWidth="1"/>
    <col min="12297" max="12297" width="22.125" style="86" customWidth="1"/>
    <col min="12298" max="12298" width="9.75" style="86" customWidth="1"/>
    <col min="12299" max="12299" width="7.375" style="86" customWidth="1"/>
    <col min="12300" max="12300" width="8.875" style="86"/>
    <col min="12301" max="12301" width="9.25" style="86" customWidth="1"/>
    <col min="12302" max="12302" width="3.5" style="86" customWidth="1"/>
    <col min="12303" max="12304" width="12.625" style="86" customWidth="1"/>
    <col min="12305" max="12305" width="8.875" style="86"/>
    <col min="12306" max="12306" width="7.75" style="86" customWidth="1"/>
    <col min="12307" max="12307" width="13.125" style="86" customWidth="1"/>
    <col min="12308" max="12308" width="6.125" style="86" customWidth="1"/>
    <col min="12309" max="12309" width="9.75" style="86" customWidth="1"/>
    <col min="12310" max="12310" width="1.375" style="86" customWidth="1"/>
    <col min="12311" max="12550" width="8.875" style="86"/>
    <col min="12551" max="12551" width="1.375" style="86" customWidth="1"/>
    <col min="12552" max="12552" width="3.5" style="86" customWidth="1"/>
    <col min="12553" max="12553" width="22.125" style="86" customWidth="1"/>
    <col min="12554" max="12554" width="9.75" style="86" customWidth="1"/>
    <col min="12555" max="12555" width="7.375" style="86" customWidth="1"/>
    <col min="12556" max="12556" width="8.875" style="86"/>
    <col min="12557" max="12557" width="9.25" style="86" customWidth="1"/>
    <col min="12558" max="12558" width="3.5" style="86" customWidth="1"/>
    <col min="12559" max="12560" width="12.625" style="86" customWidth="1"/>
    <col min="12561" max="12561" width="8.875" style="86"/>
    <col min="12562" max="12562" width="7.75" style="86" customWidth="1"/>
    <col min="12563" max="12563" width="13.125" style="86" customWidth="1"/>
    <col min="12564" max="12564" width="6.125" style="86" customWidth="1"/>
    <col min="12565" max="12565" width="9.75" style="86" customWidth="1"/>
    <col min="12566" max="12566" width="1.375" style="86" customWidth="1"/>
    <col min="12567" max="12806" width="8.875" style="86"/>
    <col min="12807" max="12807" width="1.375" style="86" customWidth="1"/>
    <col min="12808" max="12808" width="3.5" style="86" customWidth="1"/>
    <col min="12809" max="12809" width="22.125" style="86" customWidth="1"/>
    <col min="12810" max="12810" width="9.75" style="86" customWidth="1"/>
    <col min="12811" max="12811" width="7.375" style="86" customWidth="1"/>
    <col min="12812" max="12812" width="8.875" style="86"/>
    <col min="12813" max="12813" width="9.25" style="86" customWidth="1"/>
    <col min="12814" max="12814" width="3.5" style="86" customWidth="1"/>
    <col min="12815" max="12816" width="12.625" style="86" customWidth="1"/>
    <col min="12817" max="12817" width="8.875" style="86"/>
    <col min="12818" max="12818" width="7.75" style="86" customWidth="1"/>
    <col min="12819" max="12819" width="13.125" style="86" customWidth="1"/>
    <col min="12820" max="12820" width="6.125" style="86" customWidth="1"/>
    <col min="12821" max="12821" width="9.75" style="86" customWidth="1"/>
    <col min="12822" max="12822" width="1.375" style="86" customWidth="1"/>
    <col min="12823" max="13062" width="8.875" style="86"/>
    <col min="13063" max="13063" width="1.375" style="86" customWidth="1"/>
    <col min="13064" max="13064" width="3.5" style="86" customWidth="1"/>
    <col min="13065" max="13065" width="22.125" style="86" customWidth="1"/>
    <col min="13066" max="13066" width="9.75" style="86" customWidth="1"/>
    <col min="13067" max="13067" width="7.375" style="86" customWidth="1"/>
    <col min="13068" max="13068" width="8.875" style="86"/>
    <col min="13069" max="13069" width="9.25" style="86" customWidth="1"/>
    <col min="13070" max="13070" width="3.5" style="86" customWidth="1"/>
    <col min="13071" max="13072" width="12.625" style="86" customWidth="1"/>
    <col min="13073" max="13073" width="8.875" style="86"/>
    <col min="13074" max="13074" width="7.75" style="86" customWidth="1"/>
    <col min="13075" max="13075" width="13.125" style="86" customWidth="1"/>
    <col min="13076" max="13076" width="6.125" style="86" customWidth="1"/>
    <col min="13077" max="13077" width="9.75" style="86" customWidth="1"/>
    <col min="13078" max="13078" width="1.375" style="86" customWidth="1"/>
    <col min="13079" max="13318" width="8.875" style="86"/>
    <col min="13319" max="13319" width="1.375" style="86" customWidth="1"/>
    <col min="13320" max="13320" width="3.5" style="86" customWidth="1"/>
    <col min="13321" max="13321" width="22.125" style="86" customWidth="1"/>
    <col min="13322" max="13322" width="9.75" style="86" customWidth="1"/>
    <col min="13323" max="13323" width="7.375" style="86" customWidth="1"/>
    <col min="13324" max="13324" width="8.875" style="86"/>
    <col min="13325" max="13325" width="9.25" style="86" customWidth="1"/>
    <col min="13326" max="13326" width="3.5" style="86" customWidth="1"/>
    <col min="13327" max="13328" width="12.625" style="86" customWidth="1"/>
    <col min="13329" max="13329" width="8.875" style="86"/>
    <col min="13330" max="13330" width="7.75" style="86" customWidth="1"/>
    <col min="13331" max="13331" width="13.125" style="86" customWidth="1"/>
    <col min="13332" max="13332" width="6.125" style="86" customWidth="1"/>
    <col min="13333" max="13333" width="9.75" style="86" customWidth="1"/>
    <col min="13334" max="13334" width="1.375" style="86" customWidth="1"/>
    <col min="13335" max="13574" width="8.875" style="86"/>
    <col min="13575" max="13575" width="1.375" style="86" customWidth="1"/>
    <col min="13576" max="13576" width="3.5" style="86" customWidth="1"/>
    <col min="13577" max="13577" width="22.125" style="86" customWidth="1"/>
    <col min="13578" max="13578" width="9.75" style="86" customWidth="1"/>
    <col min="13579" max="13579" width="7.375" style="86" customWidth="1"/>
    <col min="13580" max="13580" width="8.875" style="86"/>
    <col min="13581" max="13581" width="9.25" style="86" customWidth="1"/>
    <col min="13582" max="13582" width="3.5" style="86" customWidth="1"/>
    <col min="13583" max="13584" width="12.625" style="86" customWidth="1"/>
    <col min="13585" max="13585" width="8.875" style="86"/>
    <col min="13586" max="13586" width="7.75" style="86" customWidth="1"/>
    <col min="13587" max="13587" width="13.125" style="86" customWidth="1"/>
    <col min="13588" max="13588" width="6.125" style="86" customWidth="1"/>
    <col min="13589" max="13589" width="9.75" style="86" customWidth="1"/>
    <col min="13590" max="13590" width="1.375" style="86" customWidth="1"/>
    <col min="13591" max="13830" width="8.875" style="86"/>
    <col min="13831" max="13831" width="1.375" style="86" customWidth="1"/>
    <col min="13832" max="13832" width="3.5" style="86" customWidth="1"/>
    <col min="13833" max="13833" width="22.125" style="86" customWidth="1"/>
    <col min="13834" max="13834" width="9.75" style="86" customWidth="1"/>
    <col min="13835" max="13835" width="7.375" style="86" customWidth="1"/>
    <col min="13836" max="13836" width="8.875" style="86"/>
    <col min="13837" max="13837" width="9.25" style="86" customWidth="1"/>
    <col min="13838" max="13838" width="3.5" style="86" customWidth="1"/>
    <col min="13839" max="13840" width="12.625" style="86" customWidth="1"/>
    <col min="13841" max="13841" width="8.875" style="86"/>
    <col min="13842" max="13842" width="7.75" style="86" customWidth="1"/>
    <col min="13843" max="13843" width="13.125" style="86" customWidth="1"/>
    <col min="13844" max="13844" width="6.125" style="86" customWidth="1"/>
    <col min="13845" max="13845" width="9.75" style="86" customWidth="1"/>
    <col min="13846" max="13846" width="1.375" style="86" customWidth="1"/>
    <col min="13847" max="14086" width="8.875" style="86"/>
    <col min="14087" max="14087" width="1.375" style="86" customWidth="1"/>
    <col min="14088" max="14088" width="3.5" style="86" customWidth="1"/>
    <col min="14089" max="14089" width="22.125" style="86" customWidth="1"/>
    <col min="14090" max="14090" width="9.75" style="86" customWidth="1"/>
    <col min="14091" max="14091" width="7.375" style="86" customWidth="1"/>
    <col min="14092" max="14092" width="8.875" style="86"/>
    <col min="14093" max="14093" width="9.25" style="86" customWidth="1"/>
    <col min="14094" max="14094" width="3.5" style="86" customWidth="1"/>
    <col min="14095" max="14096" width="12.625" style="86" customWidth="1"/>
    <col min="14097" max="14097" width="8.875" style="86"/>
    <col min="14098" max="14098" width="7.75" style="86" customWidth="1"/>
    <col min="14099" max="14099" width="13.125" style="86" customWidth="1"/>
    <col min="14100" max="14100" width="6.125" style="86" customWidth="1"/>
    <col min="14101" max="14101" width="9.75" style="86" customWidth="1"/>
    <col min="14102" max="14102" width="1.375" style="86" customWidth="1"/>
    <col min="14103" max="14342" width="8.875" style="86"/>
    <col min="14343" max="14343" width="1.375" style="86" customWidth="1"/>
    <col min="14344" max="14344" width="3.5" style="86" customWidth="1"/>
    <col min="14345" max="14345" width="22.125" style="86" customWidth="1"/>
    <col min="14346" max="14346" width="9.75" style="86" customWidth="1"/>
    <col min="14347" max="14347" width="7.375" style="86" customWidth="1"/>
    <col min="14348" max="14348" width="8.875" style="86"/>
    <col min="14349" max="14349" width="9.25" style="86" customWidth="1"/>
    <col min="14350" max="14350" width="3.5" style="86" customWidth="1"/>
    <col min="14351" max="14352" width="12.625" style="86" customWidth="1"/>
    <col min="14353" max="14353" width="8.875" style="86"/>
    <col min="14354" max="14354" width="7.75" style="86" customWidth="1"/>
    <col min="14355" max="14355" width="13.125" style="86" customWidth="1"/>
    <col min="14356" max="14356" width="6.125" style="86" customWidth="1"/>
    <col min="14357" max="14357" width="9.75" style="86" customWidth="1"/>
    <col min="14358" max="14358" width="1.375" style="86" customWidth="1"/>
    <col min="14359" max="14598" width="8.875" style="86"/>
    <col min="14599" max="14599" width="1.375" style="86" customWidth="1"/>
    <col min="14600" max="14600" width="3.5" style="86" customWidth="1"/>
    <col min="14601" max="14601" width="22.125" style="86" customWidth="1"/>
    <col min="14602" max="14602" width="9.75" style="86" customWidth="1"/>
    <col min="14603" max="14603" width="7.375" style="86" customWidth="1"/>
    <col min="14604" max="14604" width="8.875" style="86"/>
    <col min="14605" max="14605" width="9.25" style="86" customWidth="1"/>
    <col min="14606" max="14606" width="3.5" style="86" customWidth="1"/>
    <col min="14607" max="14608" width="12.625" style="86" customWidth="1"/>
    <col min="14609" max="14609" width="8.875" style="86"/>
    <col min="14610" max="14610" width="7.75" style="86" customWidth="1"/>
    <col min="14611" max="14611" width="13.125" style="86" customWidth="1"/>
    <col min="14612" max="14612" width="6.125" style="86" customWidth="1"/>
    <col min="14613" max="14613" width="9.75" style="86" customWidth="1"/>
    <col min="14614" max="14614" width="1.375" style="86" customWidth="1"/>
    <col min="14615" max="14854" width="8.875" style="86"/>
    <col min="14855" max="14855" width="1.375" style="86" customWidth="1"/>
    <col min="14856" max="14856" width="3.5" style="86" customWidth="1"/>
    <col min="14857" max="14857" width="22.125" style="86" customWidth="1"/>
    <col min="14858" max="14858" width="9.75" style="86" customWidth="1"/>
    <col min="14859" max="14859" width="7.375" style="86" customWidth="1"/>
    <col min="14860" max="14860" width="8.875" style="86"/>
    <col min="14861" max="14861" width="9.25" style="86" customWidth="1"/>
    <col min="14862" max="14862" width="3.5" style="86" customWidth="1"/>
    <col min="14863" max="14864" width="12.625" style="86" customWidth="1"/>
    <col min="14865" max="14865" width="8.875" style="86"/>
    <col min="14866" max="14866" width="7.75" style="86" customWidth="1"/>
    <col min="14867" max="14867" width="13.125" style="86" customWidth="1"/>
    <col min="14868" max="14868" width="6.125" style="86" customWidth="1"/>
    <col min="14869" max="14869" width="9.75" style="86" customWidth="1"/>
    <col min="14870" max="14870" width="1.375" style="86" customWidth="1"/>
    <col min="14871" max="15110" width="8.875" style="86"/>
    <col min="15111" max="15111" width="1.375" style="86" customWidth="1"/>
    <col min="15112" max="15112" width="3.5" style="86" customWidth="1"/>
    <col min="15113" max="15113" width="22.125" style="86" customWidth="1"/>
    <col min="15114" max="15114" width="9.75" style="86" customWidth="1"/>
    <col min="15115" max="15115" width="7.375" style="86" customWidth="1"/>
    <col min="15116" max="15116" width="8.875" style="86"/>
    <col min="15117" max="15117" width="9.25" style="86" customWidth="1"/>
    <col min="15118" max="15118" width="3.5" style="86" customWidth="1"/>
    <col min="15119" max="15120" width="12.625" style="86" customWidth="1"/>
    <col min="15121" max="15121" width="8.875" style="86"/>
    <col min="15122" max="15122" width="7.75" style="86" customWidth="1"/>
    <col min="15123" max="15123" width="13.125" style="86" customWidth="1"/>
    <col min="15124" max="15124" width="6.125" style="86" customWidth="1"/>
    <col min="15125" max="15125" width="9.75" style="86" customWidth="1"/>
    <col min="15126" max="15126" width="1.375" style="86" customWidth="1"/>
    <col min="15127" max="15366" width="8.875" style="86"/>
    <col min="15367" max="15367" width="1.375" style="86" customWidth="1"/>
    <col min="15368" max="15368" width="3.5" style="86" customWidth="1"/>
    <col min="15369" max="15369" width="22.125" style="86" customWidth="1"/>
    <col min="15370" max="15370" width="9.75" style="86" customWidth="1"/>
    <col min="15371" max="15371" width="7.375" style="86" customWidth="1"/>
    <col min="15372" max="15372" width="8.875" style="86"/>
    <col min="15373" max="15373" width="9.25" style="86" customWidth="1"/>
    <col min="15374" max="15374" width="3.5" style="86" customWidth="1"/>
    <col min="15375" max="15376" width="12.625" style="86" customWidth="1"/>
    <col min="15377" max="15377" width="8.875" style="86"/>
    <col min="15378" max="15378" width="7.75" style="86" customWidth="1"/>
    <col min="15379" max="15379" width="13.125" style="86" customWidth="1"/>
    <col min="15380" max="15380" width="6.125" style="86" customWidth="1"/>
    <col min="15381" max="15381" width="9.75" style="86" customWidth="1"/>
    <col min="15382" max="15382" width="1.375" style="86" customWidth="1"/>
    <col min="15383" max="15622" width="8.875" style="86"/>
    <col min="15623" max="15623" width="1.375" style="86" customWidth="1"/>
    <col min="15624" max="15624" width="3.5" style="86" customWidth="1"/>
    <col min="15625" max="15625" width="22.125" style="86" customWidth="1"/>
    <col min="15626" max="15626" width="9.75" style="86" customWidth="1"/>
    <col min="15627" max="15627" width="7.375" style="86" customWidth="1"/>
    <col min="15628" max="15628" width="8.875" style="86"/>
    <col min="15629" max="15629" width="9.25" style="86" customWidth="1"/>
    <col min="15630" max="15630" width="3.5" style="86" customWidth="1"/>
    <col min="15631" max="15632" width="12.625" style="86" customWidth="1"/>
    <col min="15633" max="15633" width="8.875" style="86"/>
    <col min="15634" max="15634" width="7.75" style="86" customWidth="1"/>
    <col min="15635" max="15635" width="13.125" style="86" customWidth="1"/>
    <col min="15636" max="15636" width="6.125" style="86" customWidth="1"/>
    <col min="15637" max="15637" width="9.75" style="86" customWidth="1"/>
    <col min="15638" max="15638" width="1.375" style="86" customWidth="1"/>
    <col min="15639" max="15878" width="8.875" style="86"/>
    <col min="15879" max="15879" width="1.375" style="86" customWidth="1"/>
    <col min="15880" max="15880" width="3.5" style="86" customWidth="1"/>
    <col min="15881" max="15881" width="22.125" style="86" customWidth="1"/>
    <col min="15882" max="15882" width="9.75" style="86" customWidth="1"/>
    <col min="15883" max="15883" width="7.375" style="86" customWidth="1"/>
    <col min="15884" max="15884" width="8.875" style="86"/>
    <col min="15885" max="15885" width="9.25" style="86" customWidth="1"/>
    <col min="15886" max="15886" width="3.5" style="86" customWidth="1"/>
    <col min="15887" max="15888" width="12.625" style="86" customWidth="1"/>
    <col min="15889" max="15889" width="8.875" style="86"/>
    <col min="15890" max="15890" width="7.75" style="86" customWidth="1"/>
    <col min="15891" max="15891" width="13.125" style="86" customWidth="1"/>
    <col min="15892" max="15892" width="6.125" style="86" customWidth="1"/>
    <col min="15893" max="15893" width="9.75" style="86" customWidth="1"/>
    <col min="15894" max="15894" width="1.375" style="86" customWidth="1"/>
    <col min="15895" max="16134" width="8.875" style="86"/>
    <col min="16135" max="16135" width="1.375" style="86" customWidth="1"/>
    <col min="16136" max="16136" width="3.5" style="86" customWidth="1"/>
    <col min="16137" max="16137" width="22.125" style="86" customWidth="1"/>
    <col min="16138" max="16138" width="9.75" style="86" customWidth="1"/>
    <col min="16139" max="16139" width="7.375" style="86" customWidth="1"/>
    <col min="16140" max="16140" width="8.875" style="86"/>
    <col min="16141" max="16141" width="9.25" style="86" customWidth="1"/>
    <col min="16142" max="16142" width="3.5" style="86" customWidth="1"/>
    <col min="16143" max="16144" width="12.625" style="86" customWidth="1"/>
    <col min="16145" max="16145" width="8.875" style="86"/>
    <col min="16146" max="16146" width="7.75" style="86" customWidth="1"/>
    <col min="16147" max="16147" width="13.125" style="86" customWidth="1"/>
    <col min="16148" max="16148" width="6.125" style="86" customWidth="1"/>
    <col min="16149" max="16149" width="9.75" style="86" customWidth="1"/>
    <col min="16150" max="16150" width="1.375" style="86" customWidth="1"/>
    <col min="16151" max="16384" width="8.875" style="86"/>
  </cols>
  <sheetData>
    <row r="1" spans="2:22" ht="9.9499999999999993" customHeight="1" x14ac:dyDescent="0.15"/>
    <row r="2" spans="2:22" ht="24.95" customHeight="1" x14ac:dyDescent="0.15">
      <c r="B2" s="1" t="s">
        <v>426</v>
      </c>
      <c r="C2" s="88"/>
      <c r="D2" s="13"/>
      <c r="E2" s="13"/>
      <c r="F2" s="88"/>
      <c r="G2" s="153"/>
      <c r="H2" s="163"/>
      <c r="I2" s="153"/>
      <c r="J2" s="153"/>
      <c r="K2" s="153"/>
      <c r="L2" s="153"/>
      <c r="M2" s="153"/>
      <c r="N2" s="153"/>
      <c r="O2" s="13"/>
    </row>
    <row r="3" spans="2:22" ht="15" customHeight="1" thickBot="1" x14ac:dyDescent="0.2">
      <c r="B3" s="86" t="s">
        <v>228</v>
      </c>
      <c r="C3" s="86" t="s">
        <v>427</v>
      </c>
      <c r="I3" s="13" t="s">
        <v>229</v>
      </c>
      <c r="P3" s="86" t="s">
        <v>249</v>
      </c>
    </row>
    <row r="4" spans="2:22" ht="15" customHeight="1" x14ac:dyDescent="0.15">
      <c r="B4" s="315" t="s">
        <v>89</v>
      </c>
      <c r="C4" s="202" t="s">
        <v>429</v>
      </c>
      <c r="D4" s="202" t="s">
        <v>430</v>
      </c>
      <c r="E4" s="202" t="s">
        <v>431</v>
      </c>
      <c r="F4" s="397" t="s">
        <v>432</v>
      </c>
      <c r="G4" s="190" t="s">
        <v>154</v>
      </c>
      <c r="H4" s="203"/>
      <c r="I4" s="962" t="s">
        <v>89</v>
      </c>
      <c r="J4" s="960" t="s">
        <v>194</v>
      </c>
      <c r="K4" s="374" t="s">
        <v>191</v>
      </c>
      <c r="L4" s="374" t="s">
        <v>155</v>
      </c>
      <c r="M4" s="970" t="s">
        <v>24</v>
      </c>
      <c r="N4" s="972" t="s">
        <v>154</v>
      </c>
      <c r="O4" s="221"/>
      <c r="P4" s="316" t="s">
        <v>197</v>
      </c>
      <c r="Q4" s="317" t="s">
        <v>198</v>
      </c>
      <c r="R4" s="317" t="s">
        <v>199</v>
      </c>
      <c r="S4" s="317" t="s">
        <v>200</v>
      </c>
      <c r="T4" s="964" t="s">
        <v>201</v>
      </c>
      <c r="U4" s="850"/>
      <c r="V4" s="318" t="s">
        <v>202</v>
      </c>
    </row>
    <row r="5" spans="2:22" ht="15" customHeight="1" x14ac:dyDescent="0.15">
      <c r="B5" s="798" t="s">
        <v>428</v>
      </c>
      <c r="C5" s="107">
        <f>44700</f>
        <v>44700</v>
      </c>
      <c r="D5" s="85">
        <v>6000</v>
      </c>
      <c r="E5" s="96">
        <v>2</v>
      </c>
      <c r="F5" s="107">
        <v>2</v>
      </c>
      <c r="G5" s="191">
        <f>(C5+D5)*E5*F5</f>
        <v>202800</v>
      </c>
      <c r="H5" s="204"/>
      <c r="I5" s="963"/>
      <c r="J5" s="961"/>
      <c r="K5" s="375" t="s">
        <v>156</v>
      </c>
      <c r="L5" s="375" t="s">
        <v>306</v>
      </c>
      <c r="M5" s="971"/>
      <c r="N5" s="973"/>
      <c r="O5" s="221"/>
      <c r="P5" s="319"/>
      <c r="Q5" s="188"/>
      <c r="R5" s="469"/>
      <c r="S5" s="188"/>
      <c r="T5" s="955"/>
      <c r="U5" s="956"/>
      <c r="V5" s="211"/>
    </row>
    <row r="6" spans="2:22" ht="15" customHeight="1" x14ac:dyDescent="0.15">
      <c r="B6" s="799"/>
      <c r="C6" s="85"/>
      <c r="D6" s="85"/>
      <c r="E6" s="96"/>
      <c r="F6" s="85"/>
      <c r="G6" s="191">
        <f>(C6+D6)*E6*F6</f>
        <v>0</v>
      </c>
      <c r="H6" s="204"/>
      <c r="I6" s="966" t="s">
        <v>428</v>
      </c>
      <c r="J6" s="353" t="s">
        <v>303</v>
      </c>
      <c r="K6" s="376">
        <v>10.6</v>
      </c>
      <c r="L6" s="376">
        <v>13</v>
      </c>
      <c r="M6" s="489">
        <v>84.7</v>
      </c>
      <c r="N6" s="377">
        <f>K6*L6*M6</f>
        <v>11671.66</v>
      </c>
      <c r="O6" s="221"/>
      <c r="P6" s="319"/>
      <c r="Q6" s="188"/>
      <c r="R6" s="469"/>
      <c r="S6" s="188"/>
      <c r="T6" s="955"/>
      <c r="U6" s="956"/>
      <c r="V6" s="211"/>
    </row>
    <row r="7" spans="2:22" ht="15" customHeight="1" thickBot="1" x14ac:dyDescent="0.2">
      <c r="B7" s="931"/>
      <c r="C7" s="193" t="s">
        <v>157</v>
      </c>
      <c r="D7" s="193"/>
      <c r="E7" s="193"/>
      <c r="F7" s="193"/>
      <c r="G7" s="194">
        <f>SUM(G5:G6)</f>
        <v>202800</v>
      </c>
      <c r="H7" s="204"/>
      <c r="I7" s="967"/>
      <c r="J7" s="353"/>
      <c r="K7" s="376"/>
      <c r="L7" s="376"/>
      <c r="M7" s="489"/>
      <c r="N7" s="377"/>
      <c r="O7" s="221"/>
      <c r="P7" s="319"/>
      <c r="Q7" s="188"/>
      <c r="R7" s="469"/>
      <c r="S7" s="188"/>
      <c r="T7" s="955"/>
      <c r="U7" s="956"/>
      <c r="V7" s="211"/>
    </row>
    <row r="8" spans="2:22" ht="15" customHeight="1" thickTop="1" x14ac:dyDescent="0.15">
      <c r="B8" s="930" t="s">
        <v>433</v>
      </c>
      <c r="C8" s="85">
        <f>47200</f>
        <v>47200</v>
      </c>
      <c r="D8" s="85">
        <v>6000</v>
      </c>
      <c r="E8" s="96">
        <v>2</v>
      </c>
      <c r="F8" s="85">
        <v>2</v>
      </c>
      <c r="G8" s="191">
        <f>(C8+D8)*E8*F8</f>
        <v>212800</v>
      </c>
      <c r="H8" s="204"/>
      <c r="I8" s="967"/>
      <c r="J8" s="353"/>
      <c r="K8" s="376"/>
      <c r="L8" s="376"/>
      <c r="M8" s="489"/>
      <c r="N8" s="377"/>
      <c r="O8" s="221"/>
      <c r="P8" s="319"/>
      <c r="Q8" s="188"/>
      <c r="R8" s="469"/>
      <c r="S8" s="188"/>
      <c r="T8" s="955"/>
      <c r="U8" s="956"/>
      <c r="V8" s="211"/>
    </row>
    <row r="9" spans="2:22" ht="15" customHeight="1" x14ac:dyDescent="0.15">
      <c r="B9" s="799"/>
      <c r="C9" s="85"/>
      <c r="D9" s="85"/>
      <c r="E9" s="96"/>
      <c r="F9" s="85"/>
      <c r="G9" s="192">
        <f t="shared" ref="G9:G10" si="0">(C9+D9)*E9*F9</f>
        <v>0</v>
      </c>
      <c r="H9" s="204"/>
      <c r="I9" s="967"/>
      <c r="J9" s="385"/>
      <c r="K9" s="386"/>
      <c r="L9" s="386"/>
      <c r="M9" s="489"/>
      <c r="N9" s="387"/>
      <c r="O9" s="221"/>
      <c r="P9" s="319"/>
      <c r="Q9" s="188"/>
      <c r="R9" s="469"/>
      <c r="S9" s="188"/>
      <c r="T9" s="955"/>
      <c r="U9" s="956"/>
      <c r="V9" s="211"/>
    </row>
    <row r="10" spans="2:22" ht="15" customHeight="1" x14ac:dyDescent="0.15">
      <c r="B10" s="799"/>
      <c r="C10" s="85"/>
      <c r="D10" s="85"/>
      <c r="E10" s="96"/>
      <c r="F10" s="85"/>
      <c r="G10" s="192">
        <f t="shared" si="0"/>
        <v>0</v>
      </c>
      <c r="H10" s="204"/>
      <c r="I10" s="967"/>
      <c r="J10" s="391"/>
      <c r="K10" s="392"/>
      <c r="L10" s="392"/>
      <c r="M10" s="489"/>
      <c r="N10" s="393"/>
      <c r="O10" s="221"/>
      <c r="P10" s="319"/>
      <c r="Q10" s="388"/>
      <c r="R10" s="389"/>
      <c r="S10" s="388"/>
      <c r="T10" s="390"/>
      <c r="U10" s="480"/>
      <c r="V10" s="211"/>
    </row>
    <row r="11" spans="2:22" ht="15" customHeight="1" thickBot="1" x14ac:dyDescent="0.2">
      <c r="B11" s="931"/>
      <c r="C11" s="195" t="s">
        <v>158</v>
      </c>
      <c r="D11" s="196"/>
      <c r="E11" s="196"/>
      <c r="F11" s="196"/>
      <c r="G11" s="197">
        <f>SUM(G8:G10)</f>
        <v>212800</v>
      </c>
      <c r="H11" s="204"/>
      <c r="I11" s="967"/>
      <c r="J11" s="394"/>
      <c r="K11" s="395"/>
      <c r="L11" s="395"/>
      <c r="M11" s="489"/>
      <c r="N11" s="396"/>
      <c r="O11" s="221"/>
      <c r="P11" s="319"/>
      <c r="Q11" s="188"/>
      <c r="R11" s="469"/>
      <c r="S11" s="188"/>
      <c r="T11" s="955"/>
      <c r="U11" s="956"/>
      <c r="V11" s="211"/>
    </row>
    <row r="12" spans="2:22" ht="15" customHeight="1" thickTop="1" thickBot="1" x14ac:dyDescent="0.2">
      <c r="B12" s="930" t="s">
        <v>316</v>
      </c>
      <c r="C12" s="85">
        <v>44700</v>
      </c>
      <c r="D12" s="85">
        <v>6000</v>
      </c>
      <c r="E12" s="96">
        <v>2</v>
      </c>
      <c r="F12" s="107">
        <v>1</v>
      </c>
      <c r="G12" s="192">
        <f>(C12+D12)*E12*F12</f>
        <v>101400</v>
      </c>
      <c r="H12" s="204"/>
      <c r="I12" s="968"/>
      <c r="J12" s="372" t="s">
        <v>254</v>
      </c>
      <c r="K12" s="373">
        <f>SUM(K6:K9)</f>
        <v>10.6</v>
      </c>
      <c r="L12" s="373">
        <f>SUM(L6:L11)</f>
        <v>13</v>
      </c>
      <c r="M12" s="373"/>
      <c r="N12" s="378">
        <f>SUM(N6:N11)</f>
        <v>11671.66</v>
      </c>
      <c r="O12" s="221"/>
      <c r="P12" s="319"/>
      <c r="Q12" s="188"/>
      <c r="R12" s="469"/>
      <c r="S12" s="188"/>
      <c r="T12" s="955"/>
      <c r="U12" s="956"/>
      <c r="V12" s="211"/>
    </row>
    <row r="13" spans="2:22" ht="15" customHeight="1" thickTop="1" x14ac:dyDescent="0.15">
      <c r="B13" s="799"/>
      <c r="C13" s="85"/>
      <c r="D13" s="85"/>
      <c r="E13" s="96"/>
      <c r="F13" s="85"/>
      <c r="G13" s="192">
        <f t="shared" ref="G13:G15" si="1">(C13+D13)*E13*F13</f>
        <v>0</v>
      </c>
      <c r="H13" s="204"/>
      <c r="I13" s="939" t="s">
        <v>433</v>
      </c>
      <c r="J13" s="353" t="s">
        <v>304</v>
      </c>
      <c r="K13" s="376">
        <v>5.4</v>
      </c>
      <c r="L13" s="376">
        <v>11.5</v>
      </c>
      <c r="M13" s="489">
        <v>84.7</v>
      </c>
      <c r="N13" s="377">
        <v>5259.87</v>
      </c>
      <c r="O13" s="221"/>
      <c r="P13" s="319"/>
      <c r="Q13" s="188"/>
      <c r="R13" s="469"/>
      <c r="S13" s="188"/>
      <c r="T13" s="955"/>
      <c r="U13" s="956"/>
      <c r="V13" s="211"/>
    </row>
    <row r="14" spans="2:22" ht="15" customHeight="1" x14ac:dyDescent="0.15">
      <c r="B14" s="799"/>
      <c r="C14" s="85"/>
      <c r="D14" s="85"/>
      <c r="E14" s="96"/>
      <c r="F14" s="85"/>
      <c r="G14" s="192">
        <f t="shared" si="1"/>
        <v>0</v>
      </c>
      <c r="H14" s="204"/>
      <c r="I14" s="940"/>
      <c r="J14" s="353"/>
      <c r="K14" s="376"/>
      <c r="L14" s="376"/>
      <c r="M14" s="489"/>
      <c r="N14" s="377">
        <f t="shared" ref="N14:N15" si="2">K14*L14*M14</f>
        <v>0</v>
      </c>
      <c r="O14" s="221"/>
      <c r="P14" s="319"/>
      <c r="Q14" s="188"/>
      <c r="R14" s="469"/>
      <c r="S14" s="188"/>
      <c r="T14" s="955"/>
      <c r="U14" s="956"/>
      <c r="V14" s="211"/>
    </row>
    <row r="15" spans="2:22" ht="15" customHeight="1" x14ac:dyDescent="0.15">
      <c r="B15" s="799"/>
      <c r="C15" s="85"/>
      <c r="D15" s="85"/>
      <c r="E15" s="85"/>
      <c r="F15" s="85"/>
      <c r="G15" s="192">
        <f t="shared" si="1"/>
        <v>0</v>
      </c>
      <c r="H15" s="204"/>
      <c r="I15" s="940"/>
      <c r="J15" s="353"/>
      <c r="K15" s="376"/>
      <c r="L15" s="376"/>
      <c r="M15" s="489"/>
      <c r="N15" s="377">
        <f t="shared" si="2"/>
        <v>0</v>
      </c>
      <c r="O15" s="221"/>
      <c r="P15" s="319"/>
      <c r="Q15" s="188"/>
      <c r="R15" s="469"/>
      <c r="S15" s="188"/>
      <c r="T15" s="955"/>
      <c r="U15" s="956"/>
      <c r="V15" s="211"/>
    </row>
    <row r="16" spans="2:22" ht="15" customHeight="1" thickBot="1" x14ac:dyDescent="0.2">
      <c r="B16" s="931"/>
      <c r="C16" s="195" t="s">
        <v>158</v>
      </c>
      <c r="D16" s="196"/>
      <c r="E16" s="196"/>
      <c r="F16" s="196"/>
      <c r="G16" s="197">
        <f>SUM(G12:G15)</f>
        <v>101400</v>
      </c>
      <c r="H16" s="204"/>
      <c r="I16" s="941"/>
      <c r="J16" s="320" t="s">
        <v>254</v>
      </c>
      <c r="K16" s="207">
        <f>SUM(K13:K15)</f>
        <v>5.4</v>
      </c>
      <c r="L16" s="207">
        <f>SUM(L13:L15)</f>
        <v>11.5</v>
      </c>
      <c r="M16" s="490"/>
      <c r="N16" s="379">
        <f>SUM(N13:N15)</f>
        <v>5259.87</v>
      </c>
      <c r="O16" s="221"/>
      <c r="P16" s="319"/>
      <c r="Q16" s="188"/>
      <c r="R16" s="469"/>
      <c r="S16" s="188"/>
      <c r="T16" s="955"/>
      <c r="U16" s="956"/>
      <c r="V16" s="211"/>
    </row>
    <row r="17" spans="2:22" ht="15" customHeight="1" thickTop="1" x14ac:dyDescent="0.15">
      <c r="B17" s="930" t="s">
        <v>324</v>
      </c>
      <c r="C17" s="85">
        <v>134400</v>
      </c>
      <c r="D17" s="85">
        <v>6000</v>
      </c>
      <c r="E17" s="96">
        <v>2</v>
      </c>
      <c r="F17" s="85">
        <v>1</v>
      </c>
      <c r="G17" s="192">
        <f>(C17+D17)*E17*F17</f>
        <v>280800</v>
      </c>
      <c r="H17" s="204"/>
      <c r="I17" s="939" t="s">
        <v>316</v>
      </c>
      <c r="J17" s="353" t="s">
        <v>305</v>
      </c>
      <c r="K17" s="376">
        <v>2.8</v>
      </c>
      <c r="L17" s="376">
        <v>3.3</v>
      </c>
      <c r="M17" s="489">
        <v>158.4</v>
      </c>
      <c r="N17" s="377">
        <v>1463.6159999999998</v>
      </c>
      <c r="O17" s="221"/>
      <c r="P17" s="319"/>
      <c r="Q17" s="188"/>
      <c r="R17" s="469"/>
      <c r="S17" s="188"/>
      <c r="T17" s="955"/>
      <c r="U17" s="956"/>
      <c r="V17" s="211"/>
    </row>
    <row r="18" spans="2:22" ht="15" customHeight="1" x14ac:dyDescent="0.15">
      <c r="B18" s="799"/>
      <c r="C18" s="85"/>
      <c r="D18" s="85"/>
      <c r="E18" s="96"/>
      <c r="F18" s="85"/>
      <c r="G18" s="192">
        <f>D18*F18</f>
        <v>0</v>
      </c>
      <c r="H18" s="204"/>
      <c r="I18" s="940"/>
      <c r="J18" s="353"/>
      <c r="K18" s="376"/>
      <c r="L18" s="376"/>
      <c r="M18" s="489"/>
      <c r="N18" s="377">
        <f t="shared" ref="N18:N19" si="3">K18*L18*M18</f>
        <v>0</v>
      </c>
      <c r="O18" s="221"/>
      <c r="P18" s="319"/>
      <c r="Q18" s="188"/>
      <c r="R18" s="469"/>
      <c r="S18" s="188"/>
      <c r="T18" s="955"/>
      <c r="U18" s="956"/>
      <c r="V18" s="211"/>
    </row>
    <row r="19" spans="2:22" ht="15" customHeight="1" x14ac:dyDescent="0.15">
      <c r="B19" s="799"/>
      <c r="C19" s="85"/>
      <c r="D19" s="85"/>
      <c r="E19" s="85"/>
      <c r="F19" s="85"/>
      <c r="G19" s="192">
        <f t="shared" ref="G19" si="4">D19*F19</f>
        <v>0</v>
      </c>
      <c r="H19" s="204"/>
      <c r="I19" s="940"/>
      <c r="J19" s="353"/>
      <c r="K19" s="376"/>
      <c r="L19" s="376"/>
      <c r="M19" s="489"/>
      <c r="N19" s="377">
        <f t="shared" si="3"/>
        <v>0</v>
      </c>
      <c r="O19" s="221"/>
      <c r="P19" s="319"/>
      <c r="Q19" s="188"/>
      <c r="R19" s="469"/>
      <c r="S19" s="188"/>
      <c r="T19" s="955"/>
      <c r="U19" s="956"/>
      <c r="V19" s="211"/>
    </row>
    <row r="20" spans="2:22" ht="15" customHeight="1" thickBot="1" x14ac:dyDescent="0.2">
      <c r="B20" s="931"/>
      <c r="C20" s="195" t="s">
        <v>158</v>
      </c>
      <c r="D20" s="196"/>
      <c r="E20" s="196"/>
      <c r="F20" s="196"/>
      <c r="G20" s="197">
        <f>SUM(G17:G19)</f>
        <v>280800</v>
      </c>
      <c r="H20" s="204"/>
      <c r="I20" s="941"/>
      <c r="J20" s="320" t="s">
        <v>254</v>
      </c>
      <c r="K20" s="207">
        <f>SUM(K17:K19)</f>
        <v>2.8</v>
      </c>
      <c r="L20" s="208">
        <f>SUM(L17:L19)</f>
        <v>3.3</v>
      </c>
      <c r="M20" s="491"/>
      <c r="N20" s="379">
        <f>SUM(N17:N19)</f>
        <v>1463.6159999999998</v>
      </c>
      <c r="O20" s="221"/>
      <c r="P20" s="319"/>
      <c r="Q20" s="188"/>
      <c r="R20" s="469"/>
      <c r="S20" s="188"/>
      <c r="T20" s="955"/>
      <c r="U20" s="956"/>
      <c r="V20" s="211"/>
    </row>
    <row r="21" spans="2:22" ht="15" customHeight="1" thickTop="1" thickBot="1" x14ac:dyDescent="0.2">
      <c r="B21" s="930" t="s">
        <v>448</v>
      </c>
      <c r="C21" s="85">
        <v>37</v>
      </c>
      <c r="D21" s="85"/>
      <c r="E21" s="96"/>
      <c r="F21" s="85">
        <v>1000</v>
      </c>
      <c r="G21" s="192">
        <f>C21*F21</f>
        <v>37000</v>
      </c>
      <c r="H21" s="204"/>
      <c r="I21" s="939" t="s">
        <v>324</v>
      </c>
      <c r="J21" s="385" t="s">
        <v>307</v>
      </c>
      <c r="K21" s="386">
        <v>3.5</v>
      </c>
      <c r="L21" s="386">
        <v>5</v>
      </c>
      <c r="M21" s="489">
        <v>84.7</v>
      </c>
      <c r="N21" s="387">
        <f t="shared" ref="N21" si="5">K21*L21*M21</f>
        <v>1482.25</v>
      </c>
      <c r="O21" s="221"/>
      <c r="P21" s="212" t="s">
        <v>29</v>
      </c>
      <c r="Q21" s="213"/>
      <c r="R21" s="213"/>
      <c r="S21" s="213"/>
      <c r="T21" s="974"/>
      <c r="U21" s="975"/>
      <c r="V21" s="214">
        <f>SUM(V5:V20)</f>
        <v>0</v>
      </c>
    </row>
    <row r="22" spans="2:22" ht="15" customHeight="1" x14ac:dyDescent="0.15">
      <c r="B22" s="799"/>
      <c r="C22" s="85"/>
      <c r="D22" s="85"/>
      <c r="E22" s="96"/>
      <c r="F22" s="85"/>
      <c r="G22" s="192"/>
      <c r="H22" s="204"/>
      <c r="I22" s="940"/>
      <c r="J22" s="353"/>
      <c r="K22" s="376"/>
      <c r="L22" s="376"/>
      <c r="M22" s="489"/>
      <c r="N22" s="377">
        <f t="shared" ref="N22:N23" si="6">K22*L22*M22</f>
        <v>0</v>
      </c>
      <c r="O22" s="221"/>
    </row>
    <row r="23" spans="2:22" ht="15" customHeight="1" thickBot="1" x14ac:dyDescent="0.2">
      <c r="B23" s="799"/>
      <c r="C23" s="85"/>
      <c r="D23" s="85"/>
      <c r="E23" s="96"/>
      <c r="F23" s="85"/>
      <c r="G23" s="192"/>
      <c r="H23" s="204"/>
      <c r="I23" s="940"/>
      <c r="J23" s="353"/>
      <c r="K23" s="376"/>
      <c r="L23" s="376"/>
      <c r="M23" s="489"/>
      <c r="N23" s="377">
        <f t="shared" si="6"/>
        <v>0</v>
      </c>
      <c r="O23" s="221"/>
      <c r="P23" s="86" t="s">
        <v>250</v>
      </c>
    </row>
    <row r="24" spans="2:22" ht="15" customHeight="1" thickBot="1" x14ac:dyDescent="0.2">
      <c r="B24" s="957"/>
      <c r="C24" s="198" t="s">
        <v>159</v>
      </c>
      <c r="D24" s="199"/>
      <c r="E24" s="199"/>
      <c r="F24" s="206"/>
      <c r="G24" s="200">
        <f>SUM(G21:G23)</f>
        <v>37000</v>
      </c>
      <c r="H24" s="204"/>
      <c r="I24" s="941"/>
      <c r="J24" s="320" t="s">
        <v>254</v>
      </c>
      <c r="K24" s="207">
        <f>SUM(K21:K23)</f>
        <v>3.5</v>
      </c>
      <c r="L24" s="208">
        <f>SUM(L21:L23)</f>
        <v>5</v>
      </c>
      <c r="M24" s="491"/>
      <c r="N24" s="379">
        <f>SUM(N21:N23)</f>
        <v>1482.25</v>
      </c>
      <c r="O24" s="221"/>
      <c r="P24" s="316" t="s">
        <v>203</v>
      </c>
      <c r="Q24" s="317" t="s">
        <v>198</v>
      </c>
      <c r="R24" s="317" t="s">
        <v>199</v>
      </c>
      <c r="S24" s="317" t="s">
        <v>200</v>
      </c>
      <c r="T24" s="317" t="s">
        <v>201</v>
      </c>
      <c r="U24" s="481" t="s">
        <v>204</v>
      </c>
      <c r="V24" s="318" t="s">
        <v>202</v>
      </c>
    </row>
    <row r="25" spans="2:22" ht="15" customHeight="1" thickTop="1" x14ac:dyDescent="0.15">
      <c r="I25" s="939" t="s">
        <v>434</v>
      </c>
      <c r="J25" s="353"/>
      <c r="K25" s="376"/>
      <c r="L25" s="376"/>
      <c r="M25" s="489"/>
      <c r="N25" s="377"/>
      <c r="O25" s="221"/>
      <c r="P25" s="319" t="s">
        <v>411</v>
      </c>
      <c r="Q25" s="188">
        <v>10</v>
      </c>
      <c r="R25" s="469" t="s">
        <v>253</v>
      </c>
      <c r="S25" s="468">
        <v>500</v>
      </c>
      <c r="T25" s="188">
        <v>2</v>
      </c>
      <c r="U25" s="189">
        <f>'１　対象経営の概要，２　前提条件'!$N$7+'１　対象経営の概要，２　前提条件'!$Y$7+'１　対象経営の概要，２　前提条件'!$N$8+'１　対象経営の概要，２　前提条件'!$N$9</f>
        <v>15</v>
      </c>
      <c r="V25" s="211">
        <f>Q25*S25/T25/U25</f>
        <v>166.66666666666666</v>
      </c>
    </row>
    <row r="26" spans="2:22" ht="15" customHeight="1" thickBot="1" x14ac:dyDescent="0.2">
      <c r="B26" s="13" t="s">
        <v>258</v>
      </c>
      <c r="C26" s="13"/>
      <c r="D26" s="88"/>
      <c r="E26" s="13"/>
      <c r="F26" s="88"/>
      <c r="G26" s="92"/>
      <c r="H26" s="205"/>
      <c r="I26" s="940"/>
      <c r="J26" s="353"/>
      <c r="K26" s="376"/>
      <c r="L26" s="376"/>
      <c r="M26" s="489"/>
      <c r="N26" s="377"/>
      <c r="O26" s="221"/>
      <c r="P26" s="319"/>
      <c r="Q26" s="188"/>
      <c r="R26" s="469"/>
      <c r="S26" s="188"/>
      <c r="T26" s="188"/>
      <c r="U26" s="189"/>
      <c r="V26" s="211"/>
    </row>
    <row r="27" spans="2:22" ht="15" customHeight="1" x14ac:dyDescent="0.15">
      <c r="B27" s="315" t="s">
        <v>89</v>
      </c>
      <c r="C27" s="202" t="s">
        <v>151</v>
      </c>
      <c r="D27" s="202" t="s">
        <v>152</v>
      </c>
      <c r="E27" s="202" t="s">
        <v>153</v>
      </c>
      <c r="F27" s="397" t="s">
        <v>24</v>
      </c>
      <c r="G27" s="190" t="s">
        <v>154</v>
      </c>
      <c r="H27" s="203"/>
      <c r="I27" s="940"/>
      <c r="J27" s="353"/>
      <c r="K27" s="376"/>
      <c r="L27" s="376"/>
      <c r="M27" s="489"/>
      <c r="N27" s="377"/>
      <c r="O27" s="221"/>
      <c r="P27" s="319"/>
      <c r="Q27" s="188"/>
      <c r="R27" s="469"/>
      <c r="S27" s="188"/>
      <c r="T27" s="188"/>
      <c r="U27" s="189"/>
      <c r="V27" s="211"/>
    </row>
    <row r="28" spans="2:22" ht="15" customHeight="1" thickBot="1" x14ac:dyDescent="0.2">
      <c r="B28" s="798" t="s">
        <v>30</v>
      </c>
      <c r="C28" s="85"/>
      <c r="D28" s="85"/>
      <c r="E28" s="96"/>
      <c r="F28" s="85"/>
      <c r="G28" s="191">
        <v>0</v>
      </c>
      <c r="H28" s="204"/>
      <c r="I28" s="941"/>
      <c r="J28" s="320" t="s">
        <v>254</v>
      </c>
      <c r="K28" s="207">
        <f>SUM(K25:K27)</f>
        <v>0</v>
      </c>
      <c r="L28" s="208">
        <f>SUM(L25:L27)</f>
        <v>0</v>
      </c>
      <c r="M28" s="491"/>
      <c r="N28" s="379">
        <f>SUM(N25:N27)</f>
        <v>0</v>
      </c>
      <c r="O28" s="221"/>
      <c r="P28" s="319"/>
      <c r="Q28" s="188"/>
      <c r="R28" s="469"/>
      <c r="S28" s="188"/>
      <c r="T28" s="188"/>
      <c r="U28" s="189"/>
      <c r="V28" s="211"/>
    </row>
    <row r="29" spans="2:22" ht="15" customHeight="1" thickTop="1" x14ac:dyDescent="0.15">
      <c r="B29" s="799"/>
      <c r="C29" s="370"/>
      <c r="D29" s="353"/>
      <c r="E29" s="96"/>
      <c r="F29" s="353"/>
      <c r="G29" s="191">
        <v>0</v>
      </c>
      <c r="H29" s="204"/>
      <c r="I29" s="939" t="s">
        <v>188</v>
      </c>
      <c r="J29" s="353" t="s">
        <v>310</v>
      </c>
      <c r="K29" s="376">
        <v>1.2</v>
      </c>
      <c r="L29" s="376">
        <v>3</v>
      </c>
      <c r="M29" s="489">
        <v>84.7</v>
      </c>
      <c r="N29" s="377">
        <v>304.91999999999996</v>
      </c>
      <c r="O29" s="221"/>
      <c r="P29" s="319"/>
      <c r="Q29" s="188"/>
      <c r="R29" s="469"/>
      <c r="S29" s="188"/>
      <c r="T29" s="188"/>
      <c r="U29" s="352"/>
      <c r="V29" s="211"/>
    </row>
    <row r="30" spans="2:22" ht="15" customHeight="1" x14ac:dyDescent="0.15">
      <c r="B30" s="799"/>
      <c r="C30" s="85"/>
      <c r="D30" s="85"/>
      <c r="E30" s="96"/>
      <c r="F30" s="85"/>
      <c r="G30" s="191">
        <v>0</v>
      </c>
      <c r="H30" s="204"/>
      <c r="I30" s="940"/>
      <c r="J30" s="353" t="s">
        <v>308</v>
      </c>
      <c r="K30" s="376">
        <v>2</v>
      </c>
      <c r="L30" s="376">
        <v>3.5</v>
      </c>
      <c r="M30" s="489">
        <v>84.7</v>
      </c>
      <c r="N30" s="377">
        <v>592.9</v>
      </c>
      <c r="O30" s="87"/>
      <c r="P30" s="319"/>
      <c r="Q30" s="188"/>
      <c r="R30" s="469"/>
      <c r="S30" s="188"/>
      <c r="T30" s="188"/>
      <c r="U30" s="352"/>
      <c r="V30" s="211"/>
    </row>
    <row r="31" spans="2:22" ht="15" customHeight="1" x14ac:dyDescent="0.15">
      <c r="B31" s="799"/>
      <c r="C31" s="370"/>
      <c r="D31" s="353"/>
      <c r="E31" s="96"/>
      <c r="F31" s="353"/>
      <c r="G31" s="191">
        <v>0</v>
      </c>
      <c r="H31" s="204"/>
      <c r="I31" s="940"/>
      <c r="J31" s="353" t="s">
        <v>309</v>
      </c>
      <c r="K31" s="376">
        <v>24.5</v>
      </c>
      <c r="L31" s="376">
        <v>0.95</v>
      </c>
      <c r="M31" s="489">
        <v>14</v>
      </c>
      <c r="N31" s="377">
        <f t="shared" ref="N31" si="7">K31*L31*M31</f>
        <v>325.84999999999997</v>
      </c>
      <c r="P31" s="319"/>
      <c r="Q31" s="188"/>
      <c r="R31" s="469"/>
      <c r="S31" s="188"/>
      <c r="T31" s="188"/>
      <c r="U31" s="189"/>
      <c r="V31" s="211"/>
    </row>
    <row r="32" spans="2:22" ht="15" customHeight="1" thickBot="1" x14ac:dyDescent="0.2">
      <c r="B32" s="799"/>
      <c r="C32" s="353"/>
      <c r="D32" s="353"/>
      <c r="E32" s="96"/>
      <c r="F32" s="353"/>
      <c r="G32" s="191">
        <v>0</v>
      </c>
      <c r="H32" s="204"/>
      <c r="I32" s="944"/>
      <c r="J32" s="380" t="s">
        <v>254</v>
      </c>
      <c r="K32" s="381">
        <f>SUM(K29:K31)</f>
        <v>27.7</v>
      </c>
      <c r="L32" s="382">
        <f>SUM(L29:L31)</f>
        <v>7.45</v>
      </c>
      <c r="M32" s="492"/>
      <c r="N32" s="384">
        <f>SUM(N29:N31)</f>
        <v>1223.6699999999998</v>
      </c>
      <c r="P32" s="319"/>
      <c r="Q32" s="188"/>
      <c r="R32" s="469"/>
      <c r="S32" s="188"/>
      <c r="T32" s="188"/>
      <c r="U32" s="189"/>
      <c r="V32" s="211"/>
    </row>
    <row r="33" spans="2:22" ht="15" customHeight="1" x14ac:dyDescent="0.15">
      <c r="B33" s="799"/>
      <c r="C33" s="353"/>
      <c r="D33" s="353"/>
      <c r="E33" s="96"/>
      <c r="F33" s="353"/>
      <c r="G33" s="192">
        <f t="shared" ref="G33:G37" si="8">D33*F33</f>
        <v>0</v>
      </c>
      <c r="H33" s="204"/>
      <c r="I33" s="182"/>
      <c r="J33" s="182"/>
      <c r="K33" s="182"/>
      <c r="L33" s="182"/>
      <c r="M33" s="182"/>
      <c r="N33" s="182"/>
      <c r="P33" s="319"/>
      <c r="Q33" s="188"/>
      <c r="R33" s="469"/>
      <c r="S33" s="188"/>
      <c r="T33" s="188"/>
      <c r="U33" s="189"/>
      <c r="V33" s="211"/>
    </row>
    <row r="34" spans="2:22" ht="15" customHeight="1" thickBot="1" x14ac:dyDescent="0.2">
      <c r="B34" s="799"/>
      <c r="C34" s="353"/>
      <c r="D34" s="353"/>
      <c r="E34" s="96"/>
      <c r="F34" s="353"/>
      <c r="G34" s="192">
        <f t="shared" si="8"/>
        <v>0</v>
      </c>
      <c r="H34" s="204"/>
      <c r="I34" s="172" t="s">
        <v>248</v>
      </c>
      <c r="J34" s="172"/>
      <c r="K34" s="172"/>
      <c r="L34" s="172"/>
      <c r="M34" s="172"/>
      <c r="P34" s="322" t="s">
        <v>241</v>
      </c>
      <c r="Q34" s="213"/>
      <c r="R34" s="213"/>
      <c r="S34" s="213"/>
      <c r="T34" s="213"/>
      <c r="U34" s="215"/>
      <c r="V34" s="214">
        <f>SUM(V25:V33)</f>
        <v>166.66666666666666</v>
      </c>
    </row>
    <row r="35" spans="2:22" ht="15" customHeight="1" x14ac:dyDescent="0.15">
      <c r="B35" s="799"/>
      <c r="C35" s="353"/>
      <c r="D35" s="353"/>
      <c r="E35" s="96"/>
      <c r="F35" s="353"/>
      <c r="G35" s="192">
        <f t="shared" si="8"/>
        <v>0</v>
      </c>
      <c r="H35" s="204"/>
      <c r="I35" s="295" t="s">
        <v>236</v>
      </c>
      <c r="J35" s="296" t="s">
        <v>5</v>
      </c>
      <c r="K35" s="942" t="s">
        <v>237</v>
      </c>
      <c r="L35" s="943"/>
      <c r="M35" s="323" t="s">
        <v>204</v>
      </c>
      <c r="N35" s="321" t="s">
        <v>260</v>
      </c>
    </row>
    <row r="36" spans="2:22" ht="15" customHeight="1" thickBot="1" x14ac:dyDescent="0.2">
      <c r="B36" s="799"/>
      <c r="C36" s="353"/>
      <c r="D36" s="353"/>
      <c r="E36" s="96"/>
      <c r="F36" s="353"/>
      <c r="G36" s="192">
        <f t="shared" si="8"/>
        <v>0</v>
      </c>
      <c r="H36" s="204"/>
      <c r="I36" s="927" t="s">
        <v>2</v>
      </c>
      <c r="J36" s="201" t="str">
        <f>'６（参考）水稲資本装備'!C5</f>
        <v>農機具庫</v>
      </c>
      <c r="K36" s="936">
        <f>'６（参考）水稲資本装備'!I5</f>
        <v>4752000</v>
      </c>
      <c r="L36" s="936"/>
      <c r="M36" s="428">
        <f>SUM('１　対象経営の概要，２　前提条件'!$F$13:$F$20)</f>
        <v>25</v>
      </c>
      <c r="N36" s="310">
        <f>+K36/M36*0.014*0.3</f>
        <v>798.3359999999999</v>
      </c>
      <c r="P36" s="172" t="s">
        <v>242</v>
      </c>
      <c r="Q36" s="172"/>
      <c r="R36" s="172"/>
      <c r="S36" s="172"/>
      <c r="T36" s="172"/>
    </row>
    <row r="37" spans="2:22" ht="15" customHeight="1" x14ac:dyDescent="0.15">
      <c r="B37" s="799"/>
      <c r="C37" s="353"/>
      <c r="D37" s="353"/>
      <c r="E37" s="96"/>
      <c r="F37" s="353"/>
      <c r="G37" s="192">
        <f t="shared" si="8"/>
        <v>0</v>
      </c>
      <c r="H37" s="204"/>
      <c r="I37" s="928"/>
      <c r="J37" s="201"/>
      <c r="K37" s="936"/>
      <c r="L37" s="936"/>
      <c r="M37" s="428"/>
      <c r="N37" s="310"/>
      <c r="P37" s="295" t="s">
        <v>235</v>
      </c>
      <c r="Q37" s="969" t="s">
        <v>243</v>
      </c>
      <c r="R37" s="969"/>
      <c r="S37" s="482" t="s">
        <v>246</v>
      </c>
      <c r="T37" s="482" t="s">
        <v>245</v>
      </c>
      <c r="U37" s="323" t="s">
        <v>204</v>
      </c>
      <c r="V37" s="324" t="s">
        <v>260</v>
      </c>
    </row>
    <row r="38" spans="2:22" ht="15" customHeight="1" thickBot="1" x14ac:dyDescent="0.2">
      <c r="B38" s="931"/>
      <c r="C38" s="193" t="s">
        <v>157</v>
      </c>
      <c r="D38" s="193"/>
      <c r="E38" s="193"/>
      <c r="F38" s="193"/>
      <c r="G38" s="194">
        <f>SUM(G28:G37)</f>
        <v>0</v>
      </c>
      <c r="H38" s="204"/>
      <c r="I38" s="928"/>
      <c r="J38" s="201" t="str">
        <f>'６（参考）水稲資本装備'!C6</f>
        <v>育苗ハウス</v>
      </c>
      <c r="K38" s="936">
        <f>'６（参考）水稲資本装備'!I6</f>
        <v>1148175</v>
      </c>
      <c r="L38" s="936"/>
      <c r="M38" s="428">
        <f>SUM('１　対象経営の概要，２　前提条件'!$F$13:$F$14,'１　対象経営の概要，２　前提条件'!$F$20)</f>
        <v>17</v>
      </c>
      <c r="N38" s="310">
        <f>+K38/M38*0.014*0.3</f>
        <v>283.66676470588231</v>
      </c>
      <c r="O38" s="210"/>
      <c r="P38" s="924" t="s">
        <v>244</v>
      </c>
      <c r="Q38" s="301" t="s">
        <v>234</v>
      </c>
      <c r="R38" s="328"/>
      <c r="S38" s="302"/>
      <c r="T38" s="329"/>
      <c r="U38" s="302"/>
      <c r="V38" s="310">
        <v>3880</v>
      </c>
    </row>
    <row r="39" spans="2:22" ht="15" customHeight="1" thickTop="1" x14ac:dyDescent="0.15">
      <c r="B39" s="930" t="s">
        <v>189</v>
      </c>
      <c r="C39" s="409"/>
      <c r="D39" s="85"/>
      <c r="E39" s="96"/>
      <c r="F39" s="85"/>
      <c r="G39" s="192">
        <v>0</v>
      </c>
      <c r="H39" s="204"/>
      <c r="I39" s="928"/>
      <c r="J39" s="201"/>
      <c r="K39" s="936"/>
      <c r="L39" s="936"/>
      <c r="M39" s="519"/>
      <c r="N39" s="310"/>
      <c r="O39" s="210"/>
      <c r="P39" s="925"/>
      <c r="Q39" s="301"/>
      <c r="R39" s="328"/>
      <c r="S39" s="302"/>
      <c r="T39" s="329"/>
      <c r="U39" s="302"/>
      <c r="V39" s="310"/>
    </row>
    <row r="40" spans="2:22" ht="15" customHeight="1" x14ac:dyDescent="0.15">
      <c r="B40" s="799"/>
      <c r="C40" s="85"/>
      <c r="D40" s="85"/>
      <c r="E40" s="96"/>
      <c r="F40" s="85"/>
      <c r="G40" s="192">
        <v>0</v>
      </c>
      <c r="H40" s="204"/>
      <c r="I40" s="928"/>
      <c r="J40" s="201"/>
      <c r="K40" s="936"/>
      <c r="L40" s="936"/>
      <c r="M40" s="519"/>
      <c r="N40" s="310"/>
      <c r="O40" s="210"/>
      <c r="P40" s="925"/>
      <c r="Q40" s="301"/>
      <c r="R40" s="328"/>
      <c r="S40" s="302"/>
      <c r="T40" s="329"/>
      <c r="U40" s="302"/>
      <c r="V40" s="310"/>
    </row>
    <row r="41" spans="2:22" ht="15" customHeight="1" x14ac:dyDescent="0.15">
      <c r="B41" s="799"/>
      <c r="C41" s="85"/>
      <c r="D41" s="85"/>
      <c r="E41" s="96"/>
      <c r="F41" s="85"/>
      <c r="G41" s="192">
        <v>0</v>
      </c>
      <c r="H41" s="204"/>
      <c r="I41" s="928"/>
      <c r="J41" s="201"/>
      <c r="K41" s="936"/>
      <c r="L41" s="936"/>
      <c r="M41" s="519"/>
      <c r="N41" s="310"/>
      <c r="O41" s="210"/>
      <c r="P41" s="925"/>
      <c r="Q41" s="301"/>
      <c r="R41" s="328"/>
      <c r="S41" s="302"/>
      <c r="T41" s="329"/>
      <c r="U41" s="302"/>
      <c r="V41" s="310"/>
    </row>
    <row r="42" spans="2:22" ht="15" customHeight="1" thickBot="1" x14ac:dyDescent="0.2">
      <c r="B42" s="799"/>
      <c r="C42" s="85"/>
      <c r="D42" s="85"/>
      <c r="E42" s="96"/>
      <c r="F42" s="85"/>
      <c r="G42" s="192">
        <v>0</v>
      </c>
      <c r="H42" s="204"/>
      <c r="I42" s="929"/>
      <c r="J42" s="297" t="s">
        <v>158</v>
      </c>
      <c r="K42" s="937"/>
      <c r="L42" s="938"/>
      <c r="M42" s="298"/>
      <c r="N42" s="306">
        <f>SUM(N36:N41)</f>
        <v>1082.0027647058823</v>
      </c>
      <c r="O42" s="210"/>
      <c r="P42" s="925"/>
      <c r="Q42" s="301"/>
      <c r="R42" s="328"/>
      <c r="S42" s="302"/>
      <c r="T42" s="329"/>
      <c r="U42" s="302"/>
      <c r="V42" s="310"/>
    </row>
    <row r="43" spans="2:22" ht="15" customHeight="1" thickTop="1" x14ac:dyDescent="0.15">
      <c r="B43" s="799"/>
      <c r="C43" s="85"/>
      <c r="D43" s="85"/>
      <c r="E43" s="96"/>
      <c r="F43" s="85"/>
      <c r="G43" s="192">
        <v>0</v>
      </c>
      <c r="H43" s="204"/>
      <c r="I43" s="932" t="s">
        <v>238</v>
      </c>
      <c r="J43" s="299" t="s">
        <v>261</v>
      </c>
      <c r="K43" s="935">
        <v>8200</v>
      </c>
      <c r="L43" s="935"/>
      <c r="M43" s="518">
        <f>SUM('１　対象経営の概要，２　前提条件'!$F$13:$F$20)</f>
        <v>25</v>
      </c>
      <c r="N43" s="326">
        <f>+K43/M43</f>
        <v>328</v>
      </c>
      <c r="O43" s="210"/>
      <c r="P43" s="925"/>
      <c r="Q43" s="301"/>
      <c r="R43" s="328"/>
      <c r="S43" s="302"/>
      <c r="T43" s="329"/>
      <c r="U43" s="302"/>
      <c r="V43" s="310"/>
    </row>
    <row r="44" spans="2:22" ht="15" customHeight="1" thickBot="1" x14ac:dyDescent="0.2">
      <c r="B44" s="799"/>
      <c r="C44" s="85"/>
      <c r="D44" s="85"/>
      <c r="E44" s="96"/>
      <c r="F44" s="85"/>
      <c r="G44" s="192">
        <v>0</v>
      </c>
      <c r="H44" s="204"/>
      <c r="I44" s="933"/>
      <c r="J44" s="301"/>
      <c r="K44" s="936"/>
      <c r="L44" s="936"/>
      <c r="M44" s="519"/>
      <c r="N44" s="310"/>
      <c r="O44" s="210"/>
      <c r="P44" s="926"/>
      <c r="Q44" s="311" t="s">
        <v>247</v>
      </c>
      <c r="R44" s="312"/>
      <c r="S44" s="312"/>
      <c r="T44" s="312"/>
      <c r="U44" s="312"/>
      <c r="V44" s="313">
        <f>SUM(V38:V43)</f>
        <v>3880</v>
      </c>
    </row>
    <row r="45" spans="2:22" ht="15" customHeight="1" thickTop="1" x14ac:dyDescent="0.15">
      <c r="B45" s="799"/>
      <c r="C45" s="85"/>
      <c r="D45" s="85"/>
      <c r="E45" s="96"/>
      <c r="F45" s="85"/>
      <c r="G45" s="192">
        <v>0</v>
      </c>
      <c r="H45" s="204"/>
      <c r="I45" s="933"/>
      <c r="J45" s="201"/>
      <c r="K45" s="936"/>
      <c r="L45" s="936"/>
      <c r="M45" s="519"/>
      <c r="N45" s="310"/>
      <c r="O45" s="210"/>
      <c r="P45" s="981" t="s">
        <v>252</v>
      </c>
      <c r="Q45" s="978" t="s">
        <v>263</v>
      </c>
      <c r="R45" s="330" t="s">
        <v>264</v>
      </c>
      <c r="S45" s="299">
        <v>35750</v>
      </c>
      <c r="T45" s="331">
        <v>1</v>
      </c>
      <c r="U45" s="518">
        <f>SUM('１　対象経営の概要，２　前提条件'!$F$13:$F$20)</f>
        <v>25</v>
      </c>
      <c r="V45" s="325">
        <f>+S45*T45/U45</f>
        <v>1430</v>
      </c>
    </row>
    <row r="46" spans="2:22" ht="15" customHeight="1" thickBot="1" x14ac:dyDescent="0.2">
      <c r="B46" s="799"/>
      <c r="C46" s="85"/>
      <c r="D46" s="85"/>
      <c r="E46" s="96"/>
      <c r="F46" s="85"/>
      <c r="G46" s="192">
        <f t="shared" ref="G46:G52" si="9">D46*F46</f>
        <v>0</v>
      </c>
      <c r="H46" s="204"/>
      <c r="I46" s="934"/>
      <c r="J46" s="297" t="s">
        <v>158</v>
      </c>
      <c r="K46" s="937"/>
      <c r="L46" s="938"/>
      <c r="M46" s="298"/>
      <c r="N46" s="306">
        <f>SUM(N43:N45)</f>
        <v>328</v>
      </c>
      <c r="O46" s="210"/>
      <c r="P46" s="925"/>
      <c r="Q46" s="979"/>
      <c r="R46" s="332" t="s">
        <v>251</v>
      </c>
      <c r="S46" s="301">
        <v>15600</v>
      </c>
      <c r="T46" s="329">
        <v>1</v>
      </c>
      <c r="U46" s="301">
        <f>SUM('１　対象経営の概要，２　前提条件'!$F$13:$F$20)</f>
        <v>25</v>
      </c>
      <c r="V46" s="310">
        <f>+S46*T46/U46</f>
        <v>624</v>
      </c>
    </row>
    <row r="47" spans="2:22" ht="15" customHeight="1" thickTop="1" x14ac:dyDescent="0.15">
      <c r="B47" s="799"/>
      <c r="C47" s="85"/>
      <c r="D47" s="85"/>
      <c r="E47" s="96"/>
      <c r="F47" s="85"/>
      <c r="G47" s="192">
        <f t="shared" si="9"/>
        <v>0</v>
      </c>
      <c r="H47" s="204"/>
      <c r="I47" s="932" t="s">
        <v>239</v>
      </c>
      <c r="J47" s="299" t="s">
        <v>261</v>
      </c>
      <c r="K47" s="935">
        <v>11500</v>
      </c>
      <c r="L47" s="935"/>
      <c r="M47" s="518">
        <f>SUM('１　対象経営の概要，２　前提条件'!$F$13:$F$20)</f>
        <v>25</v>
      </c>
      <c r="N47" s="325">
        <f>K47/M47</f>
        <v>460</v>
      </c>
      <c r="O47" s="210"/>
      <c r="P47" s="925"/>
      <c r="Q47" s="979"/>
      <c r="R47" s="332"/>
      <c r="S47" s="301"/>
      <c r="T47" s="301"/>
      <c r="U47" s="201"/>
      <c r="V47" s="333"/>
    </row>
    <row r="48" spans="2:22" ht="15" customHeight="1" x14ac:dyDescent="0.15">
      <c r="B48" s="799"/>
      <c r="C48" s="85"/>
      <c r="D48" s="85"/>
      <c r="E48" s="96"/>
      <c r="F48" s="85"/>
      <c r="G48" s="192">
        <f t="shared" si="9"/>
        <v>0</v>
      </c>
      <c r="H48" s="204"/>
      <c r="I48" s="933"/>
      <c r="J48" s="301"/>
      <c r="K48" s="936"/>
      <c r="L48" s="936"/>
      <c r="M48" s="519"/>
      <c r="N48" s="310"/>
      <c r="O48" s="210"/>
      <c r="P48" s="925"/>
      <c r="Q48" s="979"/>
      <c r="R48" s="332"/>
      <c r="S48" s="301"/>
      <c r="T48" s="329"/>
      <c r="U48" s="301"/>
      <c r="V48" s="310"/>
    </row>
    <row r="49" spans="2:22" ht="15" customHeight="1" thickBot="1" x14ac:dyDescent="0.2">
      <c r="B49" s="931"/>
      <c r="C49" s="195" t="s">
        <v>158</v>
      </c>
      <c r="D49" s="196"/>
      <c r="E49" s="196"/>
      <c r="F49" s="196"/>
      <c r="G49" s="197">
        <f>SUM(G39:G48)</f>
        <v>0</v>
      </c>
      <c r="H49" s="204"/>
      <c r="I49" s="933"/>
      <c r="J49" s="201"/>
      <c r="K49" s="936"/>
      <c r="L49" s="936"/>
      <c r="M49" s="519"/>
      <c r="N49" s="310"/>
      <c r="O49" s="210"/>
      <c r="P49" s="925"/>
      <c r="Q49" s="980"/>
      <c r="R49" s="332"/>
      <c r="S49" s="301"/>
      <c r="T49" s="301"/>
      <c r="U49" s="201"/>
      <c r="V49" s="333"/>
    </row>
    <row r="50" spans="2:22" ht="15" customHeight="1" thickTop="1" thickBot="1" x14ac:dyDescent="0.2">
      <c r="B50" s="930" t="s">
        <v>32</v>
      </c>
      <c r="C50" s="85"/>
      <c r="D50" s="85"/>
      <c r="E50" s="96"/>
      <c r="F50" s="85"/>
      <c r="G50" s="192">
        <v>0</v>
      </c>
      <c r="H50" s="204"/>
      <c r="I50" s="934"/>
      <c r="J50" s="297" t="s">
        <v>158</v>
      </c>
      <c r="K50" s="937"/>
      <c r="L50" s="938"/>
      <c r="M50" s="298"/>
      <c r="N50" s="306">
        <f>SUM(N47:N49)</f>
        <v>460</v>
      </c>
      <c r="O50" s="210"/>
      <c r="P50" s="925"/>
      <c r="Q50" s="311" t="s">
        <v>247</v>
      </c>
      <c r="R50" s="312"/>
      <c r="S50" s="312"/>
      <c r="T50" s="312"/>
      <c r="U50" s="312"/>
      <c r="V50" s="313">
        <f>SUM(V45:V49)</f>
        <v>2054</v>
      </c>
    </row>
    <row r="51" spans="2:22" ht="15" customHeight="1" thickTop="1" x14ac:dyDescent="0.15">
      <c r="B51" s="799"/>
      <c r="C51" s="85"/>
      <c r="D51" s="85"/>
      <c r="E51" s="85"/>
      <c r="F51" s="85"/>
      <c r="G51" s="192">
        <f t="shared" si="9"/>
        <v>0</v>
      </c>
      <c r="H51" s="204"/>
      <c r="I51" s="932" t="s">
        <v>240</v>
      </c>
      <c r="J51" s="299" t="s">
        <v>54</v>
      </c>
      <c r="K51" s="945">
        <v>2400</v>
      </c>
      <c r="L51" s="946"/>
      <c r="M51" s="518">
        <f>SUM('１　対象経営の概要，２　前提条件'!$F$13:$F$16)</f>
        <v>19</v>
      </c>
      <c r="N51" s="326">
        <f>+K51/M51</f>
        <v>126.31578947368421</v>
      </c>
      <c r="O51" s="210"/>
      <c r="P51" s="925"/>
      <c r="Q51" s="978" t="s">
        <v>265</v>
      </c>
      <c r="R51" s="330" t="s">
        <v>264</v>
      </c>
      <c r="S51" s="299">
        <v>60000</v>
      </c>
      <c r="T51" s="331">
        <v>1</v>
      </c>
      <c r="U51" s="485">
        <f>SUM('１　対象経営の概要，２　前提条件'!$F$13:$F$20)</f>
        <v>25</v>
      </c>
      <c r="V51" s="325">
        <f>+S51*T51/U51</f>
        <v>2400</v>
      </c>
    </row>
    <row r="52" spans="2:22" ht="15" customHeight="1" x14ac:dyDescent="0.15">
      <c r="B52" s="799"/>
      <c r="C52" s="85"/>
      <c r="D52" s="85"/>
      <c r="E52" s="85"/>
      <c r="F52" s="85"/>
      <c r="G52" s="192">
        <f t="shared" si="9"/>
        <v>0</v>
      </c>
      <c r="H52" s="204"/>
      <c r="I52" s="933"/>
      <c r="J52" s="301"/>
      <c r="K52" s="947"/>
      <c r="L52" s="948"/>
      <c r="M52" s="428"/>
      <c r="N52" s="310"/>
      <c r="O52" s="210"/>
      <c r="P52" s="925"/>
      <c r="Q52" s="979"/>
      <c r="R52" s="332" t="s">
        <v>251</v>
      </c>
      <c r="S52" s="301">
        <v>25000</v>
      </c>
      <c r="T52" s="329">
        <v>1</v>
      </c>
      <c r="U52" s="486">
        <f>SUM('１　対象経営の概要，２　前提条件'!$F$13:$F$20)</f>
        <v>25</v>
      </c>
      <c r="V52" s="310">
        <f>+S52*T52/U52</f>
        <v>1000</v>
      </c>
    </row>
    <row r="53" spans="2:22" ht="15" customHeight="1" thickBot="1" x14ac:dyDescent="0.2">
      <c r="B53" s="931"/>
      <c r="C53" s="195" t="s">
        <v>158</v>
      </c>
      <c r="D53" s="196"/>
      <c r="E53" s="196"/>
      <c r="F53" s="196"/>
      <c r="G53" s="197">
        <f>SUM(G50:G52)</f>
        <v>0</v>
      </c>
      <c r="H53" s="204"/>
      <c r="I53" s="933"/>
      <c r="J53" s="301" t="s">
        <v>422</v>
      </c>
      <c r="K53" s="949">
        <v>2400</v>
      </c>
      <c r="L53" s="950"/>
      <c r="M53" s="314">
        <f>SUM('１　対象経営の概要，２　前提条件'!$F$13:$F$14,'１　対象経営の概要，２　前提条件'!$F$18)</f>
        <v>17</v>
      </c>
      <c r="N53" s="310">
        <f>+K53/M53*2</f>
        <v>282.35294117647061</v>
      </c>
      <c r="O53" s="210"/>
      <c r="P53" s="925"/>
      <c r="Q53" s="979"/>
      <c r="R53" s="332"/>
      <c r="S53" s="301"/>
      <c r="T53" s="301"/>
      <c r="U53" s="201"/>
      <c r="V53" s="333"/>
    </row>
    <row r="54" spans="2:22" ht="13.9" customHeight="1" thickTop="1" x14ac:dyDescent="0.15">
      <c r="B54" s="930" t="s">
        <v>327</v>
      </c>
      <c r="C54" s="85"/>
      <c r="D54" s="402"/>
      <c r="E54" s="96"/>
      <c r="F54" s="85"/>
      <c r="G54" s="191">
        <v>0</v>
      </c>
      <c r="I54" s="933"/>
      <c r="J54" s="479" t="s">
        <v>251</v>
      </c>
      <c r="K54" s="951">
        <v>5000</v>
      </c>
      <c r="L54" s="952"/>
      <c r="M54" s="428">
        <f>SUM('１　対象経営の概要，２　前提条件'!$F$13:$F$20)</f>
        <v>25</v>
      </c>
      <c r="N54" s="310">
        <f t="shared" ref="N54" si="10">+K54/M54</f>
        <v>200</v>
      </c>
      <c r="O54" s="210"/>
      <c r="P54" s="925"/>
      <c r="Q54" s="979"/>
      <c r="R54" s="332"/>
      <c r="S54" s="301"/>
      <c r="T54" s="329"/>
      <c r="U54" s="486"/>
      <c r="V54" s="310"/>
    </row>
    <row r="55" spans="2:22" x14ac:dyDescent="0.15">
      <c r="B55" s="799"/>
      <c r="C55" s="85"/>
      <c r="D55" s="85"/>
      <c r="E55" s="96"/>
      <c r="F55" s="85"/>
      <c r="G55" s="192">
        <v>0</v>
      </c>
      <c r="I55" s="933"/>
      <c r="J55" s="301"/>
      <c r="K55" s="949"/>
      <c r="L55" s="950"/>
      <c r="M55" s="428"/>
      <c r="N55" s="327"/>
      <c r="O55" s="210"/>
      <c r="P55" s="925"/>
      <c r="Q55" s="980"/>
      <c r="R55" s="332"/>
      <c r="S55" s="301"/>
      <c r="T55" s="301"/>
      <c r="U55" s="201"/>
      <c r="V55" s="333"/>
    </row>
    <row r="56" spans="2:22" x14ac:dyDescent="0.15">
      <c r="B56" s="799"/>
      <c r="C56" s="85"/>
      <c r="D56" s="85"/>
      <c r="E56" s="96"/>
      <c r="F56" s="85"/>
      <c r="G56" s="192">
        <v>0</v>
      </c>
      <c r="I56" s="927"/>
      <c r="J56" s="303" t="s">
        <v>158</v>
      </c>
      <c r="K56" s="953"/>
      <c r="L56" s="954"/>
      <c r="M56" s="304"/>
      <c r="N56" s="307">
        <f>SUM(N51:N55)</f>
        <v>608.66873065015488</v>
      </c>
      <c r="O56" s="210"/>
      <c r="P56" s="982"/>
      <c r="Q56" s="336" t="s">
        <v>247</v>
      </c>
      <c r="R56" s="337"/>
      <c r="S56" s="337"/>
      <c r="T56" s="337"/>
      <c r="U56" s="337"/>
      <c r="V56" s="338">
        <f>SUM(V51:V55)</f>
        <v>3400</v>
      </c>
    </row>
    <row r="57" spans="2:22" ht="14.25" thickBot="1" x14ac:dyDescent="0.2">
      <c r="B57" s="957"/>
      <c r="C57" s="198" t="s">
        <v>159</v>
      </c>
      <c r="D57" s="199"/>
      <c r="E57" s="199"/>
      <c r="F57" s="199"/>
      <c r="G57" s="200">
        <f>SUM(G54:G56)</f>
        <v>0</v>
      </c>
      <c r="I57" s="983" t="s">
        <v>241</v>
      </c>
      <c r="J57" s="975"/>
      <c r="K57" s="958"/>
      <c r="L57" s="959"/>
      <c r="M57" s="215"/>
      <c r="N57" s="308">
        <f>SUM(N42,N46,N50,N56)</f>
        <v>2478.6714953560372</v>
      </c>
      <c r="O57" s="210"/>
      <c r="P57" s="976" t="s">
        <v>241</v>
      </c>
      <c r="Q57" s="977"/>
      <c r="R57" s="334"/>
      <c r="S57" s="334"/>
      <c r="T57" s="334"/>
      <c r="U57" s="334"/>
      <c r="V57" s="335">
        <f>SUM(V44,V50,V56)</f>
        <v>9334</v>
      </c>
    </row>
    <row r="58" spans="2:22" x14ac:dyDescent="0.15">
      <c r="O58" s="210"/>
      <c r="V58" s="86"/>
    </row>
    <row r="59" spans="2:22" x14ac:dyDescent="0.15">
      <c r="I59" s="210"/>
      <c r="J59" s="210"/>
      <c r="K59" s="210"/>
      <c r="L59" s="210"/>
      <c r="M59" s="210"/>
      <c r="N59" s="210"/>
      <c r="O59" s="210"/>
    </row>
    <row r="60" spans="2:22" x14ac:dyDescent="0.15">
      <c r="I60" s="210"/>
      <c r="J60" s="210"/>
      <c r="K60" s="210"/>
      <c r="L60" s="210"/>
      <c r="M60" s="210"/>
      <c r="N60" s="210"/>
      <c r="O60" s="210"/>
    </row>
    <row r="61" spans="2:22" x14ac:dyDescent="0.15">
      <c r="I61" s="210"/>
      <c r="J61" s="210"/>
      <c r="K61" s="210"/>
      <c r="L61" s="210"/>
      <c r="M61" s="210"/>
      <c r="N61" s="210"/>
      <c r="O61" s="210"/>
    </row>
    <row r="62" spans="2:22" x14ac:dyDescent="0.15">
      <c r="I62" s="210"/>
      <c r="J62" s="210"/>
      <c r="K62" s="210"/>
      <c r="L62" s="210"/>
      <c r="M62" s="210"/>
      <c r="N62" s="210"/>
      <c r="O62" s="210"/>
    </row>
    <row r="63" spans="2:22" x14ac:dyDescent="0.15">
      <c r="I63" s="210"/>
      <c r="J63" s="210"/>
      <c r="K63" s="210"/>
      <c r="L63" s="210"/>
      <c r="M63" s="210"/>
      <c r="N63" s="210"/>
      <c r="O63" s="210"/>
    </row>
    <row r="64" spans="2:22" x14ac:dyDescent="0.15">
      <c r="I64" s="210"/>
      <c r="J64" s="210"/>
      <c r="K64" s="210"/>
      <c r="L64" s="210"/>
      <c r="M64" s="210"/>
      <c r="N64" s="210"/>
      <c r="O64" s="210"/>
    </row>
    <row r="65" spans="9:15" x14ac:dyDescent="0.15">
      <c r="I65" s="210"/>
      <c r="J65" s="210"/>
      <c r="K65" s="210"/>
      <c r="L65" s="210"/>
      <c r="M65" s="210"/>
      <c r="N65" s="210"/>
      <c r="O65" s="210"/>
    </row>
    <row r="66" spans="9:15" x14ac:dyDescent="0.15">
      <c r="I66" s="210"/>
      <c r="J66" s="210"/>
      <c r="K66" s="210"/>
      <c r="L66" s="210"/>
      <c r="M66" s="210"/>
      <c r="N66" s="210"/>
      <c r="O66" s="210"/>
    </row>
    <row r="67" spans="9:15" x14ac:dyDescent="0.15">
      <c r="I67" s="210"/>
      <c r="J67" s="210"/>
      <c r="K67" s="210"/>
      <c r="L67" s="210"/>
      <c r="M67" s="210"/>
      <c r="N67" s="210"/>
      <c r="O67" s="210"/>
    </row>
    <row r="68" spans="9:15" x14ac:dyDescent="0.15">
      <c r="I68" s="210"/>
      <c r="J68" s="210"/>
      <c r="K68" s="210"/>
      <c r="L68" s="210"/>
      <c r="M68" s="210"/>
      <c r="N68" s="210"/>
      <c r="O68" s="210"/>
    </row>
    <row r="69" spans="9:15" x14ac:dyDescent="0.15">
      <c r="I69" s="210"/>
      <c r="J69" s="210"/>
      <c r="K69" s="210"/>
      <c r="L69" s="210"/>
      <c r="M69" s="210"/>
      <c r="N69" s="210"/>
      <c r="O69" s="210"/>
    </row>
    <row r="70" spans="9:15" x14ac:dyDescent="0.15">
      <c r="I70" s="210"/>
      <c r="J70" s="210"/>
      <c r="K70" s="210"/>
      <c r="L70" s="210"/>
      <c r="M70" s="210"/>
      <c r="N70" s="210"/>
      <c r="O70" s="210"/>
    </row>
    <row r="71" spans="9:15" x14ac:dyDescent="0.15">
      <c r="I71" s="210"/>
      <c r="J71" s="210"/>
      <c r="K71" s="210"/>
      <c r="L71" s="210"/>
      <c r="M71" s="210"/>
      <c r="N71" s="210"/>
      <c r="O71" s="210"/>
    </row>
    <row r="72" spans="9:15" x14ac:dyDescent="0.15">
      <c r="I72" s="210"/>
      <c r="J72" s="210"/>
      <c r="K72" s="210"/>
      <c r="L72" s="210"/>
      <c r="M72" s="210"/>
      <c r="N72" s="210"/>
      <c r="O72" s="210"/>
    </row>
    <row r="73" spans="9:15" x14ac:dyDescent="0.15">
      <c r="I73" s="210"/>
      <c r="J73" s="210"/>
      <c r="K73" s="210"/>
      <c r="L73" s="210"/>
      <c r="M73" s="210"/>
      <c r="N73" s="210"/>
      <c r="O73" s="210"/>
    </row>
    <row r="74" spans="9:15" x14ac:dyDescent="0.15">
      <c r="I74" s="210"/>
      <c r="J74" s="210"/>
      <c r="K74" s="210"/>
      <c r="L74" s="210"/>
      <c r="M74" s="210"/>
      <c r="N74" s="210"/>
      <c r="O74" s="210"/>
    </row>
    <row r="75" spans="9:15" x14ac:dyDescent="0.15">
      <c r="I75" s="210"/>
      <c r="J75" s="210"/>
      <c r="K75" s="210"/>
      <c r="L75" s="210"/>
      <c r="M75" s="210"/>
      <c r="N75" s="210"/>
      <c r="O75" s="210"/>
    </row>
    <row r="76" spans="9:15" x14ac:dyDescent="0.15">
      <c r="I76" s="210"/>
      <c r="J76" s="210"/>
      <c r="K76" s="210"/>
      <c r="L76" s="210"/>
      <c r="M76" s="210"/>
      <c r="N76" s="210"/>
      <c r="O76" s="210"/>
    </row>
    <row r="77" spans="9:15" x14ac:dyDescent="0.15">
      <c r="I77" s="210"/>
      <c r="J77" s="210"/>
      <c r="K77" s="210"/>
      <c r="L77" s="210"/>
      <c r="M77" s="210"/>
      <c r="N77" s="210"/>
      <c r="O77" s="210"/>
    </row>
    <row r="78" spans="9:15" x14ac:dyDescent="0.15">
      <c r="I78" s="210"/>
      <c r="J78" s="210"/>
      <c r="K78" s="210"/>
      <c r="L78" s="210"/>
      <c r="M78" s="210"/>
      <c r="N78" s="210"/>
      <c r="O78" s="210"/>
    </row>
    <row r="79" spans="9:15" x14ac:dyDescent="0.15">
      <c r="I79" s="210"/>
      <c r="J79" s="210"/>
      <c r="K79" s="210"/>
      <c r="L79" s="210"/>
      <c r="M79" s="210"/>
      <c r="N79" s="210"/>
      <c r="O79" s="210"/>
    </row>
    <row r="80" spans="9:15" x14ac:dyDescent="0.15">
      <c r="I80" s="210"/>
      <c r="J80" s="210"/>
      <c r="K80" s="210"/>
      <c r="L80" s="210"/>
      <c r="M80" s="210"/>
      <c r="N80" s="210"/>
      <c r="O80" s="210"/>
    </row>
    <row r="81" spans="2:15" x14ac:dyDescent="0.15">
      <c r="I81" s="210"/>
      <c r="J81" s="210"/>
      <c r="K81" s="210"/>
      <c r="L81" s="210"/>
      <c r="M81" s="210"/>
      <c r="N81" s="210"/>
      <c r="O81" s="210"/>
    </row>
    <row r="82" spans="2:15" x14ac:dyDescent="0.15">
      <c r="I82" s="210"/>
      <c r="J82" s="210"/>
      <c r="K82" s="210"/>
      <c r="L82" s="210"/>
      <c r="M82" s="210"/>
      <c r="N82" s="210"/>
      <c r="O82" s="210"/>
    </row>
    <row r="83" spans="2:15" x14ac:dyDescent="0.15">
      <c r="B83" s="203"/>
      <c r="C83" s="204"/>
      <c r="D83" s="204"/>
      <c r="E83" s="204"/>
      <c r="F83" s="204"/>
      <c r="I83" s="210"/>
      <c r="J83" s="210"/>
      <c r="K83" s="210"/>
      <c r="L83" s="210"/>
      <c r="M83" s="210"/>
      <c r="N83" s="210"/>
      <c r="O83" s="210"/>
    </row>
    <row r="84" spans="2:15" x14ac:dyDescent="0.15">
      <c r="B84" s="203"/>
      <c r="C84" s="204"/>
      <c r="D84" s="204"/>
      <c r="E84" s="204"/>
      <c r="F84" s="204"/>
      <c r="I84" s="210"/>
      <c r="J84" s="210"/>
      <c r="K84" s="210"/>
      <c r="L84" s="210"/>
      <c r="M84" s="210"/>
      <c r="N84" s="210"/>
      <c r="O84" s="210"/>
    </row>
    <row r="85" spans="2:15" x14ac:dyDescent="0.15">
      <c r="I85" s="210"/>
      <c r="J85" s="210"/>
      <c r="K85" s="210"/>
      <c r="L85" s="210"/>
      <c r="M85" s="210"/>
      <c r="N85" s="210"/>
      <c r="O85" s="210"/>
    </row>
    <row r="86" spans="2:15" x14ac:dyDescent="0.15">
      <c r="I86" s="210"/>
      <c r="J86" s="210"/>
      <c r="K86" s="210"/>
      <c r="L86" s="210"/>
      <c r="M86" s="210"/>
      <c r="N86" s="210"/>
      <c r="O86" s="210"/>
    </row>
    <row r="87" spans="2:15" x14ac:dyDescent="0.15">
      <c r="I87" s="210"/>
      <c r="J87" s="210"/>
      <c r="K87" s="210"/>
      <c r="L87" s="210"/>
      <c r="M87" s="210"/>
      <c r="N87" s="210"/>
      <c r="O87" s="210"/>
    </row>
    <row r="88" spans="2:15" x14ac:dyDescent="0.15">
      <c r="I88" s="210"/>
      <c r="J88" s="210"/>
      <c r="K88" s="210"/>
      <c r="L88" s="210"/>
      <c r="M88" s="210"/>
      <c r="N88" s="210"/>
      <c r="O88" s="210"/>
    </row>
    <row r="89" spans="2:15" x14ac:dyDescent="0.15">
      <c r="I89" s="210"/>
      <c r="J89" s="210"/>
      <c r="K89" s="210"/>
      <c r="L89" s="210"/>
      <c r="M89" s="210"/>
      <c r="N89" s="210"/>
      <c r="O89" s="210"/>
    </row>
    <row r="90" spans="2:15" x14ac:dyDescent="0.15">
      <c r="I90" s="210"/>
      <c r="J90" s="210"/>
      <c r="K90" s="210"/>
      <c r="L90" s="210"/>
      <c r="M90" s="210"/>
      <c r="N90" s="210"/>
      <c r="O90" s="210"/>
    </row>
    <row r="91" spans="2:15" x14ac:dyDescent="0.15">
      <c r="I91" s="210"/>
      <c r="J91" s="210"/>
      <c r="K91" s="210"/>
      <c r="L91" s="210"/>
      <c r="M91" s="210"/>
      <c r="N91" s="210"/>
      <c r="O91" s="210"/>
    </row>
    <row r="92" spans="2:15" x14ac:dyDescent="0.15">
      <c r="I92" s="210"/>
      <c r="J92" s="210"/>
      <c r="K92" s="210"/>
      <c r="L92" s="210"/>
      <c r="M92" s="210"/>
      <c r="N92" s="210"/>
      <c r="O92" s="210"/>
    </row>
    <row r="93" spans="2:15" x14ac:dyDescent="0.15">
      <c r="I93" s="210"/>
      <c r="J93" s="210"/>
      <c r="K93" s="210"/>
      <c r="L93" s="210"/>
      <c r="M93" s="210"/>
      <c r="N93" s="210"/>
      <c r="O93" s="210"/>
    </row>
    <row r="94" spans="2:15" x14ac:dyDescent="0.15">
      <c r="I94" s="210"/>
      <c r="J94" s="210"/>
      <c r="K94" s="210"/>
      <c r="L94" s="210"/>
      <c r="M94" s="210"/>
      <c r="N94" s="210"/>
      <c r="O94" s="210"/>
    </row>
    <row r="95" spans="2:15" x14ac:dyDescent="0.15">
      <c r="I95" s="210"/>
      <c r="J95" s="210"/>
      <c r="K95" s="210"/>
      <c r="L95" s="210"/>
      <c r="M95" s="210"/>
      <c r="N95" s="210"/>
      <c r="O95" s="210"/>
    </row>
    <row r="96" spans="2:15" x14ac:dyDescent="0.15">
      <c r="I96" s="210"/>
      <c r="J96" s="210"/>
      <c r="K96" s="210"/>
      <c r="L96" s="210"/>
      <c r="M96" s="210"/>
      <c r="N96" s="210"/>
      <c r="O96" s="210"/>
    </row>
    <row r="97" spans="9:15" x14ac:dyDescent="0.15">
      <c r="I97" s="210"/>
      <c r="J97" s="210"/>
      <c r="K97" s="210"/>
      <c r="L97" s="210"/>
      <c r="M97" s="210"/>
      <c r="N97" s="210"/>
      <c r="O97" s="210"/>
    </row>
    <row r="98" spans="9:15" x14ac:dyDescent="0.15">
      <c r="I98" s="210"/>
      <c r="J98" s="210"/>
      <c r="K98" s="210"/>
      <c r="L98" s="210"/>
      <c r="M98" s="210"/>
      <c r="N98" s="210"/>
      <c r="O98" s="210"/>
    </row>
    <row r="99" spans="9:15" x14ac:dyDescent="0.15">
      <c r="I99" s="210"/>
      <c r="J99" s="210"/>
      <c r="K99" s="210"/>
      <c r="L99" s="210"/>
      <c r="M99" s="210"/>
      <c r="N99" s="210"/>
      <c r="O99" s="210"/>
    </row>
    <row r="100" spans="9:15" x14ac:dyDescent="0.15">
      <c r="I100" s="210"/>
      <c r="J100" s="210"/>
      <c r="K100" s="210"/>
      <c r="L100" s="210"/>
      <c r="M100" s="210"/>
      <c r="N100" s="210"/>
      <c r="O100" s="210"/>
    </row>
    <row r="101" spans="9:15" x14ac:dyDescent="0.15">
      <c r="I101" s="210"/>
      <c r="J101" s="210"/>
      <c r="K101" s="210"/>
      <c r="L101" s="210"/>
      <c r="M101" s="210"/>
      <c r="N101" s="210"/>
      <c r="O101" s="210"/>
    </row>
    <row r="102" spans="9:15" x14ac:dyDescent="0.15">
      <c r="I102" s="210"/>
      <c r="J102" s="210"/>
      <c r="K102" s="210"/>
      <c r="L102" s="210"/>
      <c r="M102" s="210"/>
      <c r="N102" s="210"/>
      <c r="O102" s="210"/>
    </row>
    <row r="103" spans="9:15" x14ac:dyDescent="0.15">
      <c r="I103" s="210"/>
      <c r="J103" s="210"/>
      <c r="K103" s="210"/>
      <c r="L103" s="210"/>
      <c r="M103" s="210"/>
      <c r="N103" s="210"/>
      <c r="O103" s="210"/>
    </row>
    <row r="104" spans="9:15" x14ac:dyDescent="0.15">
      <c r="I104" s="210"/>
      <c r="J104" s="210"/>
      <c r="K104" s="210"/>
      <c r="L104" s="210"/>
      <c r="M104" s="210"/>
      <c r="N104" s="210"/>
      <c r="O104" s="210"/>
    </row>
    <row r="105" spans="9:15" x14ac:dyDescent="0.15">
      <c r="I105" s="210"/>
      <c r="J105" s="210"/>
      <c r="K105" s="210"/>
      <c r="L105" s="210"/>
      <c r="M105" s="210"/>
      <c r="N105" s="210"/>
      <c r="O105" s="210"/>
    </row>
    <row r="106" spans="9:15" x14ac:dyDescent="0.15">
      <c r="I106" s="210"/>
      <c r="J106" s="210"/>
      <c r="K106" s="210"/>
      <c r="L106" s="210"/>
      <c r="M106" s="210"/>
      <c r="N106" s="210"/>
      <c r="O106" s="210"/>
    </row>
    <row r="107" spans="9:15" x14ac:dyDescent="0.15">
      <c r="I107" s="210"/>
      <c r="J107" s="210"/>
      <c r="K107" s="210"/>
      <c r="L107" s="210"/>
      <c r="M107" s="210"/>
      <c r="N107" s="210"/>
      <c r="O107" s="210"/>
    </row>
    <row r="108" spans="9:15" x14ac:dyDescent="0.15">
      <c r="I108" s="210"/>
      <c r="J108" s="210"/>
      <c r="K108" s="210"/>
      <c r="L108" s="210"/>
      <c r="M108" s="210"/>
      <c r="N108" s="210"/>
      <c r="O108" s="210"/>
    </row>
    <row r="109" spans="9:15" x14ac:dyDescent="0.15">
      <c r="I109" s="210"/>
      <c r="J109" s="210"/>
      <c r="K109" s="210"/>
      <c r="L109" s="210"/>
      <c r="M109" s="210"/>
      <c r="N109" s="210"/>
      <c r="O109" s="210"/>
    </row>
    <row r="110" spans="9:15" x14ac:dyDescent="0.15">
      <c r="I110" s="210"/>
      <c r="J110" s="210"/>
      <c r="K110" s="210"/>
      <c r="L110" s="210"/>
      <c r="M110" s="210"/>
      <c r="N110" s="210"/>
      <c r="O110" s="210"/>
    </row>
    <row r="111" spans="9:15" x14ac:dyDescent="0.15">
      <c r="I111" s="210"/>
      <c r="J111" s="210"/>
      <c r="K111" s="210"/>
      <c r="L111" s="210"/>
      <c r="M111" s="210"/>
      <c r="N111" s="210"/>
      <c r="O111" s="210"/>
    </row>
    <row r="112" spans="9:15" x14ac:dyDescent="0.15">
      <c r="I112" s="210"/>
      <c r="J112" s="210"/>
      <c r="K112" s="210"/>
      <c r="L112" s="210"/>
      <c r="M112" s="210"/>
      <c r="N112" s="210"/>
      <c r="O112" s="210"/>
    </row>
    <row r="113" spans="9:15" x14ac:dyDescent="0.15">
      <c r="I113" s="210"/>
      <c r="J113" s="210"/>
      <c r="K113" s="210"/>
      <c r="L113" s="210"/>
      <c r="M113" s="210"/>
      <c r="N113" s="210"/>
      <c r="O113" s="210"/>
    </row>
    <row r="114" spans="9:15" x14ac:dyDescent="0.15">
      <c r="I114" s="210"/>
      <c r="J114" s="210"/>
      <c r="K114" s="210"/>
      <c r="L114" s="210"/>
      <c r="M114" s="210"/>
      <c r="N114" s="210"/>
      <c r="O114" s="210"/>
    </row>
    <row r="115" spans="9:15" x14ac:dyDescent="0.15">
      <c r="I115" s="210"/>
      <c r="J115" s="210"/>
      <c r="K115" s="210"/>
      <c r="L115" s="210"/>
      <c r="M115" s="210"/>
      <c r="N115" s="210"/>
      <c r="O115" s="210"/>
    </row>
    <row r="116" spans="9:15" x14ac:dyDescent="0.15">
      <c r="I116" s="210"/>
      <c r="J116" s="210"/>
      <c r="K116" s="210"/>
      <c r="L116" s="210"/>
      <c r="M116" s="210"/>
      <c r="N116" s="210"/>
      <c r="O116" s="210"/>
    </row>
    <row r="117" spans="9:15" x14ac:dyDescent="0.15">
      <c r="I117" s="210"/>
      <c r="J117" s="210"/>
      <c r="K117" s="210"/>
      <c r="L117" s="210"/>
      <c r="M117" s="210"/>
      <c r="N117" s="210"/>
      <c r="O117" s="210"/>
    </row>
    <row r="118" spans="9:15" x14ac:dyDescent="0.15">
      <c r="I118" s="210"/>
      <c r="J118" s="210"/>
      <c r="K118" s="210"/>
      <c r="L118" s="210"/>
      <c r="M118" s="210"/>
      <c r="N118" s="210"/>
      <c r="O118" s="210"/>
    </row>
    <row r="119" spans="9:15" x14ac:dyDescent="0.15">
      <c r="I119" s="210"/>
      <c r="J119" s="210"/>
      <c r="K119" s="210"/>
      <c r="L119" s="210"/>
      <c r="M119" s="210"/>
      <c r="N119" s="210"/>
      <c r="O119" s="210"/>
    </row>
    <row r="120" spans="9:15" x14ac:dyDescent="0.15">
      <c r="I120" s="210"/>
      <c r="J120" s="210"/>
      <c r="K120" s="210"/>
      <c r="L120" s="210"/>
      <c r="M120" s="210"/>
      <c r="N120" s="210"/>
      <c r="O120" s="210"/>
    </row>
    <row r="121" spans="9:15" x14ac:dyDescent="0.15">
      <c r="I121" s="210"/>
      <c r="J121" s="210"/>
      <c r="K121" s="210"/>
      <c r="L121" s="210"/>
      <c r="M121" s="210"/>
      <c r="N121" s="210"/>
      <c r="O121" s="210"/>
    </row>
    <row r="122" spans="9:15" x14ac:dyDescent="0.15">
      <c r="I122" s="210"/>
      <c r="J122" s="210"/>
      <c r="K122" s="210"/>
      <c r="L122" s="210"/>
      <c r="M122" s="210"/>
      <c r="N122" s="210"/>
      <c r="O122" s="210"/>
    </row>
    <row r="123" spans="9:15" x14ac:dyDescent="0.15">
      <c r="I123" s="210"/>
      <c r="J123" s="210"/>
      <c r="K123" s="210"/>
      <c r="L123" s="210"/>
      <c r="M123" s="210"/>
      <c r="N123" s="210"/>
      <c r="O123" s="210"/>
    </row>
    <row r="124" spans="9:15" x14ac:dyDescent="0.15">
      <c r="I124" s="210"/>
      <c r="J124" s="210"/>
      <c r="K124" s="210"/>
      <c r="L124" s="210"/>
      <c r="M124" s="210"/>
      <c r="N124" s="210"/>
      <c r="O124" s="210"/>
    </row>
    <row r="125" spans="9:15" x14ac:dyDescent="0.15">
      <c r="I125" s="210"/>
      <c r="J125" s="210"/>
      <c r="K125" s="210"/>
      <c r="L125" s="210"/>
      <c r="M125" s="210"/>
      <c r="N125" s="210"/>
      <c r="O125" s="210"/>
    </row>
    <row r="126" spans="9:15" x14ac:dyDescent="0.15">
      <c r="I126" s="210"/>
      <c r="J126" s="210"/>
      <c r="K126" s="210"/>
      <c r="L126" s="210"/>
      <c r="M126" s="210"/>
      <c r="N126" s="210"/>
      <c r="O126" s="210"/>
    </row>
    <row r="127" spans="9:15" x14ac:dyDescent="0.15">
      <c r="I127" s="210"/>
      <c r="J127" s="210"/>
      <c r="K127" s="210"/>
      <c r="L127" s="210"/>
      <c r="M127" s="210"/>
      <c r="N127" s="210"/>
      <c r="O127" s="210"/>
    </row>
    <row r="128" spans="9:15" x14ac:dyDescent="0.15">
      <c r="I128" s="210"/>
      <c r="J128" s="210"/>
      <c r="K128" s="210"/>
      <c r="L128" s="210"/>
      <c r="M128" s="210"/>
      <c r="N128" s="210"/>
      <c r="O128" s="210"/>
    </row>
    <row r="129" spans="9:15" x14ac:dyDescent="0.15">
      <c r="I129" s="210"/>
      <c r="J129" s="210"/>
      <c r="K129" s="210"/>
      <c r="L129" s="210"/>
      <c r="M129" s="210"/>
      <c r="N129" s="210"/>
      <c r="O129" s="210"/>
    </row>
    <row r="130" spans="9:15" x14ac:dyDescent="0.15">
      <c r="I130" s="210"/>
      <c r="J130" s="210"/>
      <c r="K130" s="210"/>
      <c r="L130" s="210"/>
      <c r="M130" s="210"/>
      <c r="N130" s="210"/>
      <c r="O130" s="210"/>
    </row>
    <row r="131" spans="9:15" x14ac:dyDescent="0.15">
      <c r="I131" s="210"/>
      <c r="J131" s="210"/>
      <c r="K131" s="210"/>
      <c r="L131" s="210"/>
      <c r="M131" s="210"/>
      <c r="N131" s="210"/>
      <c r="O131" s="210"/>
    </row>
    <row r="132" spans="9:15" x14ac:dyDescent="0.15">
      <c r="I132" s="210"/>
      <c r="J132" s="210"/>
      <c r="K132" s="210"/>
      <c r="L132" s="210"/>
      <c r="M132" s="210"/>
      <c r="N132" s="210"/>
      <c r="O132" s="210"/>
    </row>
    <row r="133" spans="9:15" x14ac:dyDescent="0.15">
      <c r="I133" s="210"/>
      <c r="J133" s="210"/>
      <c r="K133" s="210"/>
      <c r="L133" s="210"/>
      <c r="M133" s="210"/>
      <c r="N133" s="210"/>
      <c r="O133" s="210"/>
    </row>
    <row r="134" spans="9:15" x14ac:dyDescent="0.15">
      <c r="I134" s="210"/>
      <c r="J134" s="210"/>
      <c r="K134" s="210"/>
      <c r="L134" s="210"/>
      <c r="M134" s="210"/>
      <c r="N134" s="210"/>
      <c r="O134" s="210"/>
    </row>
    <row r="135" spans="9:15" x14ac:dyDescent="0.15">
      <c r="I135" s="210"/>
      <c r="J135" s="210"/>
      <c r="K135" s="210"/>
      <c r="L135" s="210"/>
      <c r="M135" s="210"/>
      <c r="N135" s="210"/>
      <c r="O135" s="210"/>
    </row>
    <row r="136" spans="9:15" x14ac:dyDescent="0.15">
      <c r="I136" s="210"/>
      <c r="J136" s="210"/>
      <c r="K136" s="210"/>
      <c r="L136" s="210"/>
      <c r="M136" s="210"/>
      <c r="N136" s="210"/>
      <c r="O136" s="210"/>
    </row>
    <row r="137" spans="9:15" x14ac:dyDescent="0.15">
      <c r="I137" s="210"/>
      <c r="J137" s="210"/>
      <c r="K137" s="210"/>
      <c r="L137" s="210"/>
      <c r="M137" s="210"/>
      <c r="N137" s="210"/>
      <c r="O137" s="210"/>
    </row>
    <row r="138" spans="9:15" x14ac:dyDescent="0.15">
      <c r="I138" s="210"/>
      <c r="J138" s="210"/>
      <c r="K138" s="210"/>
      <c r="L138" s="210"/>
      <c r="M138" s="210"/>
      <c r="N138" s="210"/>
      <c r="O138" s="210"/>
    </row>
    <row r="139" spans="9:15" x14ac:dyDescent="0.15">
      <c r="I139" s="210"/>
      <c r="J139" s="210"/>
      <c r="K139" s="210"/>
      <c r="L139" s="210"/>
      <c r="M139" s="210"/>
      <c r="N139" s="210"/>
      <c r="O139" s="210"/>
    </row>
    <row r="140" spans="9:15" x14ac:dyDescent="0.15">
      <c r="I140" s="210"/>
      <c r="J140" s="210"/>
      <c r="K140" s="210"/>
      <c r="L140" s="210"/>
      <c r="M140" s="210"/>
      <c r="N140" s="210"/>
    </row>
    <row r="141" spans="9:15" x14ac:dyDescent="0.15">
      <c r="I141" s="210"/>
      <c r="J141" s="210"/>
      <c r="K141" s="210"/>
      <c r="L141" s="210"/>
      <c r="M141" s="210"/>
      <c r="N141" s="210"/>
    </row>
    <row r="142" spans="9:15" x14ac:dyDescent="0.15">
      <c r="I142" s="210"/>
      <c r="J142" s="210"/>
      <c r="K142" s="210"/>
      <c r="L142" s="210"/>
      <c r="M142" s="210"/>
      <c r="N142" s="210"/>
    </row>
    <row r="143" spans="9:15" x14ac:dyDescent="0.15">
      <c r="I143" s="210"/>
      <c r="J143" s="210"/>
      <c r="K143" s="210"/>
      <c r="L143" s="210"/>
      <c r="M143" s="210"/>
      <c r="N143" s="210"/>
    </row>
    <row r="144" spans="9:15" x14ac:dyDescent="0.15">
      <c r="I144" s="210"/>
      <c r="J144" s="210"/>
      <c r="K144" s="210"/>
      <c r="L144" s="210"/>
      <c r="M144" s="210"/>
      <c r="N144" s="210"/>
    </row>
    <row r="145" spans="9:14" x14ac:dyDescent="0.15">
      <c r="I145" s="210"/>
      <c r="J145" s="210"/>
      <c r="K145" s="210"/>
      <c r="L145" s="210"/>
      <c r="M145" s="210"/>
      <c r="N145" s="210"/>
    </row>
    <row r="146" spans="9:14" x14ac:dyDescent="0.15">
      <c r="I146" s="210"/>
      <c r="J146" s="210"/>
      <c r="K146" s="210"/>
      <c r="L146" s="210"/>
      <c r="M146" s="210"/>
      <c r="N146" s="210"/>
    </row>
    <row r="147" spans="9:14" x14ac:dyDescent="0.15">
      <c r="I147" s="210"/>
      <c r="J147" s="210"/>
      <c r="K147" s="210"/>
      <c r="L147" s="210"/>
      <c r="M147" s="210"/>
      <c r="N147" s="210"/>
    </row>
    <row r="148" spans="9:14" x14ac:dyDescent="0.15">
      <c r="I148" s="210"/>
      <c r="J148" s="210"/>
      <c r="K148" s="210"/>
      <c r="L148" s="210"/>
      <c r="M148" s="210"/>
      <c r="N148" s="210"/>
    </row>
    <row r="149" spans="9:14" x14ac:dyDescent="0.15">
      <c r="I149" s="210"/>
      <c r="J149" s="210"/>
      <c r="K149" s="210"/>
      <c r="L149" s="210"/>
      <c r="M149" s="210"/>
      <c r="N149" s="210"/>
    </row>
    <row r="150" spans="9:14" x14ac:dyDescent="0.15">
      <c r="I150" s="210"/>
      <c r="J150" s="210"/>
      <c r="K150" s="210"/>
      <c r="L150" s="210"/>
      <c r="M150" s="210"/>
      <c r="N150" s="210"/>
    </row>
    <row r="151" spans="9:14" x14ac:dyDescent="0.15">
      <c r="I151" s="210"/>
      <c r="J151" s="210"/>
      <c r="K151" s="210"/>
      <c r="L151" s="210"/>
      <c r="M151" s="210"/>
      <c r="N151" s="210"/>
    </row>
    <row r="152" spans="9:14" x14ac:dyDescent="0.15">
      <c r="I152" s="210"/>
      <c r="J152" s="210"/>
      <c r="K152" s="210"/>
      <c r="L152" s="210"/>
      <c r="M152" s="210"/>
      <c r="N152" s="210"/>
    </row>
    <row r="153" spans="9:14" x14ac:dyDescent="0.15">
      <c r="I153" s="210"/>
      <c r="J153" s="210"/>
      <c r="K153" s="210"/>
      <c r="L153" s="210"/>
      <c r="M153" s="210"/>
      <c r="N153" s="210"/>
    </row>
    <row r="154" spans="9:14" x14ac:dyDescent="0.15">
      <c r="I154" s="210"/>
      <c r="J154" s="210"/>
      <c r="K154" s="210"/>
      <c r="L154" s="210"/>
      <c r="M154" s="210"/>
      <c r="N154" s="210"/>
    </row>
    <row r="155" spans="9:14" x14ac:dyDescent="0.15">
      <c r="J155" s="210"/>
      <c r="K155" s="210"/>
      <c r="L155" s="210"/>
      <c r="M155" s="210"/>
      <c r="N155" s="210"/>
    </row>
    <row r="156" spans="9:14" x14ac:dyDescent="0.15">
      <c r="J156" s="210"/>
      <c r="K156" s="210"/>
      <c r="L156" s="210"/>
      <c r="M156" s="210"/>
      <c r="N156" s="210"/>
    </row>
    <row r="173" spans="15:15" x14ac:dyDescent="0.15">
      <c r="O173" s="210"/>
    </row>
    <row r="174" spans="15:15" x14ac:dyDescent="0.15">
      <c r="O174" s="210"/>
    </row>
    <row r="175" spans="15:15" x14ac:dyDescent="0.15">
      <c r="O175" s="210"/>
    </row>
    <row r="176" spans="15:15" x14ac:dyDescent="0.15">
      <c r="O176" s="210"/>
    </row>
    <row r="177" spans="15:15" x14ac:dyDescent="0.15">
      <c r="O177" s="210"/>
    </row>
    <row r="178" spans="15:15" x14ac:dyDescent="0.15">
      <c r="O178" s="210"/>
    </row>
    <row r="179" spans="15:15" x14ac:dyDescent="0.15">
      <c r="O179" s="210"/>
    </row>
    <row r="180" spans="15:15" x14ac:dyDescent="0.15">
      <c r="O180" s="210"/>
    </row>
    <row r="181" spans="15:15" x14ac:dyDescent="0.15">
      <c r="O181" s="210"/>
    </row>
    <row r="182" spans="15:15" x14ac:dyDescent="0.15">
      <c r="O182" s="210"/>
    </row>
    <row r="183" spans="15:15" x14ac:dyDescent="0.15">
      <c r="O183" s="210"/>
    </row>
    <row r="184" spans="15:15" x14ac:dyDescent="0.15">
      <c r="O184" s="210"/>
    </row>
    <row r="185" spans="15:15" x14ac:dyDescent="0.15">
      <c r="O185" s="210"/>
    </row>
    <row r="186" spans="15:15" x14ac:dyDescent="0.15">
      <c r="O186" s="210"/>
    </row>
    <row r="187" spans="15:15" x14ac:dyDescent="0.15">
      <c r="O187" s="210"/>
    </row>
    <row r="188" spans="15:15" x14ac:dyDescent="0.15">
      <c r="O188" s="210"/>
    </row>
    <row r="189" spans="15:15" x14ac:dyDescent="0.15">
      <c r="O189" s="210"/>
    </row>
    <row r="190" spans="15:15" x14ac:dyDescent="0.15">
      <c r="O190" s="210"/>
    </row>
    <row r="191" spans="15:15" x14ac:dyDescent="0.15">
      <c r="O191" s="210"/>
    </row>
    <row r="192" spans="15:15" x14ac:dyDescent="0.15">
      <c r="O192" s="210"/>
    </row>
  </sheetData>
  <mergeCells count="70">
    <mergeCell ref="B21:B24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B8:B11"/>
    <mergeCell ref="T8:U8"/>
    <mergeCell ref="T9:U9"/>
    <mergeCell ref="T11:U11"/>
    <mergeCell ref="B12:B16"/>
    <mergeCell ref="T12:U12"/>
    <mergeCell ref="I13:I16"/>
    <mergeCell ref="T13:U13"/>
    <mergeCell ref="T14:U14"/>
    <mergeCell ref="T15:U15"/>
    <mergeCell ref="T16:U16"/>
    <mergeCell ref="B17:B20"/>
    <mergeCell ref="I17:I20"/>
    <mergeCell ref="T17:U17"/>
    <mergeCell ref="T18:U18"/>
    <mergeCell ref="T19:U19"/>
    <mergeCell ref="T20:U20"/>
    <mergeCell ref="I21:I24"/>
    <mergeCell ref="T21:U21"/>
    <mergeCell ref="I25:I28"/>
    <mergeCell ref="B28:B38"/>
    <mergeCell ref="I29:I32"/>
    <mergeCell ref="K35:L35"/>
    <mergeCell ref="I36:I42"/>
    <mergeCell ref="K36:L36"/>
    <mergeCell ref="K37:L37"/>
    <mergeCell ref="Q37:R37"/>
    <mergeCell ref="K38:L38"/>
    <mergeCell ref="P38:P44"/>
    <mergeCell ref="B39:B49"/>
    <mergeCell ref="K39:L39"/>
    <mergeCell ref="K40:L40"/>
    <mergeCell ref="K41:L41"/>
    <mergeCell ref="K49:L49"/>
    <mergeCell ref="K56:L56"/>
    <mergeCell ref="I57:J57"/>
    <mergeCell ref="K57:L57"/>
    <mergeCell ref="K42:L42"/>
    <mergeCell ref="I43:I46"/>
    <mergeCell ref="K43:L43"/>
    <mergeCell ref="K44:L44"/>
    <mergeCell ref="K45:L45"/>
    <mergeCell ref="K46:L46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P45:P56"/>
    <mergeCell ref="Q45:Q49"/>
    <mergeCell ref="K47:L47"/>
    <mergeCell ref="K48:L48"/>
  </mergeCells>
  <phoneticPr fontId="6"/>
  <pageMargins left="0.78740157480314965" right="0.78740157480314965" top="0.78740157480314965" bottom="0.78740157480314965" header="0.39370078740157483" footer="0.39370078740157483"/>
  <pageSetup paperSize="9" scale="61" orientation="landscape" r:id="rId1"/>
  <headerFooter alignWithMargins="0">
    <oddHeader>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M12"/>
  <sheetViews>
    <sheetView zoomScale="75" zoomScaleNormal="75" zoomScaleSheetLayoutView="73" workbookViewId="0"/>
  </sheetViews>
  <sheetFormatPr defaultColWidth="9" defaultRowHeight="13.5" x14ac:dyDescent="0.15"/>
  <cols>
    <col min="1" max="1" width="1.625" style="136" customWidth="1"/>
    <col min="2" max="2" width="7.625" style="136" customWidth="1"/>
    <col min="3" max="3" width="25.625" style="136" customWidth="1"/>
    <col min="4" max="13" width="15.625" style="136" customWidth="1"/>
    <col min="14" max="16384" width="9" style="136"/>
  </cols>
  <sheetData>
    <row r="1" spans="2:13" ht="9.9499999999999993" customHeight="1" x14ac:dyDescent="0.15"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2:13" ht="24.95" customHeight="1" thickBot="1" x14ac:dyDescent="0.2">
      <c r="B2" s="346" t="s">
        <v>108</v>
      </c>
      <c r="F2" s="347" t="s">
        <v>267</v>
      </c>
      <c r="G2" s="346" t="s">
        <v>399</v>
      </c>
      <c r="I2" s="347" t="s">
        <v>268</v>
      </c>
      <c r="J2" s="346" t="s">
        <v>364</v>
      </c>
    </row>
    <row r="3" spans="2:13" ht="20.100000000000001" customHeight="1" x14ac:dyDescent="0.15">
      <c r="B3" s="728" t="s">
        <v>115</v>
      </c>
      <c r="C3" s="729"/>
      <c r="D3" s="446" t="s">
        <v>365</v>
      </c>
      <c r="E3" s="446" t="s">
        <v>366</v>
      </c>
      <c r="F3" s="446" t="s">
        <v>316</v>
      </c>
      <c r="G3" s="446" t="s">
        <v>379</v>
      </c>
      <c r="H3" s="446" t="s">
        <v>66</v>
      </c>
      <c r="I3" s="446" t="s">
        <v>319</v>
      </c>
      <c r="J3" s="446" t="s">
        <v>367</v>
      </c>
      <c r="K3" s="446" t="s">
        <v>368</v>
      </c>
      <c r="L3" s="446" t="s">
        <v>380</v>
      </c>
      <c r="M3" s="447"/>
    </row>
    <row r="4" spans="2:13" ht="165" customHeight="1" x14ac:dyDescent="0.15">
      <c r="B4" s="727" t="s">
        <v>109</v>
      </c>
      <c r="C4" s="466" t="s">
        <v>110</v>
      </c>
      <c r="D4" s="429" t="s">
        <v>369</v>
      </c>
      <c r="E4" s="429" t="s">
        <v>492</v>
      </c>
      <c r="F4" s="429" t="s">
        <v>493</v>
      </c>
      <c r="G4" s="429" t="s">
        <v>494</v>
      </c>
      <c r="H4" s="429" t="s">
        <v>370</v>
      </c>
      <c r="I4" s="429" t="s">
        <v>371</v>
      </c>
      <c r="J4" s="429" t="s">
        <v>487</v>
      </c>
      <c r="K4" s="429" t="s">
        <v>495</v>
      </c>
      <c r="L4" s="429"/>
      <c r="M4" s="449"/>
    </row>
    <row r="5" spans="2:13" ht="20.100000000000001" customHeight="1" x14ac:dyDescent="0.15">
      <c r="B5" s="727"/>
      <c r="C5" s="466" t="s">
        <v>111</v>
      </c>
      <c r="D5" s="450" t="s">
        <v>381</v>
      </c>
      <c r="E5" s="450" t="s">
        <v>373</v>
      </c>
      <c r="F5" s="450" t="s">
        <v>374</v>
      </c>
      <c r="G5" s="451"/>
      <c r="H5" s="450" t="s">
        <v>375</v>
      </c>
      <c r="I5" s="450" t="s">
        <v>382</v>
      </c>
      <c r="J5" s="450" t="s">
        <v>376</v>
      </c>
      <c r="K5" s="450" t="s">
        <v>377</v>
      </c>
      <c r="L5" s="451"/>
      <c r="M5" s="452"/>
    </row>
    <row r="6" spans="2:13" ht="123.75" customHeight="1" x14ac:dyDescent="0.15">
      <c r="B6" s="727"/>
      <c r="C6" s="466" t="s">
        <v>114</v>
      </c>
      <c r="D6" s="430" t="s">
        <v>297</v>
      </c>
      <c r="E6" s="430" t="s">
        <v>378</v>
      </c>
      <c r="F6" s="430" t="s">
        <v>408</v>
      </c>
      <c r="G6" s="430" t="s">
        <v>293</v>
      </c>
      <c r="H6" s="429"/>
      <c r="I6" s="429" t="s">
        <v>293</v>
      </c>
      <c r="J6" s="429" t="s">
        <v>488</v>
      </c>
      <c r="K6" s="560" t="s">
        <v>491</v>
      </c>
      <c r="L6" s="429"/>
      <c r="M6" s="449"/>
    </row>
    <row r="7" spans="2:13" ht="20.100000000000001" customHeight="1" x14ac:dyDescent="0.15">
      <c r="B7" s="727"/>
      <c r="C7" s="557" t="s">
        <v>406</v>
      </c>
      <c r="D7" s="453"/>
      <c r="E7" s="453">
        <v>16</v>
      </c>
      <c r="F7" s="453">
        <v>6</v>
      </c>
      <c r="G7" s="454">
        <v>-1</v>
      </c>
      <c r="H7" s="448"/>
      <c r="I7" s="448">
        <v>2</v>
      </c>
      <c r="J7" s="448">
        <v>6.9</v>
      </c>
      <c r="K7" s="448">
        <v>12.1</v>
      </c>
      <c r="L7" s="448"/>
      <c r="M7" s="455"/>
    </row>
    <row r="8" spans="2:13" ht="20.100000000000001" customHeight="1" x14ac:dyDescent="0.15">
      <c r="B8" s="727"/>
      <c r="C8" s="558" t="s">
        <v>407</v>
      </c>
      <c r="D8" s="453">
        <v>17.2</v>
      </c>
      <c r="E8" s="453"/>
      <c r="F8" s="453">
        <v>18</v>
      </c>
      <c r="G8" s="454">
        <v>-1</v>
      </c>
      <c r="H8" s="448"/>
      <c r="I8" s="448">
        <v>5.0999999999999996</v>
      </c>
      <c r="J8" s="448">
        <v>23.3</v>
      </c>
      <c r="K8" s="448">
        <v>3.7</v>
      </c>
      <c r="L8" s="448">
        <v>2</v>
      </c>
      <c r="M8" s="455"/>
    </row>
    <row r="9" spans="2:13" ht="20.100000000000001" customHeight="1" x14ac:dyDescent="0.15">
      <c r="B9" s="727"/>
      <c r="C9" s="466" t="s">
        <v>113</v>
      </c>
      <c r="D9" s="448">
        <v>6</v>
      </c>
      <c r="E9" s="448"/>
      <c r="F9" s="448">
        <v>3</v>
      </c>
      <c r="G9" s="448"/>
      <c r="H9" s="448"/>
      <c r="I9" s="448">
        <v>3</v>
      </c>
      <c r="J9" s="448">
        <v>3</v>
      </c>
      <c r="K9" s="448">
        <v>2</v>
      </c>
      <c r="L9" s="448"/>
      <c r="M9" s="455"/>
    </row>
    <row r="10" spans="2:13" ht="150" customHeight="1" x14ac:dyDescent="0.15">
      <c r="B10" s="732" t="s">
        <v>410</v>
      </c>
      <c r="C10" s="733"/>
      <c r="D10" s="431" t="s">
        <v>496</v>
      </c>
      <c r="E10" s="431"/>
      <c r="F10" s="431" t="s">
        <v>497</v>
      </c>
      <c r="G10" s="433" t="s">
        <v>498</v>
      </c>
      <c r="H10" s="432"/>
      <c r="I10" s="433" t="s">
        <v>499</v>
      </c>
      <c r="J10" s="433" t="s">
        <v>346</v>
      </c>
      <c r="K10" s="556" t="s">
        <v>409</v>
      </c>
      <c r="L10" s="453"/>
      <c r="M10" s="456"/>
    </row>
    <row r="11" spans="2:13" ht="150" customHeight="1" thickBot="1" x14ac:dyDescent="0.2">
      <c r="B11" s="730" t="s">
        <v>112</v>
      </c>
      <c r="C11" s="731"/>
      <c r="D11" s="457" t="s">
        <v>500</v>
      </c>
      <c r="E11" s="457" t="s">
        <v>501</v>
      </c>
      <c r="F11" s="457" t="s">
        <v>502</v>
      </c>
      <c r="G11" s="458" t="s">
        <v>503</v>
      </c>
      <c r="H11" s="458" t="s">
        <v>504</v>
      </c>
      <c r="I11" s="458" t="s">
        <v>505</v>
      </c>
      <c r="J11" s="458" t="s">
        <v>506</v>
      </c>
      <c r="K11" s="458" t="s">
        <v>507</v>
      </c>
      <c r="L11" s="459"/>
      <c r="M11" s="460"/>
    </row>
    <row r="12" spans="2:13" ht="9.75" customHeight="1" x14ac:dyDescent="0.15">
      <c r="B12" s="138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M12"/>
  <sheetViews>
    <sheetView zoomScale="75" zoomScaleNormal="75" workbookViewId="0"/>
  </sheetViews>
  <sheetFormatPr defaultColWidth="9" defaultRowHeight="13.5" x14ac:dyDescent="0.15"/>
  <cols>
    <col min="1" max="1" width="1.625" style="136" customWidth="1"/>
    <col min="2" max="2" width="7.625" style="136" customWidth="1"/>
    <col min="3" max="3" width="25.625" style="136" customWidth="1"/>
    <col min="4" max="13" width="15.625" style="136" customWidth="1"/>
    <col min="14" max="16384" width="9" style="136"/>
  </cols>
  <sheetData>
    <row r="1" spans="2:13" ht="9.9499999999999993" customHeight="1" x14ac:dyDescent="0.15"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2:13" ht="24.95" customHeight="1" thickBot="1" x14ac:dyDescent="0.2">
      <c r="B2" s="346" t="s">
        <v>400</v>
      </c>
      <c r="F2" s="347" t="s">
        <v>267</v>
      </c>
      <c r="G2" s="346" t="s">
        <v>372</v>
      </c>
      <c r="I2" s="347" t="s">
        <v>268</v>
      </c>
      <c r="J2" s="136" t="s">
        <v>270</v>
      </c>
    </row>
    <row r="3" spans="2:13" ht="20.100000000000001" customHeight="1" x14ac:dyDescent="0.15">
      <c r="B3" s="728" t="s">
        <v>115</v>
      </c>
      <c r="C3" s="729"/>
      <c r="D3" s="446" t="s">
        <v>365</v>
      </c>
      <c r="E3" s="446" t="s">
        <v>366</v>
      </c>
      <c r="F3" s="446" t="s">
        <v>316</v>
      </c>
      <c r="G3" s="446" t="s">
        <v>317</v>
      </c>
      <c r="H3" s="446" t="s">
        <v>66</v>
      </c>
      <c r="I3" s="446" t="s">
        <v>319</v>
      </c>
      <c r="J3" s="446" t="s">
        <v>367</v>
      </c>
      <c r="K3" s="446" t="s">
        <v>368</v>
      </c>
      <c r="L3" s="446" t="s">
        <v>380</v>
      </c>
      <c r="M3" s="447"/>
    </row>
    <row r="4" spans="2:13" ht="150" customHeight="1" x14ac:dyDescent="0.15">
      <c r="B4" s="727" t="s">
        <v>109</v>
      </c>
      <c r="C4" s="466" t="s">
        <v>110</v>
      </c>
      <c r="D4" s="429" t="s">
        <v>369</v>
      </c>
      <c r="E4" s="429" t="s">
        <v>492</v>
      </c>
      <c r="F4" s="429" t="s">
        <v>493</v>
      </c>
      <c r="G4" s="429" t="s">
        <v>494</v>
      </c>
      <c r="H4" s="429" t="s">
        <v>370</v>
      </c>
      <c r="I4" s="429" t="s">
        <v>371</v>
      </c>
      <c r="J4" s="429" t="s">
        <v>487</v>
      </c>
      <c r="K4" s="429" t="s">
        <v>495</v>
      </c>
      <c r="L4" s="429"/>
      <c r="M4" s="449"/>
    </row>
    <row r="5" spans="2:13" ht="20.100000000000001" customHeight="1" x14ac:dyDescent="0.15">
      <c r="B5" s="727"/>
      <c r="C5" s="466" t="s">
        <v>111</v>
      </c>
      <c r="D5" s="561" t="s">
        <v>383</v>
      </c>
      <c r="E5" s="561" t="s">
        <v>373</v>
      </c>
      <c r="F5" s="561" t="s">
        <v>384</v>
      </c>
      <c r="G5" s="562"/>
      <c r="H5" s="561" t="s">
        <v>375</v>
      </c>
      <c r="I5" s="561" t="s">
        <v>385</v>
      </c>
      <c r="J5" s="561" t="s">
        <v>386</v>
      </c>
      <c r="K5" s="561" t="s">
        <v>377</v>
      </c>
      <c r="L5" s="448"/>
      <c r="M5" s="455"/>
    </row>
    <row r="6" spans="2:13" ht="150" customHeight="1" x14ac:dyDescent="0.15">
      <c r="B6" s="727"/>
      <c r="C6" s="466" t="s">
        <v>114</v>
      </c>
      <c r="D6" s="563" t="s">
        <v>297</v>
      </c>
      <c r="E6" s="563" t="s">
        <v>291</v>
      </c>
      <c r="F6" s="563" t="s">
        <v>408</v>
      </c>
      <c r="G6" s="563" t="s">
        <v>293</v>
      </c>
      <c r="H6" s="559"/>
      <c r="I6" s="559" t="s">
        <v>293</v>
      </c>
      <c r="J6" s="559" t="s">
        <v>488</v>
      </c>
      <c r="K6" s="560" t="s">
        <v>491</v>
      </c>
      <c r="L6" s="429"/>
      <c r="M6" s="449"/>
    </row>
    <row r="7" spans="2:13" ht="20.100000000000001" customHeight="1" x14ac:dyDescent="0.15">
      <c r="B7" s="727"/>
      <c r="C7" s="557" t="s">
        <v>406</v>
      </c>
      <c r="D7" s="564"/>
      <c r="E7" s="564">
        <v>16</v>
      </c>
      <c r="F7" s="564">
        <v>6</v>
      </c>
      <c r="G7" s="565">
        <v>-1</v>
      </c>
      <c r="H7" s="466"/>
      <c r="I7" s="466">
        <v>2</v>
      </c>
      <c r="J7" s="466">
        <v>6.9</v>
      </c>
      <c r="K7" s="466">
        <v>12.1</v>
      </c>
      <c r="L7" s="448"/>
      <c r="M7" s="455"/>
    </row>
    <row r="8" spans="2:13" ht="20.100000000000001" customHeight="1" x14ac:dyDescent="0.15">
      <c r="B8" s="727"/>
      <c r="C8" s="558" t="s">
        <v>407</v>
      </c>
      <c r="D8" s="564">
        <v>17.2</v>
      </c>
      <c r="E8" s="564"/>
      <c r="F8" s="564">
        <v>18</v>
      </c>
      <c r="G8" s="565">
        <v>-1</v>
      </c>
      <c r="H8" s="466"/>
      <c r="I8" s="466">
        <v>5.0999999999999996</v>
      </c>
      <c r="J8" s="466">
        <v>23.3</v>
      </c>
      <c r="K8" s="466">
        <v>3.7</v>
      </c>
      <c r="L8" s="448">
        <v>2</v>
      </c>
      <c r="M8" s="455"/>
    </row>
    <row r="9" spans="2:13" ht="20.100000000000001" customHeight="1" x14ac:dyDescent="0.15">
      <c r="B9" s="727"/>
      <c r="C9" s="466" t="s">
        <v>113</v>
      </c>
      <c r="D9" s="466"/>
      <c r="E9" s="466"/>
      <c r="F9" s="466"/>
      <c r="G9" s="466"/>
      <c r="H9" s="466"/>
      <c r="I9" s="466"/>
      <c r="J9" s="466"/>
      <c r="K9" s="466"/>
      <c r="L9" s="448"/>
      <c r="M9" s="455"/>
    </row>
    <row r="10" spans="2:13" ht="150" customHeight="1" x14ac:dyDescent="0.15">
      <c r="B10" s="732" t="s">
        <v>410</v>
      </c>
      <c r="C10" s="733"/>
      <c r="D10" s="431" t="s">
        <v>496</v>
      </c>
      <c r="E10" s="431"/>
      <c r="F10" s="431" t="s">
        <v>497</v>
      </c>
      <c r="G10" s="433" t="s">
        <v>498</v>
      </c>
      <c r="H10" s="432"/>
      <c r="I10" s="433" t="s">
        <v>499</v>
      </c>
      <c r="J10" s="433" t="s">
        <v>346</v>
      </c>
      <c r="K10" s="556" t="s">
        <v>409</v>
      </c>
      <c r="L10" s="453"/>
      <c r="M10" s="461"/>
    </row>
    <row r="11" spans="2:13" ht="150" customHeight="1" thickBot="1" x14ac:dyDescent="0.2">
      <c r="B11" s="734" t="s">
        <v>112</v>
      </c>
      <c r="C11" s="735"/>
      <c r="D11" s="457" t="s">
        <v>500</v>
      </c>
      <c r="E11" s="457" t="s">
        <v>501</v>
      </c>
      <c r="F11" s="457" t="s">
        <v>502</v>
      </c>
      <c r="G11" s="458" t="s">
        <v>503</v>
      </c>
      <c r="H11" s="458" t="s">
        <v>504</v>
      </c>
      <c r="I11" s="458" t="s">
        <v>505</v>
      </c>
      <c r="J11" s="458" t="s">
        <v>506</v>
      </c>
      <c r="K11" s="458" t="s">
        <v>507</v>
      </c>
      <c r="L11" s="462"/>
      <c r="M11" s="463"/>
    </row>
    <row r="12" spans="2:13" ht="9.75" customHeight="1" x14ac:dyDescent="0.15">
      <c r="B12" s="138"/>
    </row>
  </sheetData>
  <mergeCells count="4">
    <mergeCell ref="B3:C3"/>
    <mergeCell ref="B4:B9"/>
    <mergeCell ref="B10:C10"/>
    <mergeCell ref="B11:C11"/>
  </mergeCells>
  <phoneticPr fontId="6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J50"/>
  <sheetViews>
    <sheetView zoomScale="75" zoomScaleNormal="75" zoomScaleSheetLayoutView="71" workbookViewId="0"/>
  </sheetViews>
  <sheetFormatPr defaultColWidth="9" defaultRowHeight="13.5" x14ac:dyDescent="0.15"/>
  <cols>
    <col min="1" max="1" width="1.625" style="47" customWidth="1"/>
    <col min="2" max="2" width="7.625" style="47" customWidth="1"/>
    <col min="3" max="3" width="15.625" style="47" customWidth="1"/>
    <col min="4" max="9" width="20.625" style="47" customWidth="1"/>
    <col min="10" max="10" width="84.625" style="47" customWidth="1"/>
    <col min="11" max="11" width="9.25" style="47" bestFit="1" customWidth="1"/>
    <col min="12" max="16384" width="9" style="47"/>
  </cols>
  <sheetData>
    <row r="1" spans="2:10" ht="24.75" customHeight="1" x14ac:dyDescent="0.15">
      <c r="B1" s="751" t="s">
        <v>511</v>
      </c>
      <c r="C1" s="751"/>
      <c r="D1" s="751"/>
    </row>
    <row r="2" spans="2:10" ht="24.95" customHeight="1" thickBot="1" x14ac:dyDescent="0.2">
      <c r="B2" s="48" t="s">
        <v>106</v>
      </c>
      <c r="C2" s="49"/>
      <c r="D2" s="49"/>
      <c r="J2" s="50"/>
    </row>
    <row r="3" spans="2:10" ht="20.100000000000001" customHeight="1" x14ac:dyDescent="0.15">
      <c r="B3" s="752" t="s">
        <v>281</v>
      </c>
      <c r="C3" s="753"/>
      <c r="D3" s="753"/>
      <c r="E3" s="753"/>
      <c r="F3" s="51" t="s">
        <v>282</v>
      </c>
      <c r="G3" s="51" t="s">
        <v>336</v>
      </c>
      <c r="H3" s="367" t="s">
        <v>337</v>
      </c>
      <c r="I3" s="367" t="s">
        <v>421</v>
      </c>
      <c r="J3" s="756" t="s">
        <v>280</v>
      </c>
    </row>
    <row r="4" spans="2:10" ht="20.100000000000001" customHeight="1" thickBot="1" x14ac:dyDescent="0.2">
      <c r="B4" s="754"/>
      <c r="C4" s="755"/>
      <c r="D4" s="755"/>
      <c r="E4" s="755"/>
      <c r="F4" s="412"/>
      <c r="G4" s="412">
        <f>'１　対象経営の概要，２　前提条件'!F13</f>
        <v>10</v>
      </c>
      <c r="H4" s="412">
        <f>'１　対象経営の概要，２　前提条件'!F14</f>
        <v>5</v>
      </c>
      <c r="I4" s="412"/>
      <c r="J4" s="757"/>
    </row>
    <row r="5" spans="2:10" ht="20.100000000000001" customHeight="1" x14ac:dyDescent="0.15">
      <c r="B5" s="741" t="s">
        <v>90</v>
      </c>
      <c r="C5" s="759" t="s">
        <v>58</v>
      </c>
      <c r="D5" s="52" t="s">
        <v>225</v>
      </c>
      <c r="E5" s="53"/>
      <c r="F5" s="54">
        <f>SUM(G5:I5)</f>
        <v>13170000</v>
      </c>
      <c r="G5" s="345">
        <f>'７－１　水稲部門（倒伏しやすい品種）収支'!F4*('１　対象経営の概要，２　前提条件'!$AB$26+'１　対象経営の概要，２　前提条件'!$AM$26+'１　対象経営の概要，２　前提条件'!$AB$28)</f>
        <v>9180000</v>
      </c>
      <c r="H5" s="345">
        <f>'７－２  水稲部門（加工用）収支'!F4*'１　対象経営の概要，２　前提条件'!$AM$28</f>
        <v>3990000</v>
      </c>
      <c r="I5" s="345">
        <f>'７－３　水稲部門（作業受託）収支 '!F4</f>
        <v>0</v>
      </c>
      <c r="J5" s="55"/>
    </row>
    <row r="6" spans="2:10" ht="20.100000000000001" customHeight="1" x14ac:dyDescent="0.15">
      <c r="B6" s="742"/>
      <c r="C6" s="760"/>
      <c r="D6" s="56" t="s">
        <v>91</v>
      </c>
      <c r="E6" s="57"/>
      <c r="F6" s="58">
        <f>SUM(G6:I6)</f>
        <v>1595600</v>
      </c>
      <c r="G6" s="62">
        <f>'７－１　水稲部門（倒伏しやすい品種）収支'!F5*('１　対象経営の概要，２　前提条件'!$AB$26+'１　対象経営の概要，２　前提条件'!$AM$26+'１　対象経営の概要，２　前提条件'!$AB$28)</f>
        <v>0</v>
      </c>
      <c r="H6" s="62">
        <f>'７－２  水稲部門（加工用）収支'!F5*'１　対象経営の概要，２　前提条件'!$AM$28</f>
        <v>0</v>
      </c>
      <c r="I6" s="62">
        <f>'７－３　水稲部門（作業受託）収支 '!F5</f>
        <v>1595600</v>
      </c>
      <c r="J6" s="59"/>
    </row>
    <row r="7" spans="2:10" ht="20.100000000000001" customHeight="1" x14ac:dyDescent="0.15">
      <c r="B7" s="742"/>
      <c r="C7" s="761"/>
      <c r="D7" s="762" t="s">
        <v>213</v>
      </c>
      <c r="E7" s="763"/>
      <c r="F7" s="60">
        <f>SUM(F5:F6)</f>
        <v>14765600</v>
      </c>
      <c r="G7" s="61">
        <f>G5+G6</f>
        <v>9180000</v>
      </c>
      <c r="H7" s="61">
        <f>SUM(H5:H6)</f>
        <v>3990000</v>
      </c>
      <c r="I7" s="61">
        <f t="shared" ref="I7" si="0">SUM(I5:I6)</f>
        <v>1595600</v>
      </c>
      <c r="J7" s="59"/>
    </row>
    <row r="8" spans="2:10" ht="20.100000000000001" customHeight="1" x14ac:dyDescent="0.15">
      <c r="B8" s="742"/>
      <c r="C8" s="764" t="s">
        <v>216</v>
      </c>
      <c r="D8" s="56" t="s">
        <v>59</v>
      </c>
      <c r="E8" s="57"/>
      <c r="F8" s="58">
        <f t="shared" ref="F8:F27" si="1">SUM(G8:I8)</f>
        <v>317956.40000000002</v>
      </c>
      <c r="G8" s="62">
        <f>'７－１　水稲部門（倒伏しやすい品種）収支'!F6*('１　対象経営の概要，２　前提条件'!$AB$26+'１　対象経営の概要，２　前提条件'!$AM$26+'１　対象経営の概要，２　前提条件'!$AB$28)</f>
        <v>206500</v>
      </c>
      <c r="H8" s="62">
        <f>'７－２  水稲部門（加工用）収支'!F6*'１　対象経営の概要，２　前提条件'!$AM$28</f>
        <v>96250</v>
      </c>
      <c r="I8" s="62">
        <f>'７－３　水稲部門（作業受託）収支 '!F6</f>
        <v>15206.4</v>
      </c>
      <c r="J8" s="59"/>
    </row>
    <row r="9" spans="2:10" ht="20.100000000000001" customHeight="1" x14ac:dyDescent="0.15">
      <c r="B9" s="742"/>
      <c r="C9" s="765"/>
      <c r="D9" s="56" t="s">
        <v>60</v>
      </c>
      <c r="E9" s="57"/>
      <c r="F9" s="58">
        <f t="shared" si="1"/>
        <v>1789260.75</v>
      </c>
      <c r="G9" s="62">
        <f>'７－１　水稲部門（倒伏しやすい品種）収支'!F7*('１　対象経営の概要，２　前提条件'!$AB$26+'１　対象経営の概要，２　前提条件'!$AM$26+'１　対象経営の概要，２　前提条件'!$AB$28)</f>
        <v>1091141.5</v>
      </c>
      <c r="H9" s="62">
        <f>'７－２  水稲部門（加工用）収支'!F7*'１　対象経営の概要，２　前提条件'!$AM$28</f>
        <v>698119.25</v>
      </c>
      <c r="I9" s="62">
        <f>'７－３　水稲部門（作業受託）収支 '!F7</f>
        <v>0</v>
      </c>
      <c r="J9" s="59"/>
    </row>
    <row r="10" spans="2:10" ht="20.100000000000001" customHeight="1" x14ac:dyDescent="0.15">
      <c r="B10" s="742"/>
      <c r="C10" s="765"/>
      <c r="D10" s="56" t="s">
        <v>61</v>
      </c>
      <c r="E10" s="57"/>
      <c r="F10" s="58">
        <f t="shared" si="1"/>
        <v>988000.66666666663</v>
      </c>
      <c r="G10" s="62">
        <f>'７－１　水稲部門（倒伏しやすい品種）収支'!F8*('１　対象経営の概要，２　前提条件'!$AB$26+'１　対象経営の概要，２　前提条件'!$AM$26+'１　対象経営の概要，２　前提条件'!$AB$28)</f>
        <v>627572.66666666663</v>
      </c>
      <c r="H10" s="62">
        <f>'７－２  水稲部門（加工用）収支'!F8*'１　対象経営の概要，２　前提条件'!$AM$28</f>
        <v>360428</v>
      </c>
      <c r="I10" s="62">
        <f>'７－３　水稲部門（作業受託）収支 '!F8</f>
        <v>0</v>
      </c>
      <c r="J10" s="59"/>
    </row>
    <row r="11" spans="2:10" ht="20.100000000000001" customHeight="1" x14ac:dyDescent="0.15">
      <c r="B11" s="742"/>
      <c r="C11" s="765"/>
      <c r="D11" s="56" t="s">
        <v>92</v>
      </c>
      <c r="E11" s="57"/>
      <c r="F11" s="58">
        <f t="shared" si="1"/>
        <v>435824.00679999992</v>
      </c>
      <c r="G11" s="62">
        <f>'７－１　水稲部門（倒伏しやすい品種）収支'!F9*('１　対象経営の概要，２　前提条件'!$AB$26+'１　対象経営の概要，２　前提条件'!$AM$26+'１　対象経営の概要，２　前提条件'!$AB$28)</f>
        <v>273336.30799999996</v>
      </c>
      <c r="H11" s="62">
        <f>'７－２  水稲部門（加工用）収支'!F9*'１　対象経営の概要，２　前提条件'!$AM$28</f>
        <v>136668.15399999998</v>
      </c>
      <c r="I11" s="62">
        <f>'７－３　水稲部門（作業受託）収支 '!F9</f>
        <v>25819.5448</v>
      </c>
      <c r="J11" s="59"/>
    </row>
    <row r="12" spans="2:10" ht="20.100000000000001" customHeight="1" x14ac:dyDescent="0.15">
      <c r="B12" s="742"/>
      <c r="C12" s="765"/>
      <c r="D12" s="56" t="s">
        <v>62</v>
      </c>
      <c r="E12" s="57"/>
      <c r="F12" s="58">
        <f t="shared" si="1"/>
        <v>87100</v>
      </c>
      <c r="G12" s="62">
        <f>'７－１　水稲部門（倒伏しやすい品種）収支'!F10*('１　対象経営の概要，２　前提条件'!$AB$26+'１　対象経営の概要，２　前提条件'!$AM$26+'１　対象経営の概要，２　前提条件'!$AB$28)</f>
        <v>58066.666666666672</v>
      </c>
      <c r="H12" s="62">
        <f>'７－２  水稲部門（加工用）収支'!F10*'１　対象経営の概要，２　前提条件'!$AM$28</f>
        <v>29033.333333333336</v>
      </c>
      <c r="I12" s="62">
        <f>'７－３　水稲部門（作業受託）収支 '!F10</f>
        <v>0</v>
      </c>
      <c r="J12" s="59"/>
    </row>
    <row r="13" spans="2:10" ht="20.100000000000001" customHeight="1" x14ac:dyDescent="0.15">
      <c r="B13" s="742"/>
      <c r="C13" s="765"/>
      <c r="D13" s="56" t="s">
        <v>6</v>
      </c>
      <c r="E13" s="57"/>
      <c r="F13" s="58">
        <f t="shared" si="1"/>
        <v>3833.333333333333</v>
      </c>
      <c r="G13" s="62">
        <f>'７－１　水稲部門（倒伏しやすい品種）収支'!F11*('１　対象経営の概要，２　前提条件'!$AB$26+'１　対象経営の概要，２　前提条件'!$AM$26+'１　対象経営の概要，２　前提条件'!$AB$28)</f>
        <v>1666.6666666666665</v>
      </c>
      <c r="H13" s="62">
        <f>'７－２  水稲部門（加工用）収支'!F11*'１　対象経営の概要，２　前提条件'!$AM$28</f>
        <v>833.33333333333326</v>
      </c>
      <c r="I13" s="62">
        <f>'７－３　水稲部門（作業受託）収支 '!F11</f>
        <v>1333.3333333333333</v>
      </c>
      <c r="J13" s="59"/>
    </row>
    <row r="14" spans="2:10" ht="20.100000000000001" customHeight="1" x14ac:dyDescent="0.15">
      <c r="B14" s="742"/>
      <c r="C14" s="765"/>
      <c r="D14" s="56" t="s">
        <v>7</v>
      </c>
      <c r="E14" s="57"/>
      <c r="F14" s="62">
        <f t="shared" si="1"/>
        <v>2997000</v>
      </c>
      <c r="G14" s="62">
        <f>'７－１　水稲部門（倒伏しやすい品種）収支'!F12*('１　対象経営の概要，２　前提条件'!$AB$26+'１　対象経営の概要，２　前提条件'!$AM$26+'１　対象経営の概要，２　前提条件'!$AB$28)</f>
        <v>1887000</v>
      </c>
      <c r="H14" s="62">
        <f>'７－２  水稲部門（加工用）収支'!F12*'１　対象経営の概要，２　前提条件'!$AM$28</f>
        <v>1110000</v>
      </c>
      <c r="I14" s="62">
        <f>'７－３　水稲部門（作業受託）収支 '!F12</f>
        <v>0</v>
      </c>
      <c r="J14" s="59"/>
    </row>
    <row r="15" spans="2:10" ht="20.100000000000001" customHeight="1" x14ac:dyDescent="0.15">
      <c r="B15" s="742"/>
      <c r="C15" s="765"/>
      <c r="D15" s="767" t="s">
        <v>63</v>
      </c>
      <c r="E15" s="63" t="s">
        <v>205</v>
      </c>
      <c r="F15" s="62">
        <f t="shared" si="1"/>
        <v>39251.211882352938</v>
      </c>
      <c r="G15" s="62">
        <f>'７－１　水稲部門（倒伏しやすい品種）収支'!F13*('１　対象経営の概要，２　前提条件'!$AB$26+'１　対象経営の概要，２　前提条件'!$AM$26+'１　対象経営の概要，２　前提条件'!$AB$28)</f>
        <v>25761.970588235294</v>
      </c>
      <c r="H15" s="62">
        <f>'７－２  水稲部門（加工用）収支'!F13*'１　対象経営の概要，２　前提条件'!$AM$28</f>
        <v>12880.985294117647</v>
      </c>
      <c r="I15" s="62">
        <f>'７－３　水稲部門（作業受託）収支 '!F13</f>
        <v>608.25599999999997</v>
      </c>
      <c r="J15" s="59"/>
    </row>
    <row r="16" spans="2:10" ht="20.100000000000001" customHeight="1" x14ac:dyDescent="0.15">
      <c r="B16" s="742"/>
      <c r="C16" s="765"/>
      <c r="D16" s="768"/>
      <c r="E16" s="63" t="s">
        <v>206</v>
      </c>
      <c r="F16" s="62">
        <f t="shared" si="1"/>
        <v>1010799.4130915523</v>
      </c>
      <c r="G16" s="62">
        <f>'７－１　水稲部門（倒伏しやすい品種）収支'!F14*('１　対象経営の概要，２　前提条件'!$AB$26+'１　対象経営の概要，２　前提条件'!$AM$26+'１　対象経営の概要，２　前提条件'!$AB$28)</f>
        <v>652883.74613003095</v>
      </c>
      <c r="H16" s="62">
        <f>'７－２  水稲部門（加工用）収支'!F14*'１　対象経営の概要，２　前提条件'!$AM$28</f>
        <v>326441.87306501548</v>
      </c>
      <c r="I16" s="62">
        <f>'７－３　水稲部門（作業受託）収支 '!F14</f>
        <v>31473.793896505973</v>
      </c>
      <c r="J16" s="59"/>
    </row>
    <row r="17" spans="2:10" ht="20.100000000000001" customHeight="1" x14ac:dyDescent="0.15">
      <c r="B17" s="742"/>
      <c r="C17" s="765"/>
      <c r="D17" s="769" t="s">
        <v>93</v>
      </c>
      <c r="E17" s="63" t="s">
        <v>205</v>
      </c>
      <c r="F17" s="62">
        <f t="shared" si="1"/>
        <v>276183.15882352943</v>
      </c>
      <c r="G17" s="62">
        <f>'７－１　水稲部門（倒伏しやすい品種）収支'!F15*('１　対象経営の概要，２　前提条件'!$AB$26+'１　対象経営の概要，２　前提条件'!$AM$26+'１　対象経営の概要，２　前提条件'!$AB$28)</f>
        <v>143571.70588235295</v>
      </c>
      <c r="H17" s="62">
        <f>'７－２  水稲部門（加工用）収支'!F15*'１　対象経営の概要，２　前提条件'!$AM$28</f>
        <v>71785.852941176476</v>
      </c>
      <c r="I17" s="62">
        <f>'７－３　水稲部門（作業受託）収支 '!F15</f>
        <v>60825.599999999999</v>
      </c>
      <c r="J17" s="59"/>
    </row>
    <row r="18" spans="2:10" ht="20.100000000000001" customHeight="1" x14ac:dyDescent="0.15">
      <c r="B18" s="742"/>
      <c r="C18" s="765"/>
      <c r="D18" s="770"/>
      <c r="E18" s="63" t="s">
        <v>206</v>
      </c>
      <c r="F18" s="62">
        <f t="shared" si="1"/>
        <v>3808120.5042016804</v>
      </c>
      <c r="G18" s="62">
        <f>'７－１　水稲部門（倒伏しやすい品種）収支'!F16*('１　対象経営の概要，２　前提条件'!$AB$26+'１　対象経営の概要，２　前提条件'!$AM$26+'１　対象経営の概要，２　前提条件'!$AB$28)</f>
        <v>2119096.417514374</v>
      </c>
      <c r="H18" s="62">
        <f>'７－２  水稲部門（加工用）収支'!F16*'１　対象経営の概要，２　前提条件'!$AM$28</f>
        <v>1059548.208757187</v>
      </c>
      <c r="I18" s="62">
        <f>'７－３　水稲部門（作業受託）収支 '!F16</f>
        <v>629475.8779301194</v>
      </c>
      <c r="J18" s="59"/>
    </row>
    <row r="19" spans="2:10" ht="20.100000000000001" customHeight="1" x14ac:dyDescent="0.15">
      <c r="B19" s="742"/>
      <c r="C19" s="765"/>
      <c r="D19" s="768"/>
      <c r="E19" s="66" t="s">
        <v>64</v>
      </c>
      <c r="F19" s="62">
        <f t="shared" si="1"/>
        <v>0</v>
      </c>
      <c r="G19" s="62">
        <f>'７－１　水稲部門（倒伏しやすい品種）収支'!F17*('１　対象経営の概要，２　前提条件'!$AB$26+'１　対象経営の概要，２　前提条件'!$AM$26+'１　対象経営の概要，２　前提条件'!$AB$28)</f>
        <v>0</v>
      </c>
      <c r="H19" s="62">
        <f>'７－２  水稲部門（加工用）収支'!F17*'１　対象経営の概要，２　前提条件'!$AM$28</f>
        <v>0</v>
      </c>
      <c r="I19" s="62">
        <f>'７－３　水稲部門（作業受託）収支 '!F17</f>
        <v>0</v>
      </c>
      <c r="J19" s="59"/>
    </row>
    <row r="20" spans="2:10" ht="20.100000000000001" customHeight="1" x14ac:dyDescent="0.15">
      <c r="B20" s="742"/>
      <c r="C20" s="765"/>
      <c r="D20" s="771" t="s">
        <v>277</v>
      </c>
      <c r="E20" s="66" t="s">
        <v>127</v>
      </c>
      <c r="F20" s="62">
        <f t="shared" si="1"/>
        <v>0</v>
      </c>
      <c r="G20" s="62">
        <f>'７－１　水稲部門（倒伏しやすい品種）収支'!F18*('１　対象経営の概要，２　前提条件'!$AB$26+'１　対象経営の概要，２　前提条件'!$AM$26+'１　対象経営の概要，２　前提条件'!$AB$28)</f>
        <v>0</v>
      </c>
      <c r="H20" s="62">
        <f>'７－２  水稲部門（加工用）収支'!F18*'１　対象経営の概要，２　前提条件'!$AM$28</f>
        <v>0</v>
      </c>
      <c r="I20" s="62">
        <f>'７－３　水稲部門（作業受託）収支 '!F18</f>
        <v>0</v>
      </c>
      <c r="J20" s="59"/>
    </row>
    <row r="21" spans="2:10" ht="20.100000000000001" customHeight="1" x14ac:dyDescent="0.15">
      <c r="B21" s="742"/>
      <c r="C21" s="765"/>
      <c r="D21" s="771"/>
      <c r="E21" s="66" t="s">
        <v>123</v>
      </c>
      <c r="F21" s="62">
        <f t="shared" si="1"/>
        <v>0</v>
      </c>
      <c r="G21" s="62">
        <f>'７－１　水稲部門（倒伏しやすい品種）収支'!F19*('１　対象経営の概要，２　前提条件'!$AB$26+'１　対象経営の概要，２　前提条件'!$AM$26+'１　対象経営の概要，２　前提条件'!$AB$28)</f>
        <v>0</v>
      </c>
      <c r="H21" s="62">
        <f>'７－２  水稲部門（加工用）収支'!F19*'１　対象経営の概要，２　前提条件'!$AM$28</f>
        <v>0</v>
      </c>
      <c r="I21" s="62">
        <f>'７－３　水稲部門（作業受託）収支 '!F19</f>
        <v>0</v>
      </c>
      <c r="J21" s="59"/>
    </row>
    <row r="22" spans="2:10" ht="20.100000000000001" customHeight="1" x14ac:dyDescent="0.15">
      <c r="B22" s="742"/>
      <c r="C22" s="765"/>
      <c r="D22" s="771"/>
      <c r="E22" s="66" t="s">
        <v>124</v>
      </c>
      <c r="F22" s="62">
        <f t="shared" si="1"/>
        <v>0</v>
      </c>
      <c r="G22" s="62">
        <f>'７－１　水稲部門（倒伏しやすい品種）収支'!F20*('１　対象経営の概要，２　前提条件'!$AB$26+'１　対象経営の概要，２　前提条件'!$AM$26+'１　対象経営の概要，２　前提条件'!$AB$28)</f>
        <v>0</v>
      </c>
      <c r="H22" s="62">
        <f>'７－２  水稲部門（加工用）収支'!F20*'１　対象経営の概要，２　前提条件'!$AM$28</f>
        <v>0</v>
      </c>
      <c r="I22" s="62">
        <f>'７－３　水稲部門（作業受託）収支 '!F20</f>
        <v>0</v>
      </c>
      <c r="J22" s="59"/>
    </row>
    <row r="23" spans="2:10" ht="20.100000000000001" customHeight="1" x14ac:dyDescent="0.15">
      <c r="B23" s="742"/>
      <c r="C23" s="765"/>
      <c r="D23" s="771"/>
      <c r="E23" s="220" t="s">
        <v>126</v>
      </c>
      <c r="F23" s="62">
        <f t="shared" si="1"/>
        <v>0</v>
      </c>
      <c r="G23" s="62">
        <f>'７－１　水稲部門（倒伏しやすい品種）収支'!F21*('１　対象経営の概要，２　前提条件'!$AB$26+'１　対象経営の概要，２　前提条件'!$AM$26+'１　対象経営の概要，２　前提条件'!$AB$28)</f>
        <v>0</v>
      </c>
      <c r="H23" s="62">
        <f>'７－２  水稲部門（加工用）収支'!F21*'１　対象経営の概要，２　前提条件'!$AM$28</f>
        <v>0</v>
      </c>
      <c r="I23" s="62">
        <f>'７－３　水稲部門（作業受託）収支 '!F21</f>
        <v>0</v>
      </c>
      <c r="J23" s="59"/>
    </row>
    <row r="24" spans="2:10" ht="20.100000000000001" customHeight="1" x14ac:dyDescent="0.15">
      <c r="B24" s="742"/>
      <c r="C24" s="765"/>
      <c r="D24" s="769" t="s">
        <v>65</v>
      </c>
      <c r="E24" s="57" t="s">
        <v>66</v>
      </c>
      <c r="F24" s="62">
        <f t="shared" si="1"/>
        <v>356400</v>
      </c>
      <c r="G24" s="62">
        <f>'７－１　水稲部門（倒伏しやすい品種）収支'!F22*('１　対象経営の概要，２　前提条件'!$AB$26+'１　対象経営の概要，２　前提条件'!$AM$26+'１　対象経営の概要，２　前提条件'!$AB$28)</f>
        <v>237600</v>
      </c>
      <c r="H24" s="62">
        <f>'７－２  水稲部門（加工用）収支'!F22*'１　対象経営の概要，２　前提条件'!$AM$28</f>
        <v>118800</v>
      </c>
      <c r="I24" s="62">
        <f>'７－３　水稲部門（作業受託）収支 '!F22</f>
        <v>0</v>
      </c>
      <c r="J24" s="59"/>
    </row>
    <row r="25" spans="2:10" ht="20.100000000000001" customHeight="1" x14ac:dyDescent="0.15">
      <c r="B25" s="742"/>
      <c r="C25" s="765"/>
      <c r="D25" s="768"/>
      <c r="E25" s="57" t="s">
        <v>94</v>
      </c>
      <c r="F25" s="58">
        <f t="shared" si="1"/>
        <v>750000</v>
      </c>
      <c r="G25" s="62">
        <f>'７－１　水稲部門（倒伏しやすい品種）収支'!F23*('１　対象経営の概要，２　前提条件'!$AB$26+'１　対象経営の概要，２　前提条件'!$AM$26+'１　対象経営の概要，２　前提条件'!$AB$28)</f>
        <v>500000</v>
      </c>
      <c r="H25" s="62">
        <f>'７－２  水稲部門（加工用）収支'!F23*'１　対象経営の概要，２　前提条件'!$AM$28</f>
        <v>250000</v>
      </c>
      <c r="I25" s="62">
        <f>'７－３　水稲部門（作業受託）収支 '!F23</f>
        <v>0</v>
      </c>
      <c r="J25" s="59"/>
    </row>
    <row r="26" spans="2:10" ht="20.100000000000001" customHeight="1" x14ac:dyDescent="0.15">
      <c r="B26" s="742"/>
      <c r="C26" s="765"/>
      <c r="D26" s="56" t="s">
        <v>67</v>
      </c>
      <c r="E26" s="57"/>
      <c r="F26" s="58">
        <f t="shared" si="1"/>
        <v>450000</v>
      </c>
      <c r="G26" s="62">
        <f>'７－１　水稲部門（倒伏しやすい品種）収支'!F24*('１　対象経営の概要，２　前提条件'!$AB$26+'１　対象経営の概要，２　前提条件'!$AM$26+'１　対象経営の概要，２　前提条件'!$AB$28)</f>
        <v>300000</v>
      </c>
      <c r="H26" s="62">
        <f>'７－２  水稲部門（加工用）収支'!F24*'１　対象経営の概要，２　前提条件'!$AM$28</f>
        <v>150000</v>
      </c>
      <c r="I26" s="62">
        <f>'７－３　水稲部門（作業受託）収支 '!F24</f>
        <v>0</v>
      </c>
      <c r="J26" s="59"/>
    </row>
    <row r="27" spans="2:10" ht="20.100000000000001" customHeight="1" x14ac:dyDescent="0.15">
      <c r="B27" s="742"/>
      <c r="C27" s="765"/>
      <c r="D27" s="56" t="s">
        <v>183</v>
      </c>
      <c r="E27" s="57"/>
      <c r="F27" s="58">
        <f t="shared" si="1"/>
        <v>134441.71156362741</v>
      </c>
      <c r="G27" s="62">
        <f>'７－１　水稲部門（倒伏しやすい品種）収支'!F25*('１　対象経営の概要，２　前提条件'!$AB$26+'１　対象経営の概要，２　前提条件'!$AM$26+'１　対象経営の概要，２　前提条件'!$AB$28)</f>
        <v>82062.602506212046</v>
      </c>
      <c r="H27" s="62">
        <f>'７－２  水稲部門（加工用）収支'!F25*'１　対象経営の概要，２　前提条件'!$AM$28</f>
        <v>44654.434249739024</v>
      </c>
      <c r="I27" s="62">
        <f>'７－３　水稲部門（作業受託）収支 '!F25</f>
        <v>7724.6748076763506</v>
      </c>
      <c r="J27" s="59"/>
    </row>
    <row r="28" spans="2:10" ht="20.100000000000001" customHeight="1" x14ac:dyDescent="0.15">
      <c r="B28" s="742"/>
      <c r="C28" s="766"/>
      <c r="D28" s="772" t="s">
        <v>217</v>
      </c>
      <c r="E28" s="773"/>
      <c r="F28" s="64">
        <f>SUM(F8:F27)</f>
        <v>13444171.156362742</v>
      </c>
      <c r="G28" s="64">
        <f>SUM(G8:G27)</f>
        <v>8206260.2506212043</v>
      </c>
      <c r="H28" s="64">
        <f>SUM(H8:H27)</f>
        <v>4465443.4249739023</v>
      </c>
      <c r="I28" s="64">
        <f t="shared" ref="I28" si="2">SUM(I8:I27)</f>
        <v>772467.48076763505</v>
      </c>
      <c r="J28" s="59"/>
    </row>
    <row r="29" spans="2:10" ht="20.100000000000001" customHeight="1" x14ac:dyDescent="0.15">
      <c r="B29" s="742"/>
      <c r="C29" s="762" t="s">
        <v>214</v>
      </c>
      <c r="D29" s="774"/>
      <c r="E29" s="763"/>
      <c r="F29" s="60">
        <f>F7-F28</f>
        <v>1321428.8436372578</v>
      </c>
      <c r="G29" s="60">
        <f>G7-G28</f>
        <v>973739.74937879574</v>
      </c>
      <c r="H29" s="60">
        <f>H7-H28</f>
        <v>-475443.42497390229</v>
      </c>
      <c r="I29" s="60">
        <f t="shared" ref="I29" si="3">I7-I28</f>
        <v>823132.51923236495</v>
      </c>
      <c r="J29" s="59"/>
    </row>
    <row r="30" spans="2:10" ht="20.100000000000001" customHeight="1" x14ac:dyDescent="0.15">
      <c r="B30" s="742"/>
      <c r="C30" s="747" t="s">
        <v>211</v>
      </c>
      <c r="D30" s="777" t="s">
        <v>68</v>
      </c>
      <c r="E30" s="77" t="s">
        <v>3</v>
      </c>
      <c r="F30" s="65">
        <f>SUM(G30:I30)</f>
        <v>216000</v>
      </c>
      <c r="G30" s="62">
        <f>'７－１　水稲部門（倒伏しやすい品種）収支'!F27*('１　対象経営の概要，２　前提条件'!$AB$26+'１　対象経営の概要，２　前提条件'!$AM$26+'１　対象経営の概要，２　前提条件'!$AB$28)</f>
        <v>136000</v>
      </c>
      <c r="H30" s="62">
        <f>'７－２  水稲部門（加工用）収支'!F27*'１　対象経営の概要，２　前提条件'!$AM$28</f>
        <v>80000</v>
      </c>
      <c r="I30" s="62">
        <f>'７－３　水稲部門（作業受託）収支 '!F27</f>
        <v>0</v>
      </c>
      <c r="J30" s="59"/>
    </row>
    <row r="31" spans="2:10" ht="20.100000000000001" customHeight="1" x14ac:dyDescent="0.15">
      <c r="B31" s="742"/>
      <c r="C31" s="775"/>
      <c r="D31" s="778"/>
      <c r="E31" s="77" t="s">
        <v>4</v>
      </c>
      <c r="F31" s="65">
        <f>SUM(G31:I31)</f>
        <v>0</v>
      </c>
      <c r="G31" s="62">
        <f>'７－１　水稲部門（倒伏しやすい品種）収支'!F28*('１　対象経営の概要，２　前提条件'!$AB$26+'１　対象経営の概要，２　前提条件'!$AM$26+'１　対象経営の概要，２　前提条件'!$AB$28)</f>
        <v>0</v>
      </c>
      <c r="H31" s="62">
        <f>'７－２  水稲部門（加工用）収支'!F28*'１　対象経営の概要，２　前提条件'!$AM$28</f>
        <v>0</v>
      </c>
      <c r="I31" s="62">
        <f>'７－３　水稲部門（作業受託）収支 '!F28</f>
        <v>0</v>
      </c>
      <c r="J31" s="59"/>
    </row>
    <row r="32" spans="2:10" ht="20.100000000000001" customHeight="1" x14ac:dyDescent="0.15">
      <c r="B32" s="742"/>
      <c r="C32" s="775"/>
      <c r="D32" s="779"/>
      <c r="E32" s="77" t="s">
        <v>8</v>
      </c>
      <c r="F32" s="65">
        <f>SUM(G32:I32)</f>
        <v>237500</v>
      </c>
      <c r="G32" s="62">
        <f>'７－１　水稲部門（倒伏しやすい品種）収支'!F29*('１　対象経営の概要，２　前提条件'!$AB$26+'１　対象経営の概要，２　前提条件'!$AM$26+'１　対象経営の概要，２　前提条件'!$AB$28)</f>
        <v>212500</v>
      </c>
      <c r="H32" s="62">
        <f>'７－２  水稲部門（加工用）収支'!F29*'１　対象経営の概要，２　前提条件'!$AM$28</f>
        <v>25000</v>
      </c>
      <c r="I32" s="62">
        <f>'７－３　水稲部門（作業受託）収支 '!F29</f>
        <v>0</v>
      </c>
      <c r="J32" s="59"/>
    </row>
    <row r="33" spans="2:10" ht="20.100000000000001" customHeight="1" x14ac:dyDescent="0.15">
      <c r="B33" s="742"/>
      <c r="C33" s="775"/>
      <c r="D33" s="77" t="s">
        <v>69</v>
      </c>
      <c r="E33" s="78"/>
      <c r="F33" s="566">
        <v>0</v>
      </c>
      <c r="G33" s="566">
        <v>0</v>
      </c>
      <c r="H33" s="566">
        <v>0</v>
      </c>
      <c r="I33" s="566">
        <v>0</v>
      </c>
      <c r="J33" s="59"/>
    </row>
    <row r="34" spans="2:10" ht="20.100000000000001" customHeight="1" x14ac:dyDescent="0.15">
      <c r="B34" s="742"/>
      <c r="C34" s="775"/>
      <c r="D34" s="736" t="s">
        <v>278</v>
      </c>
      <c r="E34" s="66" t="s">
        <v>127</v>
      </c>
      <c r="F34" s="566">
        <v>0</v>
      </c>
      <c r="G34" s="566">
        <v>0</v>
      </c>
      <c r="H34" s="566">
        <v>0</v>
      </c>
      <c r="I34" s="566">
        <v>0</v>
      </c>
      <c r="J34" s="59"/>
    </row>
    <row r="35" spans="2:10" ht="20.100000000000001" customHeight="1" x14ac:dyDescent="0.15">
      <c r="B35" s="742"/>
      <c r="C35" s="775"/>
      <c r="D35" s="736"/>
      <c r="E35" s="66" t="s">
        <v>126</v>
      </c>
      <c r="F35" s="566">
        <v>0</v>
      </c>
      <c r="G35" s="566">
        <v>0</v>
      </c>
      <c r="H35" s="566">
        <v>0</v>
      </c>
      <c r="I35" s="566">
        <v>0</v>
      </c>
      <c r="J35" s="59"/>
    </row>
    <row r="36" spans="2:10" ht="20.100000000000001" customHeight="1" x14ac:dyDescent="0.15">
      <c r="B36" s="742"/>
      <c r="C36" s="775"/>
      <c r="D36" s="77" t="s">
        <v>70</v>
      </c>
      <c r="E36" s="78"/>
      <c r="F36" s="566">
        <v>0</v>
      </c>
      <c r="G36" s="566">
        <v>0</v>
      </c>
      <c r="H36" s="566">
        <v>0</v>
      </c>
      <c r="I36" s="566">
        <v>0</v>
      </c>
      <c r="J36" s="59"/>
    </row>
    <row r="37" spans="2:10" ht="20.100000000000001" customHeight="1" x14ac:dyDescent="0.15">
      <c r="B37" s="742"/>
      <c r="C37" s="775"/>
      <c r="D37" s="77" t="s">
        <v>95</v>
      </c>
      <c r="E37" s="78"/>
      <c r="F37" s="566">
        <v>0</v>
      </c>
      <c r="G37" s="566">
        <v>0</v>
      </c>
      <c r="H37" s="566">
        <v>0</v>
      </c>
      <c r="I37" s="566">
        <v>0</v>
      </c>
      <c r="J37" s="59"/>
    </row>
    <row r="38" spans="2:10" ht="20.100000000000001" customHeight="1" x14ac:dyDescent="0.15">
      <c r="B38" s="742"/>
      <c r="C38" s="775"/>
      <c r="D38" s="77" t="s">
        <v>130</v>
      </c>
      <c r="E38" s="78"/>
      <c r="F38" s="58">
        <f>SUM(G38:I38)</f>
        <v>118304</v>
      </c>
      <c r="G38" s="62">
        <f>'７－１　水稲部門（倒伏しやすい品種）収支'!F35*('１　対象経営の概要，２　前提条件'!$AB$26+'１　対象経営の概要，２　前提条件'!$AM$26+'１　対象経営の概要，２　前提条件'!$AB$28)</f>
        <v>93340</v>
      </c>
      <c r="H38" s="62">
        <f>'７－２  水稲部門（加工用）収支'!F35*'１　対象経営の概要，２　前提条件'!$AM$28</f>
        <v>46670</v>
      </c>
      <c r="I38" s="62">
        <f>'７－３　水稲部門（作業受託）収支 '!F35</f>
        <v>-21706</v>
      </c>
      <c r="J38" s="59"/>
    </row>
    <row r="39" spans="2:10" ht="20.100000000000001" customHeight="1" x14ac:dyDescent="0.15">
      <c r="B39" s="742"/>
      <c r="C39" s="775"/>
      <c r="D39" s="77" t="s">
        <v>96</v>
      </c>
      <c r="E39" s="78"/>
      <c r="F39" s="58">
        <f>SUM(G39:I39)</f>
        <v>0</v>
      </c>
      <c r="G39" s="62">
        <f>'７－１　水稲部門（倒伏しやすい品種）収支'!F36*('１　対象経営の概要，２　前提条件'!$AB$26+'１　対象経営の概要，２　前提条件'!$AM$26+'１　対象経営の概要，２　前提条件'!$AB$28)</f>
        <v>0</v>
      </c>
      <c r="H39" s="62">
        <f>'７－２  水稲部門（加工用）収支'!F36*'１　対象経営の概要，２　前提条件'!$AM$28</f>
        <v>0</v>
      </c>
      <c r="I39" s="62">
        <f>'７－３　水稲部門（作業受託）収支 '!F36</f>
        <v>0</v>
      </c>
      <c r="J39" s="59"/>
    </row>
    <row r="40" spans="2:10" ht="20.100000000000001" customHeight="1" x14ac:dyDescent="0.15">
      <c r="B40" s="742"/>
      <c r="C40" s="775"/>
      <c r="D40" s="77" t="s">
        <v>71</v>
      </c>
      <c r="E40" s="78"/>
      <c r="F40" s="58">
        <f>SUM(G40:I40)</f>
        <v>57009.444393188853</v>
      </c>
      <c r="G40" s="62">
        <f>'７－１　水稲部門（倒伏しやすい品種）収支'!F37*('１　対象経営の概要，２　前提条件'!$AB$26+'１　対象経営の概要，２　前提条件'!$AM$26+'１　対象経営の概要，２　前提条件'!$AB$28)</f>
        <v>24786.714953560371</v>
      </c>
      <c r="H40" s="62">
        <f>'７－２  水稲部門（加工用）収支'!F37*'１　対象経営の概要，２　前提条件'!$AM$28</f>
        <v>12393.357476780186</v>
      </c>
      <c r="I40" s="62">
        <f>'７－３　水稲部門（作業受託）収支 '!F37</f>
        <v>19829.371962848298</v>
      </c>
      <c r="J40" s="59"/>
    </row>
    <row r="41" spans="2:10" ht="20.100000000000001" customHeight="1" x14ac:dyDescent="0.15">
      <c r="B41" s="742"/>
      <c r="C41" s="775"/>
      <c r="D41" s="77" t="s">
        <v>0</v>
      </c>
      <c r="E41" s="78"/>
      <c r="F41" s="58">
        <v>0</v>
      </c>
      <c r="G41" s="62">
        <f>'７－１　水稲部門（倒伏しやすい品種）収支'!F38*('１　対象経営の概要，２　前提条件'!$AB$26+'１　対象経営の概要，２　前提条件'!$AM$26+'１　対象経営の概要，２　前提条件'!$AB$28)</f>
        <v>0</v>
      </c>
      <c r="H41" s="62">
        <f>'７－２  水稲部門（加工用）収支'!F38*'１　対象経営の概要，２　前提条件'!$AM$28</f>
        <v>0</v>
      </c>
      <c r="I41" s="62">
        <f>'７－３　水稲部門（作業受託）収支 '!F38</f>
        <v>0</v>
      </c>
      <c r="J41" s="59"/>
    </row>
    <row r="42" spans="2:10" ht="20.100000000000001" customHeight="1" thickBot="1" x14ac:dyDescent="0.2">
      <c r="B42" s="758"/>
      <c r="C42" s="776"/>
      <c r="D42" s="748" t="s">
        <v>215</v>
      </c>
      <c r="E42" s="750"/>
      <c r="F42" s="68">
        <f t="shared" ref="F42:F50" si="4">SUM(G42:I42)</f>
        <v>628813.44439318893</v>
      </c>
      <c r="G42" s="68">
        <f t="shared" ref="G42:I42" si="5">SUM(G30:G41)</f>
        <v>466626.71495356038</v>
      </c>
      <c r="H42" s="68">
        <f t="shared" si="5"/>
        <v>164063.35747678019</v>
      </c>
      <c r="I42" s="68">
        <f t="shared" si="5"/>
        <v>-1876.6280371517023</v>
      </c>
      <c r="J42" s="69"/>
    </row>
    <row r="43" spans="2:10" ht="20.100000000000001" customHeight="1" thickBot="1" x14ac:dyDescent="0.2">
      <c r="B43" s="739" t="s">
        <v>218</v>
      </c>
      <c r="C43" s="740"/>
      <c r="D43" s="740"/>
      <c r="E43" s="740"/>
      <c r="F43" s="70">
        <f t="shared" si="4"/>
        <v>692615.39924406947</v>
      </c>
      <c r="G43" s="343">
        <f>G29-G42</f>
        <v>507113.03442523535</v>
      </c>
      <c r="H43" s="343">
        <f t="shared" ref="H43:I43" si="6">H29-H42</f>
        <v>-639506.78245068248</v>
      </c>
      <c r="I43" s="343">
        <f t="shared" si="6"/>
        <v>825009.1472695166</v>
      </c>
      <c r="J43" s="71"/>
    </row>
    <row r="44" spans="2:10" ht="20.100000000000001" customHeight="1" x14ac:dyDescent="0.15">
      <c r="B44" s="741" t="s">
        <v>97</v>
      </c>
      <c r="C44" s="744" t="s">
        <v>219</v>
      </c>
      <c r="D44" s="72" t="s">
        <v>129</v>
      </c>
      <c r="E44" s="73"/>
      <c r="F44" s="74">
        <f t="shared" si="4"/>
        <v>3092500</v>
      </c>
      <c r="G44" s="342">
        <f>'７－１　水稲部門（倒伏しやすい品種）収支'!F40*('１　対象経営の概要，２　前提条件'!$AB$26+'１　対象経営の概要，２　前提条件'!$AM$26+'１　対象経営の概要，２　前提条件'!$AB$28)-7500</f>
        <v>742500</v>
      </c>
      <c r="H44" s="54">
        <f>'７－２  水稲部門（加工用）収支'!F40*'１　対象経営の概要，２　前提条件'!$AM$28</f>
        <v>2350000</v>
      </c>
      <c r="I44" s="411">
        <f>'７－３　水稲部門（作業受託）収支 '!F41</f>
        <v>0</v>
      </c>
      <c r="J44" s="55"/>
    </row>
    <row r="45" spans="2:10" ht="20.100000000000001" customHeight="1" x14ac:dyDescent="0.15">
      <c r="B45" s="742"/>
      <c r="C45" s="745"/>
      <c r="D45" s="56" t="s">
        <v>128</v>
      </c>
      <c r="E45" s="57"/>
      <c r="F45" s="75">
        <f t="shared" si="4"/>
        <v>0</v>
      </c>
      <c r="G45" s="342">
        <f>'７－１　水稲部門（倒伏しやすい品種）収支'!F41*('１　対象経営の概要，２　前提条件'!$AB$26+'１　対象経営の概要，２　前提条件'!$AM$26+'１　対象経営の概要，２　前提条件'!$AB$28)</f>
        <v>0</v>
      </c>
      <c r="H45" s="368">
        <f>'７－２  水稲部門（加工用）収支'!F41*'１　対象経営の概要，２　前提条件'!$AM$28</f>
        <v>0</v>
      </c>
      <c r="I45" s="368">
        <f>'７－３　水稲部門（作業受託）収支 '!F42</f>
        <v>0</v>
      </c>
      <c r="J45" s="76"/>
    </row>
    <row r="46" spans="2:10" ht="20.100000000000001" customHeight="1" x14ac:dyDescent="0.15">
      <c r="B46" s="742"/>
      <c r="C46" s="746"/>
      <c r="D46" s="77" t="s">
        <v>72</v>
      </c>
      <c r="E46" s="57"/>
      <c r="F46" s="75">
        <f t="shared" si="4"/>
        <v>0</v>
      </c>
      <c r="G46" s="342">
        <f>'７－１　水稲部門（倒伏しやすい品種）収支'!F42*('１　対象経営の概要，２　前提条件'!$AB$26+'１　対象経営の概要，２　前提条件'!$AM$26+'１　対象経営の概要，２　前提条件'!$AB$28)</f>
        <v>0</v>
      </c>
      <c r="H46" s="368">
        <f>'７－２  水稲部門（加工用）収支'!F42*'１　対象経営の概要，２　前提条件'!$AM$28</f>
        <v>0</v>
      </c>
      <c r="I46" s="368">
        <f>'７－３　水稲部門（作業受託）収支 '!F43</f>
        <v>0</v>
      </c>
      <c r="J46" s="59"/>
    </row>
    <row r="47" spans="2:10" ht="20.100000000000001" customHeight="1" x14ac:dyDescent="0.15">
      <c r="B47" s="742"/>
      <c r="C47" s="746" t="s">
        <v>220</v>
      </c>
      <c r="D47" s="77" t="s">
        <v>279</v>
      </c>
      <c r="E47" s="78"/>
      <c r="F47" s="75">
        <f t="shared" si="4"/>
        <v>0</v>
      </c>
      <c r="G47" s="342">
        <f>'７－１　水稲部門（倒伏しやすい品種）収支'!F43*('１　対象経営の概要，２　前提条件'!$AB$26+'１　対象経営の概要，２　前提条件'!$AM$26+'１　対象経営の概要，２　前提条件'!$AB$28)</f>
        <v>0</v>
      </c>
      <c r="H47" s="368">
        <f>'７－２  水稲部門（加工用）収支'!F43*'１　対象経営の概要，２　前提条件'!$AM$28</f>
        <v>0</v>
      </c>
      <c r="I47" s="368">
        <f>'７－３　水稲部門（作業受託）収支 '!F44</f>
        <v>0</v>
      </c>
      <c r="J47" s="76"/>
    </row>
    <row r="48" spans="2:10" ht="20.100000000000001" customHeight="1" x14ac:dyDescent="0.15">
      <c r="B48" s="742"/>
      <c r="C48" s="747"/>
      <c r="D48" s="79" t="s">
        <v>1</v>
      </c>
      <c r="E48" s="80"/>
      <c r="F48" s="81">
        <f t="shared" si="4"/>
        <v>0</v>
      </c>
      <c r="G48" s="342">
        <f>'７－１　水稲部門（倒伏しやすい品種）収支'!F44*('１　対象経営の概要，２　前提条件'!$AB$26+'１　対象経営の概要，２　前提条件'!$AM$26+'１　対象経営の概要，２　前提条件'!$AB$28)</f>
        <v>0</v>
      </c>
      <c r="H48" s="368">
        <f>'７－２  水稲部門（加工用）収支'!F44*'１　対象経営の概要，２　前提条件'!$AM$28</f>
        <v>0</v>
      </c>
      <c r="I48" s="368">
        <f>'７－３　水稲部門（作業受託）収支 '!F45</f>
        <v>0</v>
      </c>
      <c r="J48" s="82"/>
    </row>
    <row r="49" spans="2:10" ht="20.100000000000001" customHeight="1" thickBot="1" x14ac:dyDescent="0.2">
      <c r="B49" s="743"/>
      <c r="C49" s="748" t="s">
        <v>221</v>
      </c>
      <c r="D49" s="749"/>
      <c r="E49" s="750"/>
      <c r="F49" s="83">
        <f t="shared" si="4"/>
        <v>3092500</v>
      </c>
      <c r="G49" s="83">
        <f t="shared" ref="G49:I49" si="7">SUM(G44:G46)-SUM(G47:G48)</f>
        <v>742500</v>
      </c>
      <c r="H49" s="83">
        <f t="shared" si="7"/>
        <v>2350000</v>
      </c>
      <c r="I49" s="83">
        <f t="shared" si="7"/>
        <v>0</v>
      </c>
      <c r="J49" s="69"/>
    </row>
    <row r="50" spans="2:10" ht="20.100000000000001" customHeight="1" x14ac:dyDescent="0.15">
      <c r="B50" s="737" t="s">
        <v>222</v>
      </c>
      <c r="C50" s="738"/>
      <c r="D50" s="738"/>
      <c r="E50" s="738"/>
      <c r="F50" s="84">
        <f t="shared" si="4"/>
        <v>3785115.3992440696</v>
      </c>
      <c r="G50" s="84">
        <f t="shared" ref="G50:I50" si="8">G43+G49</f>
        <v>1249613.0344252354</v>
      </c>
      <c r="H50" s="369">
        <f t="shared" si="8"/>
        <v>1710493.2175493175</v>
      </c>
      <c r="I50" s="369">
        <f t="shared" si="8"/>
        <v>825009.1472695166</v>
      </c>
      <c r="J50" s="76"/>
    </row>
  </sheetData>
  <mergeCells count="23">
    <mergeCell ref="B1:D1"/>
    <mergeCell ref="B3:E4"/>
    <mergeCell ref="J3:J4"/>
    <mergeCell ref="B5:B42"/>
    <mergeCell ref="C5:C7"/>
    <mergeCell ref="D7:E7"/>
    <mergeCell ref="C8:C28"/>
    <mergeCell ref="D15:D16"/>
    <mergeCell ref="D17:D19"/>
    <mergeCell ref="D20:D23"/>
    <mergeCell ref="D24:D25"/>
    <mergeCell ref="D28:E28"/>
    <mergeCell ref="C29:E29"/>
    <mergeCell ref="C30:C42"/>
    <mergeCell ref="D30:D32"/>
    <mergeCell ref="D42:E42"/>
    <mergeCell ref="D34:D35"/>
    <mergeCell ref="B50:E50"/>
    <mergeCell ref="B43:E43"/>
    <mergeCell ref="B44:B49"/>
    <mergeCell ref="C44:C46"/>
    <mergeCell ref="C47:C48"/>
    <mergeCell ref="C49:E49"/>
  </mergeCells>
  <phoneticPr fontId="6"/>
  <pageMargins left="0.78740157480314965" right="0.78740157480314965" top="0.78740157480314965" bottom="0.78740157480314965" header="0.39370078740157483" footer="0.39370078740157483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BJ34"/>
  <sheetViews>
    <sheetView zoomScale="75" zoomScaleNormal="75" workbookViewId="0"/>
  </sheetViews>
  <sheetFormatPr defaultColWidth="9" defaultRowHeight="13.5" x14ac:dyDescent="0.15"/>
  <cols>
    <col min="1" max="1" width="1.625" style="86" customWidth="1"/>
    <col min="2" max="2" width="22.625" style="86" customWidth="1"/>
    <col min="3" max="38" width="6.125" style="86" customWidth="1"/>
    <col min="39" max="39" width="7" style="86" customWidth="1"/>
    <col min="40" max="40" width="1.5" style="86" customWidth="1"/>
    <col min="41" max="16384" width="9" style="86"/>
  </cols>
  <sheetData>
    <row r="1" spans="2:62" ht="9.9499999999999993" customHeight="1" x14ac:dyDescent="0.15"/>
    <row r="2" spans="2:62" ht="24.95" customHeight="1" thickBot="1" x14ac:dyDescent="0.2">
      <c r="B2" s="13" t="s">
        <v>508</v>
      </c>
      <c r="C2" s="13"/>
      <c r="D2" s="13"/>
      <c r="E2" s="13"/>
      <c r="F2" s="13"/>
      <c r="G2" s="13"/>
      <c r="H2" s="13"/>
      <c r="I2" s="347" t="s">
        <v>267</v>
      </c>
      <c r="J2" s="780" t="s">
        <v>401</v>
      </c>
      <c r="K2" s="780"/>
      <c r="L2" s="780"/>
      <c r="M2" s="780"/>
      <c r="N2" s="347" t="s">
        <v>268</v>
      </c>
      <c r="O2" s="136" t="s">
        <v>270</v>
      </c>
      <c r="P2" s="13"/>
      <c r="Q2" s="13"/>
      <c r="R2" s="13"/>
      <c r="S2" s="13"/>
      <c r="T2" s="13"/>
      <c r="U2" s="13"/>
      <c r="V2" s="88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2:62" ht="20.100000000000001" customHeight="1" x14ac:dyDescent="0.15">
      <c r="B3" s="789" t="s">
        <v>131</v>
      </c>
      <c r="C3" s="781">
        <v>1</v>
      </c>
      <c r="D3" s="782"/>
      <c r="E3" s="783"/>
      <c r="F3" s="781">
        <v>2</v>
      </c>
      <c r="G3" s="782"/>
      <c r="H3" s="783"/>
      <c r="I3" s="781">
        <v>3</v>
      </c>
      <c r="J3" s="782"/>
      <c r="K3" s="783"/>
      <c r="L3" s="781">
        <v>4</v>
      </c>
      <c r="M3" s="782"/>
      <c r="N3" s="783"/>
      <c r="O3" s="781">
        <v>5</v>
      </c>
      <c r="P3" s="782"/>
      <c r="Q3" s="783"/>
      <c r="R3" s="781">
        <v>6</v>
      </c>
      <c r="S3" s="782"/>
      <c r="T3" s="783"/>
      <c r="U3" s="781">
        <v>7</v>
      </c>
      <c r="V3" s="782"/>
      <c r="W3" s="783"/>
      <c r="X3" s="781">
        <v>8</v>
      </c>
      <c r="Y3" s="782"/>
      <c r="Z3" s="783"/>
      <c r="AA3" s="781">
        <v>9</v>
      </c>
      <c r="AB3" s="782"/>
      <c r="AC3" s="783"/>
      <c r="AD3" s="781">
        <v>10</v>
      </c>
      <c r="AE3" s="782"/>
      <c r="AF3" s="783"/>
      <c r="AG3" s="781">
        <v>11</v>
      </c>
      <c r="AH3" s="782"/>
      <c r="AI3" s="783"/>
      <c r="AJ3" s="781">
        <v>12</v>
      </c>
      <c r="AK3" s="782"/>
      <c r="AL3" s="783"/>
      <c r="AM3" s="784" t="s">
        <v>34</v>
      </c>
      <c r="AO3" s="86" t="s">
        <v>341</v>
      </c>
      <c r="AP3" s="86" t="s">
        <v>342</v>
      </c>
      <c r="AQ3" s="86" t="s">
        <v>343</v>
      </c>
    </row>
    <row r="4" spans="2:62" ht="20.100000000000001" customHeight="1" x14ac:dyDescent="0.15">
      <c r="B4" s="788"/>
      <c r="C4" s="115" t="s">
        <v>35</v>
      </c>
      <c r="D4" s="116" t="s">
        <v>36</v>
      </c>
      <c r="E4" s="117" t="s">
        <v>37</v>
      </c>
      <c r="F4" s="115" t="s">
        <v>35</v>
      </c>
      <c r="G4" s="117" t="s">
        <v>36</v>
      </c>
      <c r="H4" s="117" t="s">
        <v>37</v>
      </c>
      <c r="I4" s="115" t="s">
        <v>35</v>
      </c>
      <c r="J4" s="117" t="s">
        <v>36</v>
      </c>
      <c r="K4" s="117" t="s">
        <v>37</v>
      </c>
      <c r="L4" s="115" t="s">
        <v>35</v>
      </c>
      <c r="M4" s="117" t="s">
        <v>36</v>
      </c>
      <c r="N4" s="117" t="s">
        <v>37</v>
      </c>
      <c r="O4" s="115" t="s">
        <v>35</v>
      </c>
      <c r="P4" s="117" t="s">
        <v>36</v>
      </c>
      <c r="Q4" s="117" t="s">
        <v>37</v>
      </c>
      <c r="R4" s="115" t="s">
        <v>35</v>
      </c>
      <c r="S4" s="118" t="s">
        <v>36</v>
      </c>
      <c r="T4" s="118" t="s">
        <v>37</v>
      </c>
      <c r="U4" s="115" t="s">
        <v>35</v>
      </c>
      <c r="V4" s="117" t="s">
        <v>36</v>
      </c>
      <c r="W4" s="117" t="s">
        <v>37</v>
      </c>
      <c r="X4" s="115" t="s">
        <v>35</v>
      </c>
      <c r="Y4" s="117" t="s">
        <v>36</v>
      </c>
      <c r="Z4" s="117" t="s">
        <v>37</v>
      </c>
      <c r="AA4" s="115" t="s">
        <v>35</v>
      </c>
      <c r="AB4" s="117" t="s">
        <v>36</v>
      </c>
      <c r="AC4" s="117" t="s">
        <v>37</v>
      </c>
      <c r="AD4" s="115" t="s">
        <v>35</v>
      </c>
      <c r="AE4" s="117" t="s">
        <v>36</v>
      </c>
      <c r="AF4" s="117" t="s">
        <v>37</v>
      </c>
      <c r="AG4" s="115" t="s">
        <v>35</v>
      </c>
      <c r="AH4" s="117" t="s">
        <v>36</v>
      </c>
      <c r="AI4" s="117" t="s">
        <v>37</v>
      </c>
      <c r="AJ4" s="115" t="s">
        <v>35</v>
      </c>
      <c r="AK4" s="117" t="s">
        <v>36</v>
      </c>
      <c r="AL4" s="117" t="s">
        <v>37</v>
      </c>
      <c r="AM4" s="785"/>
    </row>
    <row r="5" spans="2:62" ht="20.100000000000001" customHeight="1" x14ac:dyDescent="0.15">
      <c r="B5" s="786" t="s">
        <v>132</v>
      </c>
      <c r="C5" s="119"/>
      <c r="D5" s="13"/>
      <c r="E5" s="13"/>
      <c r="F5" s="13"/>
      <c r="G5" s="13"/>
      <c r="H5" s="13"/>
      <c r="I5" s="13"/>
      <c r="J5" s="13"/>
      <c r="K5" s="13"/>
      <c r="L5" s="13"/>
      <c r="M5" s="13"/>
      <c r="N5" s="88"/>
      <c r="O5" s="88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20"/>
    </row>
    <row r="6" spans="2:62" ht="20.100000000000001" customHeight="1" x14ac:dyDescent="0.15">
      <c r="B6" s="787"/>
      <c r="C6" s="119"/>
      <c r="D6" s="13"/>
      <c r="E6" s="13"/>
      <c r="F6" s="13"/>
      <c r="G6" s="13"/>
      <c r="H6" s="13"/>
      <c r="I6" s="13"/>
      <c r="J6" s="13"/>
      <c r="K6" s="13"/>
      <c r="M6" s="13"/>
      <c r="N6" s="434"/>
      <c r="O6" s="438" t="s">
        <v>392</v>
      </c>
      <c r="P6" s="437"/>
      <c r="Q6" s="435"/>
      <c r="R6" s="13"/>
      <c r="S6" s="13"/>
      <c r="T6" s="13"/>
      <c r="U6" s="13"/>
      <c r="V6" s="13"/>
      <c r="W6" s="13"/>
      <c r="X6" s="13"/>
      <c r="Y6" s="13"/>
      <c r="Z6" s="434"/>
      <c r="AA6" s="437"/>
      <c r="AB6" s="438" t="s">
        <v>393</v>
      </c>
      <c r="AC6" s="437"/>
      <c r="AD6" s="437"/>
      <c r="AE6" s="435"/>
      <c r="AF6" s="13"/>
      <c r="AG6" s="13"/>
      <c r="AH6" s="13"/>
      <c r="AI6" s="13"/>
      <c r="AJ6" s="13"/>
      <c r="AK6" s="13"/>
      <c r="AL6" s="13"/>
      <c r="AM6" s="120"/>
    </row>
    <row r="7" spans="2:62" ht="20.100000000000001" customHeight="1" x14ac:dyDescent="0.15">
      <c r="B7" s="788"/>
      <c r="C7" s="121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3"/>
    </row>
    <row r="8" spans="2:62" ht="20.100000000000001" customHeight="1" x14ac:dyDescent="0.15">
      <c r="B8" s="124" t="s">
        <v>313</v>
      </c>
      <c r="C8" s="125"/>
      <c r="D8" s="126"/>
      <c r="E8" s="126"/>
      <c r="F8" s="125"/>
      <c r="G8" s="126"/>
      <c r="H8" s="126"/>
      <c r="I8" s="125"/>
      <c r="J8" s="126">
        <v>0.7</v>
      </c>
      <c r="K8" s="126">
        <v>0.7</v>
      </c>
      <c r="L8" s="125">
        <v>0.7</v>
      </c>
      <c r="M8" s="126">
        <v>0.7</v>
      </c>
      <c r="N8" s="126">
        <v>0.7</v>
      </c>
      <c r="O8" s="125">
        <v>0.7</v>
      </c>
      <c r="P8" s="126"/>
      <c r="Q8" s="126"/>
      <c r="R8" s="125"/>
      <c r="S8" s="126"/>
      <c r="T8" s="126"/>
      <c r="U8" s="125"/>
      <c r="V8" s="126"/>
      <c r="W8" s="126"/>
      <c r="X8" s="125"/>
      <c r="Y8" s="126"/>
      <c r="Z8" s="126"/>
      <c r="AA8" s="125"/>
      <c r="AB8" s="126"/>
      <c r="AC8" s="126"/>
      <c r="AD8" s="125"/>
      <c r="AE8" s="126"/>
      <c r="AF8" s="126"/>
      <c r="AG8" s="125"/>
      <c r="AH8" s="126"/>
      <c r="AI8" s="126"/>
      <c r="AJ8" s="125"/>
      <c r="AK8" s="126"/>
      <c r="AL8" s="126"/>
      <c r="AM8" s="127">
        <f>SUM(C8:AL8)</f>
        <v>4.2</v>
      </c>
      <c r="AO8" s="426"/>
      <c r="AP8" s="426">
        <v>4.3</v>
      </c>
      <c r="AQ8" s="427">
        <f>SUM(AO8:AP8)</f>
        <v>4.3</v>
      </c>
    </row>
    <row r="9" spans="2:62" ht="20.100000000000001" customHeight="1" x14ac:dyDescent="0.15">
      <c r="B9" s="124" t="s">
        <v>314</v>
      </c>
      <c r="C9" s="125"/>
      <c r="D9" s="126"/>
      <c r="E9" s="126"/>
      <c r="F9" s="125"/>
      <c r="G9" s="126"/>
      <c r="H9" s="126"/>
      <c r="I9" s="125"/>
      <c r="J9" s="126"/>
      <c r="K9" s="126">
        <v>1.2</v>
      </c>
      <c r="L9" s="125">
        <v>2.5</v>
      </c>
      <c r="M9" s="126">
        <v>2.5</v>
      </c>
      <c r="N9" s="126">
        <v>2.5</v>
      </c>
      <c r="O9" s="125">
        <v>2.5</v>
      </c>
      <c r="P9" s="126">
        <v>2.5</v>
      </c>
      <c r="Q9" s="126">
        <v>1.2</v>
      </c>
      <c r="R9" s="125"/>
      <c r="S9" s="126"/>
      <c r="T9" s="126"/>
      <c r="U9" s="125"/>
      <c r="V9" s="126"/>
      <c r="W9" s="126"/>
      <c r="X9" s="125"/>
      <c r="Y9" s="126"/>
      <c r="Z9" s="126"/>
      <c r="AA9" s="125"/>
      <c r="AB9" s="126"/>
      <c r="AC9" s="126"/>
      <c r="AD9" s="125"/>
      <c r="AE9" s="126"/>
      <c r="AF9" s="126"/>
      <c r="AG9" s="125"/>
      <c r="AH9" s="126"/>
      <c r="AI9" s="126"/>
      <c r="AJ9" s="125"/>
      <c r="AK9" s="126"/>
      <c r="AL9" s="126"/>
      <c r="AM9" s="127">
        <f t="shared" ref="AM9:AM33" si="0">SUM(C9:AL9)</f>
        <v>14.899999999999999</v>
      </c>
      <c r="AO9" s="426"/>
      <c r="AP9" s="426">
        <f>6.7+4.3+4.3</f>
        <v>15.3</v>
      </c>
      <c r="AQ9" s="427">
        <f t="shared" ref="AQ9:AQ19" si="1">SUM(AO9:AP9)</f>
        <v>15.3</v>
      </c>
    </row>
    <row r="10" spans="2:62" ht="20.100000000000001" customHeight="1" x14ac:dyDescent="0.15">
      <c r="B10" s="124" t="s">
        <v>315</v>
      </c>
      <c r="C10" s="125"/>
      <c r="D10" s="126"/>
      <c r="E10" s="126"/>
      <c r="F10" s="125"/>
      <c r="G10" s="126">
        <v>2.6</v>
      </c>
      <c r="H10" s="126">
        <v>2.6</v>
      </c>
      <c r="I10" s="125">
        <v>2.6</v>
      </c>
      <c r="J10" s="126">
        <v>2.6</v>
      </c>
      <c r="K10" s="126">
        <v>0.2</v>
      </c>
      <c r="L10" s="125"/>
      <c r="M10" s="126"/>
      <c r="N10" s="126"/>
      <c r="O10" s="125"/>
      <c r="P10" s="126"/>
      <c r="Q10" s="126"/>
      <c r="R10" s="125"/>
      <c r="S10" s="126"/>
      <c r="T10" s="126"/>
      <c r="U10" s="125"/>
      <c r="V10" s="126"/>
      <c r="W10" s="126"/>
      <c r="X10" s="125"/>
      <c r="Y10" s="126"/>
      <c r="Z10" s="126"/>
      <c r="AA10" s="125"/>
      <c r="AB10" s="126"/>
      <c r="AC10" s="126"/>
      <c r="AD10" s="125"/>
      <c r="AE10" s="126"/>
      <c r="AF10" s="126"/>
      <c r="AG10" s="125"/>
      <c r="AH10" s="126">
        <v>4.0999999999999996</v>
      </c>
      <c r="AI10" s="126">
        <v>4.0999999999999996</v>
      </c>
      <c r="AJ10" s="125"/>
      <c r="AK10" s="126"/>
      <c r="AL10" s="126"/>
      <c r="AM10" s="127">
        <f t="shared" si="0"/>
        <v>18.799999999999997</v>
      </c>
      <c r="AO10" s="426">
        <f>8.4+10.5</f>
        <v>18.899999999999999</v>
      </c>
      <c r="AP10" s="426"/>
      <c r="AQ10" s="427">
        <f t="shared" si="1"/>
        <v>18.899999999999999</v>
      </c>
    </row>
    <row r="11" spans="2:62" ht="20.100000000000001" customHeight="1" x14ac:dyDescent="0.15">
      <c r="B11" s="124" t="s">
        <v>298</v>
      </c>
      <c r="C11" s="125"/>
      <c r="D11" s="126"/>
      <c r="E11" s="126"/>
      <c r="F11" s="125"/>
      <c r="G11" s="126"/>
      <c r="H11" s="126"/>
      <c r="I11" s="125"/>
      <c r="J11" s="126"/>
      <c r="K11" s="126"/>
      <c r="L11" s="125">
        <v>1</v>
      </c>
      <c r="M11" s="126">
        <v>1</v>
      </c>
      <c r="N11" s="126">
        <v>1</v>
      </c>
      <c r="O11" s="125">
        <v>1</v>
      </c>
      <c r="P11" s="126">
        <v>1</v>
      </c>
      <c r="Q11" s="126">
        <v>1</v>
      </c>
      <c r="R11" s="125"/>
      <c r="S11" s="126"/>
      <c r="T11" s="126"/>
      <c r="U11" s="125"/>
      <c r="V11" s="126"/>
      <c r="W11" s="126"/>
      <c r="X11" s="125"/>
      <c r="Y11" s="126"/>
      <c r="Z11" s="126"/>
      <c r="AA11" s="125"/>
      <c r="AB11" s="126"/>
      <c r="AC11" s="126"/>
      <c r="AD11" s="125"/>
      <c r="AE11" s="126"/>
      <c r="AF11" s="126"/>
      <c r="AG11" s="125"/>
      <c r="AH11" s="126"/>
      <c r="AI11" s="126"/>
      <c r="AJ11" s="125"/>
      <c r="AK11" s="126"/>
      <c r="AL11" s="126"/>
      <c r="AM11" s="127">
        <f t="shared" si="0"/>
        <v>6</v>
      </c>
      <c r="AO11" s="426">
        <f>3+3</f>
        <v>6</v>
      </c>
      <c r="AP11" s="426"/>
      <c r="AQ11" s="427">
        <f t="shared" si="1"/>
        <v>6</v>
      </c>
    </row>
    <row r="12" spans="2:62" ht="20.100000000000001" customHeight="1" x14ac:dyDescent="0.15">
      <c r="B12" s="124" t="s">
        <v>316</v>
      </c>
      <c r="C12" s="125"/>
      <c r="D12" s="126"/>
      <c r="E12" s="126"/>
      <c r="F12" s="125"/>
      <c r="G12" s="126"/>
      <c r="H12" s="126"/>
      <c r="I12" s="125"/>
      <c r="J12" s="126"/>
      <c r="K12" s="126"/>
      <c r="L12" s="125"/>
      <c r="M12" s="126">
        <v>2.5</v>
      </c>
      <c r="N12" s="126">
        <v>4</v>
      </c>
      <c r="O12" s="125">
        <v>4.0999999999999996</v>
      </c>
      <c r="P12" s="126">
        <v>4.0999999999999996</v>
      </c>
      <c r="Q12" s="126">
        <v>4.0999999999999996</v>
      </c>
      <c r="R12" s="125">
        <v>2.5</v>
      </c>
      <c r="S12" s="126"/>
      <c r="T12" s="126"/>
      <c r="U12" s="125"/>
      <c r="V12" s="126"/>
      <c r="W12" s="126"/>
      <c r="X12" s="125"/>
      <c r="Y12" s="126"/>
      <c r="Z12" s="126"/>
      <c r="AA12" s="125"/>
      <c r="AB12" s="126"/>
      <c r="AC12" s="126"/>
      <c r="AD12" s="125"/>
      <c r="AE12" s="126"/>
      <c r="AF12" s="126"/>
      <c r="AG12" s="125"/>
      <c r="AH12" s="126"/>
      <c r="AI12" s="126"/>
      <c r="AJ12" s="125"/>
      <c r="AK12" s="126"/>
      <c r="AL12" s="126"/>
      <c r="AM12" s="127">
        <f t="shared" si="0"/>
        <v>21.299999999999997</v>
      </c>
      <c r="AO12" s="426">
        <v>7.1</v>
      </c>
      <c r="AP12" s="426">
        <f>7.1+7.1</f>
        <v>14.2</v>
      </c>
      <c r="AQ12" s="427">
        <f t="shared" si="1"/>
        <v>21.299999999999997</v>
      </c>
    </row>
    <row r="13" spans="2:62" ht="20.100000000000001" customHeight="1" x14ac:dyDescent="0.15">
      <c r="B13" s="124" t="s">
        <v>317</v>
      </c>
      <c r="C13" s="125"/>
      <c r="D13" s="126"/>
      <c r="E13" s="126"/>
      <c r="F13" s="125"/>
      <c r="G13" s="126"/>
      <c r="H13" s="126"/>
      <c r="I13" s="125"/>
      <c r="J13" s="126"/>
      <c r="K13" s="126"/>
      <c r="L13" s="125"/>
      <c r="M13" s="126"/>
      <c r="N13" s="126"/>
      <c r="O13" s="125"/>
      <c r="P13" s="126"/>
      <c r="Q13" s="126"/>
      <c r="R13" s="125"/>
      <c r="S13" s="126"/>
      <c r="T13" s="126"/>
      <c r="U13" s="125"/>
      <c r="V13" s="126"/>
      <c r="W13" s="126"/>
      <c r="X13" s="125"/>
      <c r="Y13" s="126"/>
      <c r="Z13" s="126"/>
      <c r="AA13" s="125"/>
      <c r="AB13" s="126"/>
      <c r="AC13" s="126"/>
      <c r="AD13" s="125"/>
      <c r="AE13" s="126"/>
      <c r="AF13" s="126"/>
      <c r="AG13" s="125"/>
      <c r="AH13" s="126"/>
      <c r="AI13" s="126"/>
      <c r="AJ13" s="125"/>
      <c r="AK13" s="126"/>
      <c r="AL13" s="126"/>
      <c r="AM13" s="127">
        <f t="shared" si="0"/>
        <v>0</v>
      </c>
      <c r="AO13" s="426"/>
      <c r="AP13" s="426"/>
      <c r="AQ13" s="427">
        <f t="shared" si="1"/>
        <v>0</v>
      </c>
    </row>
    <row r="14" spans="2:62" ht="20.100000000000001" customHeight="1" x14ac:dyDescent="0.15">
      <c r="B14" s="124" t="s">
        <v>318</v>
      </c>
      <c r="C14" s="125"/>
      <c r="D14" s="126"/>
      <c r="E14" s="126"/>
      <c r="F14" s="125"/>
      <c r="G14" s="126"/>
      <c r="H14" s="126"/>
      <c r="I14" s="125"/>
      <c r="J14" s="126"/>
      <c r="K14" s="126"/>
      <c r="L14" s="125"/>
      <c r="M14" s="126"/>
      <c r="N14" s="126"/>
      <c r="O14" s="125"/>
      <c r="P14" s="126"/>
      <c r="Q14" s="126"/>
      <c r="R14" s="125"/>
      <c r="S14" s="126"/>
      <c r="T14" s="126"/>
      <c r="U14" s="125"/>
      <c r="V14" s="126"/>
      <c r="W14" s="126"/>
      <c r="X14" s="125"/>
      <c r="Y14" s="126"/>
      <c r="Z14" s="126"/>
      <c r="AA14" s="125"/>
      <c r="AB14" s="126"/>
      <c r="AC14" s="126"/>
      <c r="AD14" s="125"/>
      <c r="AE14" s="126"/>
      <c r="AF14" s="126"/>
      <c r="AG14" s="125"/>
      <c r="AH14" s="126"/>
      <c r="AI14" s="126"/>
      <c r="AJ14" s="125"/>
      <c r="AK14" s="126"/>
      <c r="AL14" s="126"/>
      <c r="AM14" s="127">
        <f t="shared" si="0"/>
        <v>0</v>
      </c>
      <c r="AO14" s="426"/>
      <c r="AP14" s="426"/>
      <c r="AQ14" s="427">
        <f t="shared" si="1"/>
        <v>0</v>
      </c>
    </row>
    <row r="15" spans="2:62" ht="20.100000000000001" customHeight="1" x14ac:dyDescent="0.15">
      <c r="B15" s="124" t="s">
        <v>319</v>
      </c>
      <c r="C15" s="125"/>
      <c r="D15" s="126"/>
      <c r="E15" s="126"/>
      <c r="F15" s="125"/>
      <c r="G15" s="126"/>
      <c r="H15" s="126"/>
      <c r="I15" s="125"/>
      <c r="J15" s="126"/>
      <c r="K15" s="126"/>
      <c r="L15" s="125"/>
      <c r="M15" s="126"/>
      <c r="N15" s="126"/>
      <c r="O15" s="125"/>
      <c r="P15" s="126"/>
      <c r="Q15" s="126"/>
      <c r="R15" s="125"/>
      <c r="S15" s="126"/>
      <c r="T15" s="126"/>
      <c r="U15" s="125"/>
      <c r="V15" s="126">
        <v>0.6</v>
      </c>
      <c r="W15" s="126">
        <v>0.7</v>
      </c>
      <c r="X15" s="125">
        <v>0.7</v>
      </c>
      <c r="Y15" s="126">
        <v>0.7</v>
      </c>
      <c r="Z15" s="126">
        <v>0.7</v>
      </c>
      <c r="AA15" s="125"/>
      <c r="AB15" s="126"/>
      <c r="AC15" s="126"/>
      <c r="AD15" s="125"/>
      <c r="AE15" s="126"/>
      <c r="AF15" s="126"/>
      <c r="AG15" s="125"/>
      <c r="AH15" s="126"/>
      <c r="AI15" s="126"/>
      <c r="AJ15" s="125"/>
      <c r="AK15" s="126"/>
      <c r="AL15" s="126"/>
      <c r="AM15" s="127">
        <f t="shared" si="0"/>
        <v>3.3999999999999995</v>
      </c>
      <c r="AO15" s="426">
        <v>1.7</v>
      </c>
      <c r="AP15" s="426">
        <v>1.7</v>
      </c>
      <c r="AQ15" s="427">
        <f t="shared" si="1"/>
        <v>3.4</v>
      </c>
    </row>
    <row r="16" spans="2:62" ht="20.100000000000001" customHeight="1" x14ac:dyDescent="0.15">
      <c r="B16" s="124" t="s">
        <v>320</v>
      </c>
      <c r="C16" s="125"/>
      <c r="D16" s="126"/>
      <c r="E16" s="126"/>
      <c r="F16" s="125"/>
      <c r="G16" s="126"/>
      <c r="H16" s="126"/>
      <c r="I16" s="125"/>
      <c r="J16" s="126"/>
      <c r="K16" s="126"/>
      <c r="L16" s="125"/>
      <c r="M16" s="126"/>
      <c r="N16" s="126"/>
      <c r="O16" s="125"/>
      <c r="P16" s="126"/>
      <c r="Q16" s="126"/>
      <c r="R16" s="125"/>
      <c r="S16" s="126"/>
      <c r="T16" s="126"/>
      <c r="U16" s="125"/>
      <c r="V16" s="126"/>
      <c r="W16" s="126"/>
      <c r="X16" s="125"/>
      <c r="Y16" s="126"/>
      <c r="Z16" s="126">
        <v>2.6</v>
      </c>
      <c r="AA16" s="125">
        <v>2.6</v>
      </c>
      <c r="AB16" s="126">
        <v>2.6</v>
      </c>
      <c r="AC16" s="126">
        <v>2.6</v>
      </c>
      <c r="AD16" s="125">
        <v>2.6</v>
      </c>
      <c r="AE16" s="126">
        <v>2.6</v>
      </c>
      <c r="AF16" s="126"/>
      <c r="AG16" s="125"/>
      <c r="AH16" s="126"/>
      <c r="AI16" s="126"/>
      <c r="AJ16" s="125"/>
      <c r="AK16" s="126"/>
      <c r="AL16" s="126"/>
      <c r="AM16" s="127">
        <f t="shared" si="0"/>
        <v>15.6</v>
      </c>
      <c r="AO16" s="426">
        <v>3.4</v>
      </c>
      <c r="AP16" s="426">
        <f>6.9+5.3</f>
        <v>12.2</v>
      </c>
      <c r="AQ16" s="427">
        <f t="shared" si="1"/>
        <v>15.6</v>
      </c>
    </row>
    <row r="17" spans="2:43" ht="20.100000000000001" customHeight="1" x14ac:dyDescent="0.15">
      <c r="B17" s="124" t="s">
        <v>321</v>
      </c>
      <c r="C17" s="125"/>
      <c r="D17" s="126"/>
      <c r="E17" s="126"/>
      <c r="F17" s="125"/>
      <c r="G17" s="126"/>
      <c r="H17" s="126"/>
      <c r="I17" s="125"/>
      <c r="J17" s="126"/>
      <c r="K17" s="126"/>
      <c r="L17" s="125"/>
      <c r="M17" s="126"/>
      <c r="N17" s="126"/>
      <c r="O17" s="125"/>
      <c r="P17" s="126"/>
      <c r="Q17" s="126"/>
      <c r="R17" s="125"/>
      <c r="S17" s="126"/>
      <c r="T17" s="126"/>
      <c r="U17" s="125"/>
      <c r="V17" s="126"/>
      <c r="W17" s="126"/>
      <c r="X17" s="125"/>
      <c r="Y17" s="126"/>
      <c r="Z17" s="126">
        <v>1.5</v>
      </c>
      <c r="AA17" s="125">
        <v>1.6</v>
      </c>
      <c r="AB17" s="126">
        <v>1.6</v>
      </c>
      <c r="AC17" s="126">
        <v>1.6</v>
      </c>
      <c r="AD17" s="125">
        <v>1.6</v>
      </c>
      <c r="AE17" s="126">
        <v>1.6</v>
      </c>
      <c r="AF17" s="126"/>
      <c r="AG17" s="125"/>
      <c r="AH17" s="126"/>
      <c r="AI17" s="126"/>
      <c r="AJ17" s="125"/>
      <c r="AK17" s="126"/>
      <c r="AL17" s="126"/>
      <c r="AM17" s="127">
        <f t="shared" si="0"/>
        <v>9.5</v>
      </c>
      <c r="AO17" s="426"/>
      <c r="AP17" s="426">
        <v>9.5</v>
      </c>
      <c r="AQ17" s="427">
        <f t="shared" si="1"/>
        <v>9.5</v>
      </c>
    </row>
    <row r="18" spans="2:43" ht="20.100000000000001" customHeight="1" x14ac:dyDescent="0.15">
      <c r="B18" s="124" t="s">
        <v>323</v>
      </c>
      <c r="C18" s="125"/>
      <c r="D18" s="126"/>
      <c r="E18" s="126"/>
      <c r="F18" s="125"/>
      <c r="G18" s="126"/>
      <c r="H18" s="126"/>
      <c r="I18" s="125"/>
      <c r="J18" s="126"/>
      <c r="K18" s="126"/>
      <c r="L18" s="125"/>
      <c r="M18" s="126"/>
      <c r="N18" s="126"/>
      <c r="O18" s="125"/>
      <c r="P18" s="126"/>
      <c r="Q18" s="126"/>
      <c r="R18" s="125"/>
      <c r="S18" s="126"/>
      <c r="T18" s="126"/>
      <c r="U18" s="125"/>
      <c r="V18" s="126"/>
      <c r="W18" s="126"/>
      <c r="X18" s="125"/>
      <c r="Y18" s="126"/>
      <c r="Z18" s="126"/>
      <c r="AA18" s="125"/>
      <c r="AB18" s="126"/>
      <c r="AC18" s="126"/>
      <c r="AD18" s="125"/>
      <c r="AE18" s="126"/>
      <c r="AF18" s="126">
        <v>1.2</v>
      </c>
      <c r="AG18" s="125">
        <v>1.2</v>
      </c>
      <c r="AH18" s="126"/>
      <c r="AI18" s="126"/>
      <c r="AJ18" s="125"/>
      <c r="AK18" s="126"/>
      <c r="AL18" s="126"/>
      <c r="AM18" s="127">
        <f t="shared" si="0"/>
        <v>2.4</v>
      </c>
      <c r="AO18" s="426">
        <v>1.2</v>
      </c>
      <c r="AP18" s="426">
        <v>1.2</v>
      </c>
      <c r="AQ18" s="427">
        <f t="shared" si="1"/>
        <v>2.4</v>
      </c>
    </row>
    <row r="19" spans="2:43" ht="20.100000000000001" customHeight="1" x14ac:dyDescent="0.15">
      <c r="B19" s="124" t="s">
        <v>188</v>
      </c>
      <c r="C19" s="125"/>
      <c r="D19" s="126"/>
      <c r="E19" s="126"/>
      <c r="F19" s="125">
        <v>2</v>
      </c>
      <c r="G19" s="126"/>
      <c r="H19" s="126"/>
      <c r="I19" s="125"/>
      <c r="J19" s="126"/>
      <c r="K19" s="126"/>
      <c r="L19" s="125"/>
      <c r="M19" s="126"/>
      <c r="N19" s="126"/>
      <c r="O19" s="125"/>
      <c r="P19" s="126"/>
      <c r="Q19" s="126"/>
      <c r="R19" s="125"/>
      <c r="S19" s="126"/>
      <c r="T19" s="126"/>
      <c r="U19" s="125"/>
      <c r="V19" s="126"/>
      <c r="W19" s="126"/>
      <c r="X19" s="125"/>
      <c r="Y19" s="126"/>
      <c r="Z19" s="126"/>
      <c r="AA19" s="125"/>
      <c r="AB19" s="126"/>
      <c r="AC19" s="126"/>
      <c r="AD19" s="125"/>
      <c r="AE19" s="126"/>
      <c r="AF19" s="126"/>
      <c r="AG19" s="125"/>
      <c r="AH19" s="126"/>
      <c r="AI19" s="126"/>
      <c r="AJ19" s="125"/>
      <c r="AK19" s="126"/>
      <c r="AL19" s="126"/>
      <c r="AM19" s="127">
        <f t="shared" si="0"/>
        <v>2</v>
      </c>
      <c r="AO19" s="426"/>
      <c r="AP19" s="426">
        <v>2</v>
      </c>
      <c r="AQ19" s="427">
        <f t="shared" si="1"/>
        <v>2</v>
      </c>
    </row>
    <row r="20" spans="2:43" ht="20.100000000000001" customHeight="1" x14ac:dyDescent="0.15">
      <c r="B20" s="124"/>
      <c r="C20" s="125"/>
      <c r="D20" s="126"/>
      <c r="E20" s="126"/>
      <c r="F20" s="125"/>
      <c r="G20" s="126"/>
      <c r="H20" s="126"/>
      <c r="I20" s="125"/>
      <c r="J20" s="126"/>
      <c r="K20" s="126"/>
      <c r="L20" s="125"/>
      <c r="M20" s="126"/>
      <c r="N20" s="126"/>
      <c r="O20" s="125"/>
      <c r="P20" s="126"/>
      <c r="Q20" s="126"/>
      <c r="R20" s="125"/>
      <c r="S20" s="126"/>
      <c r="T20" s="126"/>
      <c r="U20" s="125"/>
      <c r="V20" s="126"/>
      <c r="W20" s="126"/>
      <c r="X20" s="125"/>
      <c r="Y20" s="126"/>
      <c r="Z20" s="126"/>
      <c r="AA20" s="125"/>
      <c r="AB20" s="126"/>
      <c r="AC20" s="126"/>
      <c r="AD20" s="125"/>
      <c r="AE20" s="126"/>
      <c r="AF20" s="126"/>
      <c r="AG20" s="125"/>
      <c r="AH20" s="126"/>
      <c r="AI20" s="126"/>
      <c r="AJ20" s="125"/>
      <c r="AK20" s="126"/>
      <c r="AL20" s="126"/>
      <c r="AM20" s="127">
        <f t="shared" si="0"/>
        <v>0</v>
      </c>
      <c r="AO20" s="427"/>
      <c r="AP20" s="427"/>
      <c r="AQ20" s="427">
        <f t="shared" ref="AQ20:AQ33" si="2">SUM(AO20:AP20)</f>
        <v>0</v>
      </c>
    </row>
    <row r="21" spans="2:43" ht="20.100000000000001" customHeight="1" x14ac:dyDescent="0.15">
      <c r="B21" s="124"/>
      <c r="C21" s="125"/>
      <c r="D21" s="126"/>
      <c r="E21" s="126"/>
      <c r="F21" s="125"/>
      <c r="G21" s="126"/>
      <c r="H21" s="126"/>
      <c r="I21" s="125"/>
      <c r="J21" s="126"/>
      <c r="K21" s="126"/>
      <c r="L21" s="125"/>
      <c r="M21" s="126"/>
      <c r="N21" s="126"/>
      <c r="O21" s="125"/>
      <c r="P21" s="126"/>
      <c r="Q21" s="126"/>
      <c r="R21" s="125"/>
      <c r="S21" s="126"/>
      <c r="T21" s="126"/>
      <c r="U21" s="125"/>
      <c r="V21" s="126"/>
      <c r="W21" s="126"/>
      <c r="X21" s="125"/>
      <c r="Y21" s="126"/>
      <c r="Z21" s="126"/>
      <c r="AA21" s="125"/>
      <c r="AB21" s="126"/>
      <c r="AC21" s="126"/>
      <c r="AD21" s="125"/>
      <c r="AE21" s="126"/>
      <c r="AF21" s="126"/>
      <c r="AG21" s="125"/>
      <c r="AH21" s="126"/>
      <c r="AI21" s="126"/>
      <c r="AJ21" s="125"/>
      <c r="AK21" s="126"/>
      <c r="AL21" s="126"/>
      <c r="AM21" s="127">
        <f t="shared" si="0"/>
        <v>0</v>
      </c>
      <c r="AO21" s="427"/>
      <c r="AP21" s="427"/>
      <c r="AQ21" s="427">
        <f t="shared" si="2"/>
        <v>0</v>
      </c>
    </row>
    <row r="22" spans="2:43" ht="20.100000000000001" customHeight="1" x14ac:dyDescent="0.15">
      <c r="B22" s="124"/>
      <c r="C22" s="125"/>
      <c r="D22" s="126"/>
      <c r="E22" s="126"/>
      <c r="F22" s="125"/>
      <c r="G22" s="126"/>
      <c r="H22" s="126"/>
      <c r="I22" s="125"/>
      <c r="J22" s="126"/>
      <c r="K22" s="126"/>
      <c r="L22" s="125"/>
      <c r="M22" s="126"/>
      <c r="N22" s="126"/>
      <c r="O22" s="125"/>
      <c r="P22" s="126"/>
      <c r="Q22" s="126"/>
      <c r="R22" s="125"/>
      <c r="S22" s="126"/>
      <c r="T22" s="126"/>
      <c r="U22" s="125"/>
      <c r="V22" s="126"/>
      <c r="W22" s="126"/>
      <c r="X22" s="125"/>
      <c r="Y22" s="126"/>
      <c r="Z22" s="126"/>
      <c r="AA22" s="125"/>
      <c r="AB22" s="126"/>
      <c r="AC22" s="126"/>
      <c r="AD22" s="125"/>
      <c r="AE22" s="126"/>
      <c r="AF22" s="126"/>
      <c r="AG22" s="125"/>
      <c r="AH22" s="126"/>
      <c r="AI22" s="126"/>
      <c r="AJ22" s="125"/>
      <c r="AK22" s="126"/>
      <c r="AL22" s="126"/>
      <c r="AM22" s="127">
        <f t="shared" si="0"/>
        <v>0</v>
      </c>
      <c r="AO22" s="427"/>
      <c r="AP22" s="427"/>
      <c r="AQ22" s="427">
        <f t="shared" si="2"/>
        <v>0</v>
      </c>
    </row>
    <row r="23" spans="2:43" ht="20.100000000000001" customHeight="1" x14ac:dyDescent="0.15">
      <c r="B23" s="124"/>
      <c r="C23" s="125"/>
      <c r="D23" s="126"/>
      <c r="E23" s="126"/>
      <c r="F23" s="125"/>
      <c r="G23" s="126"/>
      <c r="H23" s="126"/>
      <c r="I23" s="125"/>
      <c r="J23" s="126"/>
      <c r="K23" s="126"/>
      <c r="L23" s="125"/>
      <c r="M23" s="126"/>
      <c r="N23" s="126"/>
      <c r="O23" s="125"/>
      <c r="P23" s="126"/>
      <c r="Q23" s="126"/>
      <c r="R23" s="125"/>
      <c r="S23" s="126"/>
      <c r="T23" s="126"/>
      <c r="U23" s="125"/>
      <c r="V23" s="126"/>
      <c r="W23" s="126"/>
      <c r="X23" s="125"/>
      <c r="Y23" s="126"/>
      <c r="Z23" s="126"/>
      <c r="AA23" s="125"/>
      <c r="AB23" s="126"/>
      <c r="AC23" s="126"/>
      <c r="AD23" s="125"/>
      <c r="AE23" s="126"/>
      <c r="AF23" s="126"/>
      <c r="AG23" s="125"/>
      <c r="AH23" s="126"/>
      <c r="AI23" s="126"/>
      <c r="AJ23" s="125"/>
      <c r="AK23" s="126"/>
      <c r="AL23" s="126"/>
      <c r="AM23" s="127">
        <f t="shared" si="0"/>
        <v>0</v>
      </c>
      <c r="AO23" s="427"/>
      <c r="AP23" s="427"/>
      <c r="AQ23" s="427">
        <f t="shared" si="2"/>
        <v>0</v>
      </c>
    </row>
    <row r="24" spans="2:43" ht="20.100000000000001" customHeight="1" x14ac:dyDescent="0.15">
      <c r="B24" s="124"/>
      <c r="C24" s="125"/>
      <c r="D24" s="126"/>
      <c r="E24" s="126"/>
      <c r="F24" s="125"/>
      <c r="G24" s="126"/>
      <c r="H24" s="126"/>
      <c r="I24" s="125"/>
      <c r="J24" s="126"/>
      <c r="K24" s="126"/>
      <c r="L24" s="125"/>
      <c r="M24" s="126"/>
      <c r="N24" s="126"/>
      <c r="O24" s="125"/>
      <c r="P24" s="126"/>
      <c r="Q24" s="126"/>
      <c r="R24" s="125"/>
      <c r="S24" s="126"/>
      <c r="T24" s="126"/>
      <c r="U24" s="125"/>
      <c r="V24" s="126"/>
      <c r="W24" s="126"/>
      <c r="X24" s="125"/>
      <c r="Y24" s="126"/>
      <c r="Z24" s="126"/>
      <c r="AA24" s="125"/>
      <c r="AB24" s="126"/>
      <c r="AC24" s="126"/>
      <c r="AD24" s="125"/>
      <c r="AE24" s="126"/>
      <c r="AF24" s="126"/>
      <c r="AG24" s="125"/>
      <c r="AH24" s="126"/>
      <c r="AI24" s="126"/>
      <c r="AJ24" s="125"/>
      <c r="AK24" s="126"/>
      <c r="AL24" s="126"/>
      <c r="AM24" s="127">
        <f t="shared" si="0"/>
        <v>0</v>
      </c>
      <c r="AO24" s="427"/>
      <c r="AP24" s="427"/>
      <c r="AQ24" s="427">
        <f t="shared" si="2"/>
        <v>0</v>
      </c>
    </row>
    <row r="25" spans="2:43" ht="20.100000000000001" customHeight="1" x14ac:dyDescent="0.15">
      <c r="B25" s="124"/>
      <c r="C25" s="125"/>
      <c r="D25" s="126"/>
      <c r="E25" s="126"/>
      <c r="F25" s="125"/>
      <c r="G25" s="126"/>
      <c r="H25" s="126"/>
      <c r="I25" s="125"/>
      <c r="J25" s="126"/>
      <c r="K25" s="126"/>
      <c r="L25" s="125"/>
      <c r="M25" s="126"/>
      <c r="N25" s="126"/>
      <c r="O25" s="125"/>
      <c r="P25" s="126"/>
      <c r="Q25" s="126"/>
      <c r="R25" s="125"/>
      <c r="S25" s="126"/>
      <c r="T25" s="126"/>
      <c r="U25" s="125"/>
      <c r="V25" s="126"/>
      <c r="W25" s="126"/>
      <c r="X25" s="125"/>
      <c r="Y25" s="126"/>
      <c r="Z25" s="126"/>
      <c r="AA25" s="125"/>
      <c r="AB25" s="126"/>
      <c r="AC25" s="126"/>
      <c r="AD25" s="125"/>
      <c r="AE25" s="126"/>
      <c r="AF25" s="126"/>
      <c r="AG25" s="125"/>
      <c r="AH25" s="126"/>
      <c r="AI25" s="126"/>
      <c r="AJ25" s="125"/>
      <c r="AK25" s="126"/>
      <c r="AL25" s="126"/>
      <c r="AM25" s="127">
        <f t="shared" si="0"/>
        <v>0</v>
      </c>
      <c r="AO25" s="427"/>
      <c r="AP25" s="427"/>
      <c r="AQ25" s="427">
        <f t="shared" si="2"/>
        <v>0</v>
      </c>
    </row>
    <row r="26" spans="2:43" ht="20.100000000000001" customHeight="1" x14ac:dyDescent="0.15">
      <c r="B26" s="124"/>
      <c r="C26" s="125"/>
      <c r="D26" s="126"/>
      <c r="E26" s="126"/>
      <c r="F26" s="125"/>
      <c r="G26" s="126"/>
      <c r="H26" s="126"/>
      <c r="I26" s="125"/>
      <c r="J26" s="126"/>
      <c r="K26" s="126"/>
      <c r="L26" s="125"/>
      <c r="M26" s="126"/>
      <c r="N26" s="126"/>
      <c r="O26" s="125"/>
      <c r="P26" s="126"/>
      <c r="Q26" s="126"/>
      <c r="R26" s="125"/>
      <c r="S26" s="126"/>
      <c r="T26" s="126"/>
      <c r="U26" s="125"/>
      <c r="V26" s="126"/>
      <c r="W26" s="126"/>
      <c r="X26" s="125"/>
      <c r="Y26" s="126"/>
      <c r="Z26" s="126"/>
      <c r="AA26" s="125"/>
      <c r="AB26" s="126"/>
      <c r="AC26" s="126"/>
      <c r="AD26" s="125"/>
      <c r="AE26" s="126"/>
      <c r="AF26" s="126"/>
      <c r="AG26" s="125"/>
      <c r="AH26" s="126"/>
      <c r="AI26" s="126"/>
      <c r="AJ26" s="125"/>
      <c r="AK26" s="126"/>
      <c r="AL26" s="126"/>
      <c r="AM26" s="127">
        <f t="shared" si="0"/>
        <v>0</v>
      </c>
      <c r="AO26" s="427"/>
      <c r="AP26" s="427"/>
      <c r="AQ26" s="427">
        <f t="shared" si="2"/>
        <v>0</v>
      </c>
    </row>
    <row r="27" spans="2:43" ht="20.100000000000001" customHeight="1" x14ac:dyDescent="0.15">
      <c r="B27" s="124"/>
      <c r="C27" s="125"/>
      <c r="D27" s="126"/>
      <c r="E27" s="126"/>
      <c r="F27" s="125"/>
      <c r="G27" s="126"/>
      <c r="H27" s="126"/>
      <c r="I27" s="125"/>
      <c r="J27" s="126"/>
      <c r="K27" s="126"/>
      <c r="L27" s="125"/>
      <c r="M27" s="126"/>
      <c r="N27" s="126"/>
      <c r="O27" s="125"/>
      <c r="P27" s="126"/>
      <c r="Q27" s="126"/>
      <c r="R27" s="125"/>
      <c r="S27" s="126"/>
      <c r="T27" s="126"/>
      <c r="U27" s="125"/>
      <c r="V27" s="126"/>
      <c r="W27" s="126"/>
      <c r="X27" s="125"/>
      <c r="Y27" s="126"/>
      <c r="Z27" s="126"/>
      <c r="AA27" s="125"/>
      <c r="AB27" s="126"/>
      <c r="AC27" s="126"/>
      <c r="AD27" s="125"/>
      <c r="AE27" s="126"/>
      <c r="AF27" s="126"/>
      <c r="AG27" s="125"/>
      <c r="AH27" s="126"/>
      <c r="AI27" s="126"/>
      <c r="AJ27" s="125"/>
      <c r="AK27" s="126"/>
      <c r="AL27" s="126"/>
      <c r="AM27" s="127">
        <f t="shared" si="0"/>
        <v>0</v>
      </c>
      <c r="AO27" s="427"/>
      <c r="AP27" s="427"/>
      <c r="AQ27" s="427">
        <f t="shared" si="2"/>
        <v>0</v>
      </c>
    </row>
    <row r="28" spans="2:43" ht="20.100000000000001" customHeight="1" x14ac:dyDescent="0.15">
      <c r="B28" s="124"/>
      <c r="C28" s="125"/>
      <c r="D28" s="126"/>
      <c r="E28" s="126"/>
      <c r="F28" s="125"/>
      <c r="G28" s="126"/>
      <c r="H28" s="126"/>
      <c r="I28" s="125"/>
      <c r="J28" s="126"/>
      <c r="K28" s="126"/>
      <c r="L28" s="125"/>
      <c r="M28" s="126"/>
      <c r="N28" s="126"/>
      <c r="O28" s="125"/>
      <c r="P28" s="126"/>
      <c r="Q28" s="126"/>
      <c r="R28" s="125"/>
      <c r="S28" s="126"/>
      <c r="T28" s="126"/>
      <c r="U28" s="125"/>
      <c r="V28" s="126"/>
      <c r="W28" s="126"/>
      <c r="X28" s="125"/>
      <c r="Y28" s="126"/>
      <c r="Z28" s="126"/>
      <c r="AA28" s="125"/>
      <c r="AB28" s="126"/>
      <c r="AC28" s="126"/>
      <c r="AD28" s="125"/>
      <c r="AE28" s="126"/>
      <c r="AF28" s="126"/>
      <c r="AG28" s="125"/>
      <c r="AH28" s="126"/>
      <c r="AI28" s="126"/>
      <c r="AJ28" s="125"/>
      <c r="AK28" s="126"/>
      <c r="AL28" s="126"/>
      <c r="AM28" s="127">
        <f t="shared" si="0"/>
        <v>0</v>
      </c>
      <c r="AO28" s="427"/>
      <c r="AP28" s="427"/>
      <c r="AQ28" s="427">
        <f t="shared" si="2"/>
        <v>0</v>
      </c>
    </row>
    <row r="29" spans="2:43" ht="20.100000000000001" customHeight="1" x14ac:dyDescent="0.15">
      <c r="B29" s="124"/>
      <c r="C29" s="125"/>
      <c r="D29" s="126"/>
      <c r="E29" s="126"/>
      <c r="F29" s="125"/>
      <c r="G29" s="126"/>
      <c r="H29" s="126"/>
      <c r="I29" s="125"/>
      <c r="J29" s="126"/>
      <c r="K29" s="126"/>
      <c r="L29" s="125"/>
      <c r="M29" s="126"/>
      <c r="N29" s="126"/>
      <c r="O29" s="125"/>
      <c r="P29" s="126"/>
      <c r="Q29" s="126"/>
      <c r="R29" s="125"/>
      <c r="S29" s="126"/>
      <c r="T29" s="126"/>
      <c r="U29" s="125"/>
      <c r="V29" s="126"/>
      <c r="W29" s="126"/>
      <c r="X29" s="125"/>
      <c r="Y29" s="126"/>
      <c r="Z29" s="126"/>
      <c r="AA29" s="125"/>
      <c r="AB29" s="126"/>
      <c r="AC29" s="126"/>
      <c r="AD29" s="125"/>
      <c r="AE29" s="126"/>
      <c r="AF29" s="126"/>
      <c r="AG29" s="125"/>
      <c r="AH29" s="126"/>
      <c r="AI29" s="126"/>
      <c r="AJ29" s="125"/>
      <c r="AK29" s="126"/>
      <c r="AL29" s="126"/>
      <c r="AM29" s="127">
        <f t="shared" si="0"/>
        <v>0</v>
      </c>
      <c r="AO29" s="427"/>
      <c r="AP29" s="427"/>
      <c r="AQ29" s="427">
        <f t="shared" si="2"/>
        <v>0</v>
      </c>
    </row>
    <row r="30" spans="2:43" ht="20.100000000000001" customHeight="1" x14ac:dyDescent="0.15">
      <c r="B30" s="124"/>
      <c r="C30" s="125"/>
      <c r="D30" s="126"/>
      <c r="E30" s="126"/>
      <c r="F30" s="125"/>
      <c r="G30" s="126"/>
      <c r="H30" s="126"/>
      <c r="I30" s="125"/>
      <c r="J30" s="126"/>
      <c r="K30" s="126"/>
      <c r="L30" s="125"/>
      <c r="M30" s="126"/>
      <c r="N30" s="126"/>
      <c r="O30" s="125"/>
      <c r="P30" s="126"/>
      <c r="Q30" s="126"/>
      <c r="R30" s="125"/>
      <c r="S30" s="126"/>
      <c r="T30" s="126"/>
      <c r="U30" s="125"/>
      <c r="V30" s="126"/>
      <c r="W30" s="126"/>
      <c r="X30" s="125"/>
      <c r="Y30" s="126"/>
      <c r="Z30" s="126"/>
      <c r="AA30" s="125"/>
      <c r="AB30" s="126"/>
      <c r="AC30" s="126"/>
      <c r="AD30" s="125"/>
      <c r="AE30" s="126"/>
      <c r="AF30" s="126"/>
      <c r="AG30" s="125"/>
      <c r="AH30" s="126"/>
      <c r="AI30" s="126"/>
      <c r="AJ30" s="125"/>
      <c r="AK30" s="126"/>
      <c r="AL30" s="126"/>
      <c r="AM30" s="127">
        <f t="shared" si="0"/>
        <v>0</v>
      </c>
      <c r="AO30" s="427"/>
      <c r="AP30" s="427"/>
      <c r="AQ30" s="427">
        <f t="shared" si="2"/>
        <v>0</v>
      </c>
    </row>
    <row r="31" spans="2:43" ht="20.100000000000001" customHeight="1" x14ac:dyDescent="0.15">
      <c r="B31" s="124"/>
      <c r="C31" s="125"/>
      <c r="D31" s="126"/>
      <c r="E31" s="126"/>
      <c r="F31" s="125"/>
      <c r="G31" s="126"/>
      <c r="H31" s="126"/>
      <c r="I31" s="125"/>
      <c r="J31" s="126"/>
      <c r="K31" s="126"/>
      <c r="L31" s="125"/>
      <c r="M31" s="126"/>
      <c r="N31" s="126"/>
      <c r="O31" s="125"/>
      <c r="P31" s="126"/>
      <c r="Q31" s="126"/>
      <c r="R31" s="125"/>
      <c r="S31" s="126"/>
      <c r="T31" s="126"/>
      <c r="U31" s="125"/>
      <c r="V31" s="126"/>
      <c r="W31" s="126"/>
      <c r="X31" s="125"/>
      <c r="Y31" s="126"/>
      <c r="Z31" s="126"/>
      <c r="AA31" s="125"/>
      <c r="AB31" s="126"/>
      <c r="AC31" s="126"/>
      <c r="AD31" s="125"/>
      <c r="AE31" s="126"/>
      <c r="AF31" s="126"/>
      <c r="AG31" s="125"/>
      <c r="AH31" s="126"/>
      <c r="AI31" s="126"/>
      <c r="AJ31" s="125"/>
      <c r="AK31" s="126"/>
      <c r="AL31" s="126"/>
      <c r="AM31" s="127">
        <f t="shared" si="0"/>
        <v>0</v>
      </c>
      <c r="AO31" s="427"/>
      <c r="AP31" s="427"/>
      <c r="AQ31" s="427">
        <f t="shared" si="2"/>
        <v>0</v>
      </c>
    </row>
    <row r="32" spans="2:43" ht="20.100000000000001" customHeight="1" x14ac:dyDescent="0.15">
      <c r="B32" s="124"/>
      <c r="C32" s="125"/>
      <c r="D32" s="126"/>
      <c r="E32" s="126"/>
      <c r="F32" s="125"/>
      <c r="G32" s="126"/>
      <c r="H32" s="126"/>
      <c r="I32" s="125"/>
      <c r="J32" s="126"/>
      <c r="K32" s="126"/>
      <c r="L32" s="125"/>
      <c r="M32" s="126"/>
      <c r="N32" s="126"/>
      <c r="O32" s="125"/>
      <c r="P32" s="126"/>
      <c r="Q32" s="126"/>
      <c r="R32" s="125"/>
      <c r="S32" s="126"/>
      <c r="T32" s="126"/>
      <c r="U32" s="125"/>
      <c r="V32" s="126"/>
      <c r="W32" s="126"/>
      <c r="X32" s="125"/>
      <c r="Y32" s="126"/>
      <c r="Z32" s="126"/>
      <c r="AA32" s="125"/>
      <c r="AB32" s="126"/>
      <c r="AC32" s="126"/>
      <c r="AD32" s="125"/>
      <c r="AE32" s="126"/>
      <c r="AF32" s="126"/>
      <c r="AG32" s="125"/>
      <c r="AH32" s="126"/>
      <c r="AI32" s="126"/>
      <c r="AJ32" s="125"/>
      <c r="AK32" s="126"/>
      <c r="AL32" s="126"/>
      <c r="AM32" s="127">
        <f t="shared" si="0"/>
        <v>0</v>
      </c>
      <c r="AO32" s="427"/>
      <c r="AP32" s="427"/>
      <c r="AQ32" s="427">
        <f t="shared" si="2"/>
        <v>0</v>
      </c>
    </row>
    <row r="33" spans="2:43" ht="20.100000000000001" customHeight="1" x14ac:dyDescent="0.15">
      <c r="B33" s="128" t="s">
        <v>133</v>
      </c>
      <c r="C33" s="125">
        <f t="shared" ref="C33:AL33" si="3">SUM(C8:C32)</f>
        <v>0</v>
      </c>
      <c r="D33" s="129">
        <f t="shared" si="3"/>
        <v>0</v>
      </c>
      <c r="E33" s="130">
        <f t="shared" si="3"/>
        <v>0</v>
      </c>
      <c r="F33" s="125">
        <f t="shared" si="3"/>
        <v>2</v>
      </c>
      <c r="G33" s="129">
        <f t="shared" si="3"/>
        <v>2.6</v>
      </c>
      <c r="H33" s="130">
        <f t="shared" si="3"/>
        <v>2.6</v>
      </c>
      <c r="I33" s="125">
        <f t="shared" si="3"/>
        <v>2.6</v>
      </c>
      <c r="J33" s="129">
        <f t="shared" si="3"/>
        <v>3.3</v>
      </c>
      <c r="K33" s="130">
        <f t="shared" si="3"/>
        <v>2.1</v>
      </c>
      <c r="L33" s="125">
        <f t="shared" si="3"/>
        <v>4.2</v>
      </c>
      <c r="M33" s="129">
        <f t="shared" si="3"/>
        <v>6.7</v>
      </c>
      <c r="N33" s="130">
        <f t="shared" si="3"/>
        <v>8.1999999999999993</v>
      </c>
      <c r="O33" s="125">
        <f t="shared" si="3"/>
        <v>8.3000000000000007</v>
      </c>
      <c r="P33" s="129">
        <f t="shared" si="3"/>
        <v>7.6</v>
      </c>
      <c r="Q33" s="130">
        <f t="shared" si="3"/>
        <v>6.3</v>
      </c>
      <c r="R33" s="125">
        <f t="shared" si="3"/>
        <v>2.5</v>
      </c>
      <c r="S33" s="129">
        <f t="shared" si="3"/>
        <v>0</v>
      </c>
      <c r="T33" s="130">
        <f t="shared" si="3"/>
        <v>0</v>
      </c>
      <c r="U33" s="125">
        <f t="shared" si="3"/>
        <v>0</v>
      </c>
      <c r="V33" s="129">
        <f t="shared" si="3"/>
        <v>0.6</v>
      </c>
      <c r="W33" s="130">
        <f t="shared" si="3"/>
        <v>0.7</v>
      </c>
      <c r="X33" s="125">
        <f t="shared" si="3"/>
        <v>0.7</v>
      </c>
      <c r="Y33" s="129">
        <f t="shared" si="3"/>
        <v>0.7</v>
      </c>
      <c r="Z33" s="130">
        <f t="shared" si="3"/>
        <v>4.8</v>
      </c>
      <c r="AA33" s="125">
        <f t="shared" si="3"/>
        <v>4.2</v>
      </c>
      <c r="AB33" s="129">
        <f t="shared" si="3"/>
        <v>4.2</v>
      </c>
      <c r="AC33" s="130">
        <f t="shared" si="3"/>
        <v>4.2</v>
      </c>
      <c r="AD33" s="125">
        <f t="shared" si="3"/>
        <v>4.2</v>
      </c>
      <c r="AE33" s="129">
        <f t="shared" si="3"/>
        <v>4.2</v>
      </c>
      <c r="AF33" s="130">
        <f t="shared" si="3"/>
        <v>1.2</v>
      </c>
      <c r="AG33" s="125">
        <f t="shared" si="3"/>
        <v>1.2</v>
      </c>
      <c r="AH33" s="129">
        <f t="shared" si="3"/>
        <v>4.0999999999999996</v>
      </c>
      <c r="AI33" s="130">
        <f t="shared" si="3"/>
        <v>4.0999999999999996</v>
      </c>
      <c r="AJ33" s="125">
        <f t="shared" si="3"/>
        <v>0</v>
      </c>
      <c r="AK33" s="129">
        <f t="shared" si="3"/>
        <v>0</v>
      </c>
      <c r="AL33" s="130">
        <f t="shared" si="3"/>
        <v>0</v>
      </c>
      <c r="AM33" s="127">
        <f t="shared" si="0"/>
        <v>98.100000000000009</v>
      </c>
      <c r="AO33" s="427"/>
      <c r="AP33" s="427"/>
      <c r="AQ33" s="427">
        <f t="shared" si="2"/>
        <v>0</v>
      </c>
    </row>
    <row r="34" spans="2:43" ht="20.100000000000001" customHeight="1" thickBot="1" x14ac:dyDescent="0.2">
      <c r="B34" s="131" t="s">
        <v>134</v>
      </c>
      <c r="C34" s="132"/>
      <c r="D34" s="133">
        <f>SUM(C33:E33)</f>
        <v>0</v>
      </c>
      <c r="E34" s="133"/>
      <c r="F34" s="132"/>
      <c r="G34" s="133">
        <f>SUM(F33:H33)</f>
        <v>7.1999999999999993</v>
      </c>
      <c r="H34" s="133"/>
      <c r="I34" s="132"/>
      <c r="J34" s="133">
        <f>SUM(I33:K33)</f>
        <v>8</v>
      </c>
      <c r="K34" s="133"/>
      <c r="L34" s="132"/>
      <c r="M34" s="133">
        <f>SUM(L33:N33)</f>
        <v>19.100000000000001</v>
      </c>
      <c r="N34" s="133"/>
      <c r="O34" s="132"/>
      <c r="P34" s="133">
        <f>SUM(O33:Q33)</f>
        <v>22.2</v>
      </c>
      <c r="Q34" s="133"/>
      <c r="R34" s="132"/>
      <c r="S34" s="133">
        <f>SUM(R33:T33)</f>
        <v>2.5</v>
      </c>
      <c r="T34" s="133"/>
      <c r="U34" s="132"/>
      <c r="V34" s="133">
        <f>SUM(U33:W33)</f>
        <v>1.2999999999999998</v>
      </c>
      <c r="W34" s="133"/>
      <c r="X34" s="132"/>
      <c r="Y34" s="133">
        <f>SUM(X33:Z33)</f>
        <v>6.1999999999999993</v>
      </c>
      <c r="Z34" s="133"/>
      <c r="AA34" s="132"/>
      <c r="AB34" s="133">
        <f>SUM(AA33:AC33)</f>
        <v>12.600000000000001</v>
      </c>
      <c r="AC34" s="133"/>
      <c r="AD34" s="132"/>
      <c r="AE34" s="133">
        <f>SUM(AD33:AF33)</f>
        <v>9.6</v>
      </c>
      <c r="AF34" s="133"/>
      <c r="AG34" s="132"/>
      <c r="AH34" s="133">
        <f>SUM(AG33:AI33)</f>
        <v>9.3999999999999986</v>
      </c>
      <c r="AI34" s="133"/>
      <c r="AJ34" s="132"/>
      <c r="AK34" s="133">
        <f>SUM(AJ33:AL33)</f>
        <v>0</v>
      </c>
      <c r="AL34" s="133"/>
      <c r="AM34" s="134">
        <f>SUM(AM8:AM32)</f>
        <v>98.1</v>
      </c>
      <c r="AO34" s="427">
        <f>SUM(AO8:AO32)</f>
        <v>38.300000000000004</v>
      </c>
      <c r="AP34" s="427">
        <f t="shared" ref="AP34" si="4">SUM(AP8:AP32)</f>
        <v>60.400000000000006</v>
      </c>
      <c r="AQ34" s="427">
        <f>SUM(AQ8:AQ33)</f>
        <v>98.7</v>
      </c>
    </row>
  </sheetData>
  <mergeCells count="16">
    <mergeCell ref="J2:M2"/>
    <mergeCell ref="AJ3:AL3"/>
    <mergeCell ref="AM3:AM4"/>
    <mergeCell ref="B5:B7"/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honeticPr fontId="6"/>
  <pageMargins left="0.78740157480314965" right="0.78740157480314965" top="0.78740157480314965" bottom="0.78740157480314965" header="0.39370078740157483" footer="0.39370078740157483"/>
  <pageSetup paperSize="9" scale="5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P41"/>
  <sheetViews>
    <sheetView zoomScale="75" zoomScaleNormal="75" zoomScaleSheetLayoutView="78" workbookViewId="0"/>
  </sheetViews>
  <sheetFormatPr defaultColWidth="9" defaultRowHeight="13.5" x14ac:dyDescent="0.15"/>
  <cols>
    <col min="1" max="1" width="1.625" style="86" customWidth="1"/>
    <col min="2" max="2" width="5" style="86" customWidth="1"/>
    <col min="3" max="3" width="22.5" style="86" bestFit="1" customWidth="1"/>
    <col min="4" max="4" width="30" style="86" bestFit="1" customWidth="1"/>
    <col min="5" max="6" width="6" style="86" bestFit="1" customWidth="1"/>
    <col min="7" max="7" width="17.625" style="86" customWidth="1"/>
    <col min="8" max="8" width="10.625" style="86" customWidth="1"/>
    <col min="9" max="9" width="17.625" style="86" customWidth="1"/>
    <col min="10" max="10" width="10.625" style="86" customWidth="1"/>
    <col min="11" max="11" width="15.125" style="87" bestFit="1" customWidth="1"/>
    <col min="12" max="12" width="17.625" style="86" customWidth="1"/>
    <col min="13" max="13" width="10.625" style="86" customWidth="1"/>
    <col min="14" max="14" width="17.625" style="86" customWidth="1"/>
    <col min="15" max="15" width="10.625" style="86" customWidth="1"/>
    <col min="16" max="16" width="19.75" style="86" bestFit="1" customWidth="1"/>
    <col min="17" max="16384" width="9" style="86"/>
  </cols>
  <sheetData>
    <row r="1" spans="2:16" ht="9.9499999999999993" customHeight="1" x14ac:dyDescent="0.15"/>
    <row r="2" spans="2:16" ht="24.95" customHeight="1" thickBot="1" x14ac:dyDescent="0.2">
      <c r="B2" s="2" t="s">
        <v>271</v>
      </c>
      <c r="C2" s="13"/>
      <c r="D2" s="13"/>
      <c r="E2" s="88"/>
      <c r="F2" s="810"/>
      <c r="G2" s="811"/>
      <c r="H2" s="89"/>
      <c r="I2" s="89"/>
      <c r="J2" s="90"/>
      <c r="K2" s="91"/>
      <c r="L2" s="90"/>
      <c r="M2" s="92"/>
      <c r="P2" s="90"/>
    </row>
    <row r="3" spans="2:16" x14ac:dyDescent="0.15">
      <c r="B3" s="814" t="s">
        <v>136</v>
      </c>
      <c r="C3" s="801" t="s">
        <v>38</v>
      </c>
      <c r="D3" s="801" t="s">
        <v>135</v>
      </c>
      <c r="E3" s="812" t="s">
        <v>39</v>
      </c>
      <c r="F3" s="813"/>
      <c r="G3" s="93" t="s">
        <v>40</v>
      </c>
      <c r="H3" s="93" t="s">
        <v>138</v>
      </c>
      <c r="I3" s="93" t="s">
        <v>137</v>
      </c>
      <c r="J3" s="801" t="s">
        <v>99</v>
      </c>
      <c r="K3" s="94" t="s">
        <v>160</v>
      </c>
      <c r="L3" s="93" t="s">
        <v>41</v>
      </c>
      <c r="M3" s="93" t="s">
        <v>142</v>
      </c>
      <c r="N3" s="93" t="s">
        <v>42</v>
      </c>
      <c r="O3" s="93" t="s">
        <v>43</v>
      </c>
      <c r="P3" s="359" t="s">
        <v>44</v>
      </c>
    </row>
    <row r="4" spans="2:16" x14ac:dyDescent="0.15">
      <c r="B4" s="815"/>
      <c r="C4" s="802"/>
      <c r="D4" s="802"/>
      <c r="E4" s="95" t="s">
        <v>101</v>
      </c>
      <c r="F4" s="95" t="s">
        <v>9</v>
      </c>
      <c r="G4" s="96" t="s">
        <v>161</v>
      </c>
      <c r="H4" s="96" t="s">
        <v>162</v>
      </c>
      <c r="I4" s="96" t="s">
        <v>146</v>
      </c>
      <c r="J4" s="802"/>
      <c r="K4" s="97" t="s">
        <v>163</v>
      </c>
      <c r="L4" s="96" t="s">
        <v>164</v>
      </c>
      <c r="M4" s="96" t="s">
        <v>165</v>
      </c>
      <c r="N4" s="96" t="s">
        <v>148</v>
      </c>
      <c r="O4" s="96" t="s">
        <v>166</v>
      </c>
      <c r="P4" s="360" t="s">
        <v>167</v>
      </c>
    </row>
    <row r="5" spans="2:16" ht="13.15" customHeight="1" x14ac:dyDescent="0.15">
      <c r="B5" s="816" t="s">
        <v>207</v>
      </c>
      <c r="C5" s="796" t="str">
        <f>'６（参考）水稲資本装備'!C5</f>
        <v>農機具庫</v>
      </c>
      <c r="D5" s="796" t="str">
        <f>'６（参考）水稲資本装備'!D5</f>
        <v>鉄骨　スレート</v>
      </c>
      <c r="E5" s="796">
        <f>'６（参考）水稲資本装備'!E5</f>
        <v>80</v>
      </c>
      <c r="F5" s="796" t="s">
        <v>168</v>
      </c>
      <c r="G5" s="796">
        <f>'６（参考）水稲資本装備'!G5</f>
        <v>4752000</v>
      </c>
      <c r="H5" s="804">
        <v>0</v>
      </c>
      <c r="I5" s="796">
        <f>G5*(1-H5)</f>
        <v>4752000</v>
      </c>
      <c r="J5" s="403">
        <f>'６（参考）水稲資本装備'!J5</f>
        <v>25</v>
      </c>
      <c r="K5" s="98">
        <f>'６（参考）水稲資本装備'!K5</f>
        <v>0.04</v>
      </c>
      <c r="L5" s="85">
        <f>I5*K5</f>
        <v>190080</v>
      </c>
      <c r="M5" s="99">
        <v>0</v>
      </c>
      <c r="N5" s="85">
        <f t="shared" ref="N5:N13" si="0">L5*M5/100</f>
        <v>0</v>
      </c>
      <c r="O5" s="85">
        <v>25</v>
      </c>
      <c r="P5" s="192">
        <f>IF(O5="","",(L5-N5)/O5)</f>
        <v>7603.2</v>
      </c>
    </row>
    <row r="6" spans="2:16" x14ac:dyDescent="0.15">
      <c r="B6" s="817"/>
      <c r="C6" s="803"/>
      <c r="D6" s="803"/>
      <c r="E6" s="803"/>
      <c r="F6" s="803"/>
      <c r="G6" s="803"/>
      <c r="H6" s="805"/>
      <c r="I6" s="803"/>
      <c r="J6" s="404"/>
      <c r="K6" s="98"/>
      <c r="L6" s="85">
        <f>I5*K6</f>
        <v>0</v>
      </c>
      <c r="M6" s="99">
        <v>0</v>
      </c>
      <c r="N6" s="85">
        <f t="shared" si="0"/>
        <v>0</v>
      </c>
      <c r="O6" s="85">
        <v>25</v>
      </c>
      <c r="P6" s="192">
        <f t="shared" ref="P6:P13" si="1">IF(O6="","",(L6-N6)/O6)</f>
        <v>0</v>
      </c>
    </row>
    <row r="7" spans="2:16" x14ac:dyDescent="0.15">
      <c r="B7" s="817"/>
      <c r="C7" s="797"/>
      <c r="D7" s="797"/>
      <c r="E7" s="797"/>
      <c r="F7" s="797"/>
      <c r="G7" s="797"/>
      <c r="H7" s="806"/>
      <c r="I7" s="797"/>
      <c r="J7" s="405"/>
      <c r="K7" s="98"/>
      <c r="L7" s="85">
        <f>I5*K7</f>
        <v>0</v>
      </c>
      <c r="M7" s="99">
        <v>0</v>
      </c>
      <c r="N7" s="85">
        <f t="shared" si="0"/>
        <v>0</v>
      </c>
      <c r="O7" s="85">
        <v>25</v>
      </c>
      <c r="P7" s="192">
        <f t="shared" si="1"/>
        <v>0</v>
      </c>
    </row>
    <row r="8" spans="2:16" x14ac:dyDescent="0.15">
      <c r="B8" s="817"/>
      <c r="C8" s="85" t="str">
        <f>'６（参考）水稲資本装備'!C6</f>
        <v>育苗ハウス</v>
      </c>
      <c r="D8" s="85" t="str">
        <f>'６（参考）水稲資本装備'!D6</f>
        <v>鉄パイプ</v>
      </c>
      <c r="E8" s="100">
        <f>'６（参考）水稲資本装備'!E6</f>
        <v>472.5</v>
      </c>
      <c r="F8" s="101" t="s">
        <v>168</v>
      </c>
      <c r="G8" s="85">
        <f>'６（参考）水稲資本装備'!G6</f>
        <v>1148175</v>
      </c>
      <c r="H8" s="99">
        <v>0</v>
      </c>
      <c r="I8" s="85">
        <f t="shared" ref="I8:I13" si="2">G8*(1-H8)</f>
        <v>1148175</v>
      </c>
      <c r="J8" s="403">
        <f>'６（参考）水稲資本装備'!J6</f>
        <v>17</v>
      </c>
      <c r="K8" s="98">
        <f>'６（参考）水稲資本装備'!K6</f>
        <v>5.8823529411764705E-2</v>
      </c>
      <c r="L8" s="85">
        <f t="shared" ref="L8:L25" si="3">I8*K8</f>
        <v>67539.705882352937</v>
      </c>
      <c r="M8" s="99">
        <v>0</v>
      </c>
      <c r="N8" s="85">
        <f t="shared" si="0"/>
        <v>0</v>
      </c>
      <c r="O8" s="85">
        <v>10</v>
      </c>
      <c r="P8" s="192">
        <f t="shared" si="1"/>
        <v>6753.9705882352937</v>
      </c>
    </row>
    <row r="9" spans="2:16" x14ac:dyDescent="0.15">
      <c r="B9" s="817"/>
      <c r="C9" s="85"/>
      <c r="D9" s="85"/>
      <c r="E9" s="85"/>
      <c r="F9" s="85"/>
      <c r="G9" s="85"/>
      <c r="H9" s="99"/>
      <c r="I9" s="85">
        <f t="shared" si="2"/>
        <v>0</v>
      </c>
      <c r="J9" s="85"/>
      <c r="K9" s="98"/>
      <c r="L9" s="85">
        <f t="shared" si="3"/>
        <v>0</v>
      </c>
      <c r="M9" s="99"/>
      <c r="N9" s="85">
        <f t="shared" si="0"/>
        <v>0</v>
      </c>
      <c r="O9" s="85"/>
      <c r="P9" s="192" t="str">
        <f t="shared" si="1"/>
        <v/>
      </c>
    </row>
    <row r="10" spans="2:16" x14ac:dyDescent="0.15">
      <c r="B10" s="817"/>
      <c r="C10" s="85"/>
      <c r="D10" s="85"/>
      <c r="E10" s="85"/>
      <c r="F10" s="85"/>
      <c r="G10" s="85"/>
      <c r="H10" s="99"/>
      <c r="I10" s="85">
        <f t="shared" si="2"/>
        <v>0</v>
      </c>
      <c r="J10" s="85"/>
      <c r="K10" s="98"/>
      <c r="L10" s="85">
        <f t="shared" si="3"/>
        <v>0</v>
      </c>
      <c r="M10" s="99"/>
      <c r="N10" s="85">
        <f t="shared" si="0"/>
        <v>0</v>
      </c>
      <c r="O10" s="85"/>
      <c r="P10" s="192" t="str">
        <f t="shared" si="1"/>
        <v/>
      </c>
    </row>
    <row r="11" spans="2:16" x14ac:dyDescent="0.15">
      <c r="B11" s="817"/>
      <c r="C11" s="85"/>
      <c r="D11" s="85"/>
      <c r="E11" s="85"/>
      <c r="F11" s="85"/>
      <c r="G11" s="85"/>
      <c r="H11" s="99"/>
      <c r="I11" s="85">
        <f t="shared" si="2"/>
        <v>0</v>
      </c>
      <c r="J11" s="85"/>
      <c r="K11" s="98"/>
      <c r="L11" s="85">
        <f t="shared" si="3"/>
        <v>0</v>
      </c>
      <c r="M11" s="99"/>
      <c r="N11" s="85">
        <f t="shared" si="0"/>
        <v>0</v>
      </c>
      <c r="O11" s="85"/>
      <c r="P11" s="192" t="str">
        <f t="shared" si="1"/>
        <v/>
      </c>
    </row>
    <row r="12" spans="2:16" x14ac:dyDescent="0.15">
      <c r="B12" s="817"/>
      <c r="C12" s="85"/>
      <c r="D12" s="85"/>
      <c r="E12" s="85"/>
      <c r="F12" s="85"/>
      <c r="G12" s="85"/>
      <c r="H12" s="99"/>
      <c r="I12" s="85">
        <f t="shared" si="2"/>
        <v>0</v>
      </c>
      <c r="J12" s="85"/>
      <c r="K12" s="98"/>
      <c r="L12" s="85">
        <f t="shared" si="3"/>
        <v>0</v>
      </c>
      <c r="M12" s="99"/>
      <c r="N12" s="85">
        <f t="shared" si="0"/>
        <v>0</v>
      </c>
      <c r="O12" s="85"/>
      <c r="P12" s="192" t="str">
        <f t="shared" si="1"/>
        <v/>
      </c>
    </row>
    <row r="13" spans="2:16" x14ac:dyDescent="0.15">
      <c r="B13" s="817"/>
      <c r="C13" s="85"/>
      <c r="D13" s="85"/>
      <c r="E13" s="85"/>
      <c r="F13" s="85"/>
      <c r="G13" s="85"/>
      <c r="H13" s="99"/>
      <c r="I13" s="85">
        <f t="shared" si="2"/>
        <v>0</v>
      </c>
      <c r="J13" s="85"/>
      <c r="K13" s="98"/>
      <c r="L13" s="85">
        <f t="shared" si="3"/>
        <v>0</v>
      </c>
      <c r="M13" s="99"/>
      <c r="N13" s="85">
        <f t="shared" si="0"/>
        <v>0</v>
      </c>
      <c r="O13" s="85"/>
      <c r="P13" s="192" t="str">
        <f t="shared" si="1"/>
        <v/>
      </c>
    </row>
    <row r="14" spans="2:16" x14ac:dyDescent="0.15">
      <c r="B14" s="818"/>
      <c r="C14" s="102" t="s">
        <v>45</v>
      </c>
      <c r="D14" s="103"/>
      <c r="E14" s="103"/>
      <c r="F14" s="104"/>
      <c r="G14" s="103">
        <f>SUM(G5:G13)</f>
        <v>5900175</v>
      </c>
      <c r="H14" s="103"/>
      <c r="I14" s="103">
        <f>SUM(I5:I13)</f>
        <v>5900175</v>
      </c>
      <c r="J14" s="103"/>
      <c r="K14" s="105"/>
      <c r="L14" s="103">
        <f>SUM(L5:L13)</f>
        <v>257619.70588235295</v>
      </c>
      <c r="M14" s="103"/>
      <c r="N14" s="103"/>
      <c r="O14" s="103"/>
      <c r="P14" s="361">
        <f>SUM(P5:P13)</f>
        <v>14357.170588235294</v>
      </c>
    </row>
    <row r="15" spans="2:16" x14ac:dyDescent="0.15">
      <c r="B15" s="799"/>
      <c r="C15" s="796" t="str">
        <f>'６（参考）水稲資本装備'!C15</f>
        <v>トラクター</v>
      </c>
      <c r="D15" s="796" t="str">
        <f>'６（参考）水稲資本装備'!D15</f>
        <v>32ｐｓ（ﾛｰﾀﾘｰ）</v>
      </c>
      <c r="E15" s="796">
        <f>'６（参考）水稲資本装備'!E15</f>
        <v>1</v>
      </c>
      <c r="F15" s="796" t="str">
        <f>'６（参考）水稲資本装備'!F15</f>
        <v>台</v>
      </c>
      <c r="G15" s="790">
        <f>'６（参考）水稲資本装備'!G15</f>
        <v>4626720</v>
      </c>
      <c r="H15" s="804">
        <v>0</v>
      </c>
      <c r="I15" s="794">
        <f t="shared" ref="I15:I29" si="4">G15*(1-H15)*E15</f>
        <v>4626720</v>
      </c>
      <c r="J15" s="403">
        <f>'６（参考）水稲資本装備'!J15</f>
        <v>19</v>
      </c>
      <c r="K15" s="98">
        <f>'６（参考）水稲資本装備'!K15</f>
        <v>5.2631578947368418E-2</v>
      </c>
      <c r="L15" s="85">
        <f t="shared" si="3"/>
        <v>243511.5789473684</v>
      </c>
      <c r="M15" s="106">
        <v>0</v>
      </c>
      <c r="N15" s="85">
        <f t="shared" ref="N15:N33" si="5">L15*M15</f>
        <v>0</v>
      </c>
      <c r="O15" s="107">
        <v>7</v>
      </c>
      <c r="P15" s="192">
        <f t="shared" ref="P15:P33" si="6">IF(O15="","",(L15-N15)/O15)</f>
        <v>34787.368421052626</v>
      </c>
    </row>
    <row r="16" spans="2:16" x14ac:dyDescent="0.15">
      <c r="B16" s="799"/>
      <c r="C16" s="803"/>
      <c r="D16" s="803"/>
      <c r="E16" s="803"/>
      <c r="F16" s="803"/>
      <c r="G16" s="803"/>
      <c r="H16" s="805"/>
      <c r="I16" s="807">
        <f t="shared" si="4"/>
        <v>0</v>
      </c>
      <c r="J16" s="407"/>
      <c r="K16" s="406"/>
      <c r="L16" s="407"/>
      <c r="M16" s="106">
        <v>0</v>
      </c>
      <c r="N16" s="85">
        <f t="shared" si="5"/>
        <v>0</v>
      </c>
      <c r="O16" s="107">
        <v>7</v>
      </c>
      <c r="P16" s="408">
        <f t="shared" si="6"/>
        <v>0</v>
      </c>
    </row>
    <row r="17" spans="2:16" x14ac:dyDescent="0.15">
      <c r="B17" s="799"/>
      <c r="C17" s="797"/>
      <c r="D17" s="797"/>
      <c r="E17" s="797"/>
      <c r="F17" s="797"/>
      <c r="G17" s="791"/>
      <c r="H17" s="806"/>
      <c r="I17" s="795">
        <f t="shared" si="4"/>
        <v>0</v>
      </c>
      <c r="J17" s="85"/>
      <c r="K17" s="98"/>
      <c r="L17" s="85">
        <f>I15*K17</f>
        <v>0</v>
      </c>
      <c r="M17" s="106">
        <v>0</v>
      </c>
      <c r="N17" s="85">
        <f t="shared" si="5"/>
        <v>0</v>
      </c>
      <c r="O17" s="107">
        <v>7</v>
      </c>
      <c r="P17" s="192">
        <f t="shared" si="6"/>
        <v>0</v>
      </c>
    </row>
    <row r="18" spans="2:16" x14ac:dyDescent="0.15">
      <c r="B18" s="799"/>
      <c r="C18" s="790" t="s">
        <v>55</v>
      </c>
      <c r="D18" s="790" t="str">
        <f>'６（参考）水稲資本装備'!D16</f>
        <v>2.4m幅</v>
      </c>
      <c r="E18" s="790">
        <f>'６（参考）水稲資本装備'!E16</f>
        <v>1</v>
      </c>
      <c r="F18" s="790" t="str">
        <f>'６（参考）水稲資本装備'!F16</f>
        <v>台</v>
      </c>
      <c r="G18" s="790">
        <f>'６（参考）水稲資本装備'!G16</f>
        <v>583200</v>
      </c>
      <c r="H18" s="792">
        <v>0</v>
      </c>
      <c r="I18" s="808">
        <f t="shared" si="4"/>
        <v>583200</v>
      </c>
      <c r="J18" s="403">
        <f>'６（参考）水稲資本装備'!J16</f>
        <v>19</v>
      </c>
      <c r="K18" s="98">
        <f>'６（参考）水稲資本装備'!K16</f>
        <v>5.2631578947368418E-2</v>
      </c>
      <c r="L18" s="85">
        <f>I18*K18</f>
        <v>30694.73684210526</v>
      </c>
      <c r="M18" s="106">
        <v>0</v>
      </c>
      <c r="N18" s="85">
        <f t="shared" si="5"/>
        <v>0</v>
      </c>
      <c r="O18" s="107">
        <v>7</v>
      </c>
      <c r="P18" s="192">
        <f t="shared" si="6"/>
        <v>4384.9624060150372</v>
      </c>
    </row>
    <row r="19" spans="2:16" x14ac:dyDescent="0.15">
      <c r="B19" s="799"/>
      <c r="C19" s="791"/>
      <c r="D19" s="791"/>
      <c r="E19" s="791"/>
      <c r="F19" s="791"/>
      <c r="G19" s="791"/>
      <c r="H19" s="793"/>
      <c r="I19" s="809">
        <f t="shared" si="4"/>
        <v>0</v>
      </c>
      <c r="J19" s="85"/>
      <c r="K19" s="98"/>
      <c r="L19" s="85">
        <f>I18*K19</f>
        <v>0</v>
      </c>
      <c r="M19" s="106">
        <v>0</v>
      </c>
      <c r="N19" s="85">
        <f t="shared" si="5"/>
        <v>0</v>
      </c>
      <c r="O19" s="107">
        <v>7</v>
      </c>
      <c r="P19" s="192">
        <f t="shared" si="6"/>
        <v>0</v>
      </c>
    </row>
    <row r="20" spans="2:16" x14ac:dyDescent="0.15">
      <c r="B20" s="799"/>
      <c r="C20" s="85" t="str">
        <f>'６（参考）水稲資本装備'!C17</f>
        <v>乗用田植機</v>
      </c>
      <c r="D20" s="85" t="str">
        <f>'６（参考）水稲資本装備'!D17</f>
        <v>5条側条施肥機付き</v>
      </c>
      <c r="E20" s="85">
        <f>'６（参考）水稲資本装備'!E17</f>
        <v>1</v>
      </c>
      <c r="F20" s="85" t="str">
        <f>'６（参考）水稲資本装備'!F17</f>
        <v>台</v>
      </c>
      <c r="G20" s="85">
        <f>'６（参考）水稲資本装備'!G17</f>
        <v>2127600</v>
      </c>
      <c r="H20" s="99">
        <v>0</v>
      </c>
      <c r="I20" s="107">
        <f t="shared" si="4"/>
        <v>2127600</v>
      </c>
      <c r="J20" s="403">
        <f>'６（参考）水稲資本装備'!J17</f>
        <v>17</v>
      </c>
      <c r="K20" s="98">
        <f>'６（参考）水稲資本装備'!K17</f>
        <v>5.8823529411764705E-2</v>
      </c>
      <c r="L20" s="85">
        <f>I20*K20</f>
        <v>125152.94117647059</v>
      </c>
      <c r="M20" s="106">
        <v>0</v>
      </c>
      <c r="N20" s="85">
        <f t="shared" si="5"/>
        <v>0</v>
      </c>
      <c r="O20" s="107">
        <v>7</v>
      </c>
      <c r="P20" s="192">
        <f t="shared" si="6"/>
        <v>17878.991596638654</v>
      </c>
    </row>
    <row r="21" spans="2:16" x14ac:dyDescent="0.15">
      <c r="B21" s="799"/>
      <c r="C21" s="85" t="str">
        <f>'６（参考）水稲資本装備'!C18</f>
        <v>コンバイン</v>
      </c>
      <c r="D21" s="85" t="str">
        <f>'６（参考）水稲資本装備'!D18</f>
        <v>4条刈</v>
      </c>
      <c r="E21" s="85">
        <f>'６（参考）水稲資本装備'!E18</f>
        <v>1</v>
      </c>
      <c r="F21" s="85" t="str">
        <f>'６（参考）水稲資本装備'!F18</f>
        <v>台</v>
      </c>
      <c r="G21" s="85">
        <f>'６（参考）水稲資本装備'!G18</f>
        <v>7344000.0000000009</v>
      </c>
      <c r="H21" s="99">
        <v>0</v>
      </c>
      <c r="I21" s="107">
        <f t="shared" si="4"/>
        <v>7344000.0000000009</v>
      </c>
      <c r="J21" s="403">
        <f>'６（参考）水稲資本装備'!J18</f>
        <v>17</v>
      </c>
      <c r="K21" s="98">
        <f>'６（参考）水稲資本装備'!K18</f>
        <v>5.8823529411764705E-2</v>
      </c>
      <c r="L21" s="85">
        <f t="shared" si="3"/>
        <v>432000.00000000006</v>
      </c>
      <c r="M21" s="106">
        <v>0</v>
      </c>
      <c r="N21" s="85">
        <f t="shared" si="5"/>
        <v>0</v>
      </c>
      <c r="O21" s="107">
        <v>7</v>
      </c>
      <c r="P21" s="192">
        <f t="shared" si="6"/>
        <v>61714.285714285725</v>
      </c>
    </row>
    <row r="22" spans="2:16" x14ac:dyDescent="0.15">
      <c r="B22" s="799"/>
      <c r="C22" s="85" t="str">
        <f>'６（参考）水稲資本装備'!C21</f>
        <v>催芽機</v>
      </c>
      <c r="D22" s="85" t="str">
        <f>'６（参考）水稲資本装備'!D21</f>
        <v>100ｋｇ/回</v>
      </c>
      <c r="E22" s="85">
        <f>'６（参考）水稲資本装備'!E21</f>
        <v>1</v>
      </c>
      <c r="F22" s="85" t="str">
        <f>'６（参考）水稲資本装備'!F21</f>
        <v>台</v>
      </c>
      <c r="G22" s="85">
        <f>'６（参考）水稲資本装備'!G21</f>
        <v>153360</v>
      </c>
      <c r="H22" s="99">
        <v>0</v>
      </c>
      <c r="I22" s="107">
        <f t="shared" si="4"/>
        <v>153360</v>
      </c>
      <c r="J22" s="403">
        <f>'６（参考）水稲資本装備'!J21</f>
        <v>17</v>
      </c>
      <c r="K22" s="98">
        <f>'６（参考）水稲資本装備'!K21</f>
        <v>5.8823529411764705E-2</v>
      </c>
      <c r="L22" s="85">
        <f t="shared" si="3"/>
        <v>9021.176470588236</v>
      </c>
      <c r="M22" s="106">
        <v>0</v>
      </c>
      <c r="N22" s="85">
        <f t="shared" si="5"/>
        <v>0</v>
      </c>
      <c r="O22" s="107">
        <v>7</v>
      </c>
      <c r="P22" s="192">
        <f t="shared" si="6"/>
        <v>1288.7394957983195</v>
      </c>
    </row>
    <row r="23" spans="2:16" x14ac:dyDescent="0.15">
      <c r="B23" s="799"/>
      <c r="C23" s="85" t="str">
        <f>'６（参考）水稲資本装備'!C22</f>
        <v>播種覆土一連機械</v>
      </c>
      <c r="D23" s="85" t="str">
        <f>'６（参考）水稲資本装備'!D22</f>
        <v>（120箱/時間）</v>
      </c>
      <c r="E23" s="85">
        <f>'６（参考）水稲資本装備'!E22</f>
        <v>1</v>
      </c>
      <c r="F23" s="85" t="str">
        <f>'６（参考）水稲資本装備'!F22</f>
        <v>台</v>
      </c>
      <c r="G23" s="85">
        <f>'６（参考）水稲資本装備'!G22</f>
        <v>190080</v>
      </c>
      <c r="H23" s="99">
        <v>0</v>
      </c>
      <c r="I23" s="107">
        <f t="shared" si="4"/>
        <v>190080</v>
      </c>
      <c r="J23" s="403">
        <f>'６（参考）水稲資本装備'!J22</f>
        <v>17</v>
      </c>
      <c r="K23" s="98">
        <f>'６（参考）水稲資本装備'!K22</f>
        <v>5.8823529411764705E-2</v>
      </c>
      <c r="L23" s="85">
        <f t="shared" si="3"/>
        <v>11181.176470588236</v>
      </c>
      <c r="M23" s="106">
        <v>0</v>
      </c>
      <c r="N23" s="85">
        <f t="shared" si="5"/>
        <v>0</v>
      </c>
      <c r="O23" s="107">
        <v>7</v>
      </c>
      <c r="P23" s="192">
        <f t="shared" si="6"/>
        <v>1597.3109243697479</v>
      </c>
    </row>
    <row r="24" spans="2:16" x14ac:dyDescent="0.15">
      <c r="B24" s="799"/>
      <c r="C24" s="85" t="str">
        <f>'６（参考）水稲資本装備'!C23</f>
        <v>育苗器</v>
      </c>
      <c r="D24" s="85" t="str">
        <f>'６（参考）水稲資本装備'!D23</f>
        <v>積重ね180箱</v>
      </c>
      <c r="E24" s="85">
        <f>'６（参考）水稲資本装備'!E23</f>
        <v>2</v>
      </c>
      <c r="F24" s="85" t="str">
        <f>'６（参考）水稲資本装備'!F23</f>
        <v>台</v>
      </c>
      <c r="G24" s="85">
        <f>'６（参考）水稲資本装備'!G23</f>
        <v>376488</v>
      </c>
      <c r="H24" s="99">
        <v>0</v>
      </c>
      <c r="I24" s="107">
        <f t="shared" si="4"/>
        <v>752976</v>
      </c>
      <c r="J24" s="403">
        <f>'６（参考）水稲資本装備'!J23</f>
        <v>17</v>
      </c>
      <c r="K24" s="98">
        <f>'６（参考）水稲資本装備'!K23</f>
        <v>5.8823529411764705E-2</v>
      </c>
      <c r="L24" s="85">
        <f t="shared" si="3"/>
        <v>44292.705882352944</v>
      </c>
      <c r="M24" s="106">
        <v>0</v>
      </c>
      <c r="N24" s="85">
        <f t="shared" si="5"/>
        <v>0</v>
      </c>
      <c r="O24" s="107">
        <v>7</v>
      </c>
      <c r="P24" s="192">
        <f t="shared" si="6"/>
        <v>6327.5294117647063</v>
      </c>
    </row>
    <row r="25" spans="2:16" x14ac:dyDescent="0.15">
      <c r="B25" s="799"/>
      <c r="C25" s="85" t="str">
        <f>'６（参考）水稲資本装備'!C24</f>
        <v>育苗箱</v>
      </c>
      <c r="D25" s="85" t="str">
        <f>'６（参考）水稲資本装備'!D24</f>
        <v>450円/箱</v>
      </c>
      <c r="E25" s="85">
        <f>'６（参考）水稲資本装備'!E24</f>
        <v>1430</v>
      </c>
      <c r="F25" s="85" t="str">
        <f>'６（参考）水稲資本装備'!F24</f>
        <v>箱</v>
      </c>
      <c r="G25" s="85">
        <f>'６（参考）水稲資本装備'!G24</f>
        <v>694980.00000000012</v>
      </c>
      <c r="H25" s="99">
        <v>0</v>
      </c>
      <c r="I25" s="107">
        <f>G25*(1-H25)</f>
        <v>694980.00000000012</v>
      </c>
      <c r="J25" s="403">
        <f>'６（参考）水稲資本装備'!J24</f>
        <v>17</v>
      </c>
      <c r="K25" s="98">
        <f>'６（参考）水稲資本装備'!K24</f>
        <v>5.8823529411764705E-2</v>
      </c>
      <c r="L25" s="85">
        <f t="shared" si="3"/>
        <v>40881.176470588245</v>
      </c>
      <c r="M25" s="106">
        <v>0</v>
      </c>
      <c r="N25" s="85">
        <f t="shared" si="5"/>
        <v>0</v>
      </c>
      <c r="O25" s="107">
        <v>7</v>
      </c>
      <c r="P25" s="464">
        <f t="shared" si="6"/>
        <v>5840.1680672268922</v>
      </c>
    </row>
    <row r="26" spans="2:16" x14ac:dyDescent="0.15">
      <c r="B26" s="799"/>
      <c r="C26" s="796" t="str">
        <f>'６（参考）水稲資本装備'!C19</f>
        <v>乗用管理機</v>
      </c>
      <c r="D26" s="796" t="str">
        <f>'６（参考）水稲資本装備'!D19</f>
        <v>散布巾10ｍ</v>
      </c>
      <c r="E26" s="796">
        <f>'６（参考）水稲資本装備'!E19</f>
        <v>1</v>
      </c>
      <c r="F26" s="796" t="str">
        <f>'６（参考）水稲資本装備'!F19</f>
        <v>台</v>
      </c>
      <c r="G26" s="796">
        <f>'６（参考）水稲資本装備'!G19</f>
        <v>3780000.0000000005</v>
      </c>
      <c r="H26" s="792">
        <v>0</v>
      </c>
      <c r="I26" s="794">
        <f t="shared" si="4"/>
        <v>3780000.0000000005</v>
      </c>
      <c r="J26" s="403">
        <f>'６（参考）水稲資本装備'!J19</f>
        <v>15</v>
      </c>
      <c r="K26" s="98">
        <f>'６（参考）水稲資本装備'!K19</f>
        <v>6.6666666666666666E-2</v>
      </c>
      <c r="L26" s="85">
        <f>I26*K26</f>
        <v>252000.00000000003</v>
      </c>
      <c r="M26" s="106">
        <v>0</v>
      </c>
      <c r="N26" s="85">
        <f t="shared" si="5"/>
        <v>0</v>
      </c>
      <c r="O26" s="107">
        <v>7</v>
      </c>
      <c r="P26" s="192">
        <f t="shared" si="6"/>
        <v>36000.000000000007</v>
      </c>
    </row>
    <row r="27" spans="2:16" x14ac:dyDescent="0.15">
      <c r="B27" s="799"/>
      <c r="C27" s="797"/>
      <c r="D27" s="797"/>
      <c r="E27" s="797"/>
      <c r="F27" s="797"/>
      <c r="G27" s="797"/>
      <c r="H27" s="793"/>
      <c r="I27" s="795">
        <f t="shared" si="4"/>
        <v>0</v>
      </c>
      <c r="J27" s="85"/>
      <c r="K27" s="98"/>
      <c r="L27" s="85">
        <f>I26*K27</f>
        <v>0</v>
      </c>
      <c r="M27" s="106">
        <v>0</v>
      </c>
      <c r="N27" s="85">
        <f t="shared" si="5"/>
        <v>0</v>
      </c>
      <c r="O27" s="107">
        <v>7</v>
      </c>
      <c r="P27" s="192">
        <f t="shared" si="6"/>
        <v>0</v>
      </c>
    </row>
    <row r="28" spans="2:16" x14ac:dyDescent="0.15">
      <c r="B28" s="799"/>
      <c r="C28" s="796" t="str">
        <f>'６（参考）水稲資本装備'!C20</f>
        <v>ブロードキャスター</v>
      </c>
      <c r="D28" s="796" t="str">
        <f>'６（参考）水稲資本装備'!D20</f>
        <v>400リットル</v>
      </c>
      <c r="E28" s="796">
        <f>'６（参考）水稲資本装備'!E20</f>
        <v>1</v>
      </c>
      <c r="F28" s="796" t="str">
        <f>'６（参考）水稲資本装備'!F20</f>
        <v>台</v>
      </c>
      <c r="G28" s="796">
        <f>'６（参考）水稲資本装備'!G20</f>
        <v>303480</v>
      </c>
      <c r="H28" s="792">
        <v>0</v>
      </c>
      <c r="I28" s="794">
        <f t="shared" si="4"/>
        <v>303480</v>
      </c>
      <c r="J28" s="403">
        <f>'６（参考）水稲資本装備'!J20</f>
        <v>15</v>
      </c>
      <c r="K28" s="98">
        <f>'６（参考）水稲資本装備'!K20</f>
        <v>6.6666666666666666E-2</v>
      </c>
      <c r="L28" s="85">
        <f t="shared" ref="L28" si="7">I28*K28</f>
        <v>20232</v>
      </c>
      <c r="M28" s="106">
        <v>0</v>
      </c>
      <c r="N28" s="85">
        <f t="shared" si="5"/>
        <v>0</v>
      </c>
      <c r="O28" s="107">
        <v>7</v>
      </c>
      <c r="P28" s="192">
        <f t="shared" si="6"/>
        <v>2890.2857142857142</v>
      </c>
    </row>
    <row r="29" spans="2:16" x14ac:dyDescent="0.15">
      <c r="B29" s="799"/>
      <c r="C29" s="797"/>
      <c r="D29" s="797"/>
      <c r="E29" s="797"/>
      <c r="F29" s="797"/>
      <c r="G29" s="797"/>
      <c r="H29" s="793"/>
      <c r="I29" s="795">
        <f t="shared" si="4"/>
        <v>0</v>
      </c>
      <c r="J29" s="85"/>
      <c r="K29" s="98"/>
      <c r="L29" s="85"/>
      <c r="M29" s="106">
        <v>0</v>
      </c>
      <c r="N29" s="85">
        <f t="shared" si="5"/>
        <v>0</v>
      </c>
      <c r="O29" s="107">
        <v>7</v>
      </c>
      <c r="P29" s="192">
        <f t="shared" si="6"/>
        <v>0</v>
      </c>
    </row>
    <row r="30" spans="2:16" x14ac:dyDescent="0.15">
      <c r="B30" s="799"/>
      <c r="C30" s="790" t="str">
        <f>'６（参考）水稲資本装備'!C25</f>
        <v>普通トラック</v>
      </c>
      <c r="D30" s="790" t="str">
        <f>'６（参考）水稲資本装備'!D25</f>
        <v>2ｔﾄﾗｯｸ，中古</v>
      </c>
      <c r="E30" s="790">
        <f>'６（参考）水稲資本装備'!E25</f>
        <v>1</v>
      </c>
      <c r="F30" s="790" t="str">
        <f>'６（参考）水稲資本装備'!F25</f>
        <v>台</v>
      </c>
      <c r="G30" s="790">
        <f>'６（参考）水稲資本装備'!G25</f>
        <v>1500000</v>
      </c>
      <c r="H30" s="792">
        <v>0</v>
      </c>
      <c r="I30" s="794">
        <f t="shared" ref="I30:I33" si="8">G30*(1-H30)</f>
        <v>1500000</v>
      </c>
      <c r="J30" s="403">
        <f>'６（参考）水稲資本装備'!J25</f>
        <v>25</v>
      </c>
      <c r="K30" s="98">
        <f>'６（参考）水稲資本装備'!K26</f>
        <v>0.04</v>
      </c>
      <c r="L30" s="85">
        <f t="shared" ref="L30" si="9">I30*K30</f>
        <v>60000</v>
      </c>
      <c r="M30" s="106">
        <v>0</v>
      </c>
      <c r="N30" s="85">
        <f t="shared" si="5"/>
        <v>0</v>
      </c>
      <c r="O30" s="107">
        <v>2</v>
      </c>
      <c r="P30" s="192">
        <f t="shared" si="6"/>
        <v>30000</v>
      </c>
    </row>
    <row r="31" spans="2:16" x14ac:dyDescent="0.15">
      <c r="B31" s="799"/>
      <c r="C31" s="791"/>
      <c r="D31" s="791"/>
      <c r="E31" s="791"/>
      <c r="F31" s="791"/>
      <c r="G31" s="791"/>
      <c r="H31" s="793"/>
      <c r="I31" s="795">
        <f t="shared" si="8"/>
        <v>0</v>
      </c>
      <c r="J31" s="85"/>
      <c r="K31" s="98"/>
      <c r="L31" s="85">
        <f>I30*K31</f>
        <v>0</v>
      </c>
      <c r="M31" s="106">
        <v>0</v>
      </c>
      <c r="N31" s="85">
        <f t="shared" si="5"/>
        <v>0</v>
      </c>
      <c r="O31" s="107">
        <v>7</v>
      </c>
      <c r="P31" s="192">
        <f t="shared" si="6"/>
        <v>0</v>
      </c>
    </row>
    <row r="32" spans="2:16" x14ac:dyDescent="0.15">
      <c r="B32" s="799"/>
      <c r="C32" s="790" t="str">
        <f>'６（参考）水稲資本装備'!C26</f>
        <v>軽トラック</v>
      </c>
      <c r="D32" s="790"/>
      <c r="E32" s="790">
        <f>'６（参考）水稲資本装備'!E26</f>
        <v>1</v>
      </c>
      <c r="F32" s="790" t="str">
        <f>'６（参考）水稲資本装備'!F26</f>
        <v>台</v>
      </c>
      <c r="G32" s="790">
        <f>'６（参考）水稲資本装備'!G26</f>
        <v>920000</v>
      </c>
      <c r="H32" s="792">
        <v>0</v>
      </c>
      <c r="I32" s="794">
        <f t="shared" si="8"/>
        <v>920000</v>
      </c>
      <c r="J32" s="403">
        <f>'６（参考）水稲資本装備'!J26</f>
        <v>25</v>
      </c>
      <c r="K32" s="98">
        <f>'６（参考）水稲資本装備'!K26</f>
        <v>0.04</v>
      </c>
      <c r="L32" s="85">
        <f t="shared" ref="L32" si="10">I32*K32</f>
        <v>36800</v>
      </c>
      <c r="M32" s="106">
        <v>0</v>
      </c>
      <c r="N32" s="85">
        <f t="shared" si="5"/>
        <v>0</v>
      </c>
      <c r="O32" s="107">
        <v>4</v>
      </c>
      <c r="P32" s="192">
        <f t="shared" si="6"/>
        <v>9200</v>
      </c>
    </row>
    <row r="33" spans="2:16" x14ac:dyDescent="0.15">
      <c r="B33" s="799"/>
      <c r="C33" s="791"/>
      <c r="D33" s="791"/>
      <c r="E33" s="791"/>
      <c r="F33" s="791"/>
      <c r="G33" s="791"/>
      <c r="H33" s="793"/>
      <c r="I33" s="795">
        <f t="shared" si="8"/>
        <v>0</v>
      </c>
      <c r="J33" s="85"/>
      <c r="K33" s="98"/>
      <c r="L33" s="85">
        <f>I32*K33</f>
        <v>0</v>
      </c>
      <c r="M33" s="106">
        <v>0</v>
      </c>
      <c r="N33" s="85">
        <f t="shared" si="5"/>
        <v>0</v>
      </c>
      <c r="O33" s="107">
        <v>7</v>
      </c>
      <c r="P33" s="192">
        <f t="shared" si="6"/>
        <v>0</v>
      </c>
    </row>
    <row r="34" spans="2:16" x14ac:dyDescent="0.15">
      <c r="B34" s="800"/>
      <c r="C34" s="103" t="s">
        <v>46</v>
      </c>
      <c r="D34" s="103"/>
      <c r="E34" s="103"/>
      <c r="F34" s="104"/>
      <c r="G34" s="103">
        <f>SUM(G15:G33)</f>
        <v>22599908</v>
      </c>
      <c r="H34" s="103"/>
      <c r="I34" s="103">
        <f>SUM(I15:I33)</f>
        <v>22976396</v>
      </c>
      <c r="J34" s="103"/>
      <c r="K34" s="105"/>
      <c r="L34" s="103">
        <f>SUM(L15:L33)</f>
        <v>1305767.4922600619</v>
      </c>
      <c r="M34" s="103"/>
      <c r="N34" s="103"/>
      <c r="O34" s="103"/>
      <c r="P34" s="361">
        <f>SUM(P15:P33)</f>
        <v>211909.64175143742</v>
      </c>
    </row>
    <row r="35" spans="2:16" x14ac:dyDescent="0.15">
      <c r="B35" s="798" t="s">
        <v>145</v>
      </c>
      <c r="C35" s="85"/>
      <c r="D35" s="85"/>
      <c r="E35" s="85"/>
      <c r="F35" s="85"/>
      <c r="G35" s="85"/>
      <c r="H35" s="108"/>
      <c r="I35" s="85"/>
      <c r="J35" s="85"/>
      <c r="K35" s="98"/>
      <c r="L35" s="85">
        <f>I35*K35</f>
        <v>0</v>
      </c>
      <c r="M35" s="108"/>
      <c r="N35" s="85">
        <f>L35*M35</f>
        <v>0</v>
      </c>
      <c r="O35" s="85"/>
      <c r="P35" s="192" t="str">
        <f>IF(O35="","",(L35-N35)/O35)</f>
        <v/>
      </c>
    </row>
    <row r="36" spans="2:16" x14ac:dyDescent="0.15">
      <c r="B36" s="799"/>
      <c r="C36" s="85"/>
      <c r="D36" s="85"/>
      <c r="E36" s="85"/>
      <c r="F36" s="85"/>
      <c r="G36" s="85"/>
      <c r="H36" s="108"/>
      <c r="I36" s="85">
        <f t="shared" ref="I36" si="11">G36*(1-H36)</f>
        <v>0</v>
      </c>
      <c r="J36" s="85"/>
      <c r="K36" s="98"/>
      <c r="L36" s="85">
        <f>I36*K36</f>
        <v>0</v>
      </c>
      <c r="M36" s="108"/>
      <c r="N36" s="85">
        <f>L36*M36</f>
        <v>0</v>
      </c>
      <c r="O36" s="85"/>
      <c r="P36" s="192" t="str">
        <f>IF(O36="","",(L36-N36)/O36)</f>
        <v/>
      </c>
    </row>
    <row r="37" spans="2:16" x14ac:dyDescent="0.15">
      <c r="B37" s="799"/>
      <c r="C37" s="85"/>
      <c r="D37" s="85"/>
      <c r="E37" s="85"/>
      <c r="F37" s="85"/>
      <c r="G37" s="85"/>
      <c r="H37" s="108"/>
      <c r="I37" s="85">
        <f t="shared" ref="I37" si="12">G37*(1-H37)</f>
        <v>0</v>
      </c>
      <c r="J37" s="85"/>
      <c r="K37" s="98"/>
      <c r="L37" s="85">
        <f>I37*K37</f>
        <v>0</v>
      </c>
      <c r="M37" s="108"/>
      <c r="N37" s="85">
        <f>L37*M37</f>
        <v>0</v>
      </c>
      <c r="O37" s="85"/>
      <c r="P37" s="192" t="str">
        <f>IF(O37="","",(L37-N37)/O37)</f>
        <v/>
      </c>
    </row>
    <row r="38" spans="2:16" x14ac:dyDescent="0.15">
      <c r="B38" s="799"/>
      <c r="C38" s="85"/>
      <c r="D38" s="85"/>
      <c r="E38" s="85"/>
      <c r="F38" s="85"/>
      <c r="G38" s="85"/>
      <c r="H38" s="108"/>
      <c r="I38" s="85">
        <f t="shared" ref="I38" si="13">G38*(1-H38)</f>
        <v>0</v>
      </c>
      <c r="J38" s="85"/>
      <c r="K38" s="98"/>
      <c r="L38" s="85">
        <f>I38*K38</f>
        <v>0</v>
      </c>
      <c r="M38" s="108"/>
      <c r="N38" s="85">
        <f>L38*M38</f>
        <v>0</v>
      </c>
      <c r="O38" s="85"/>
      <c r="P38" s="192" t="str">
        <f>IF(O38="","",(L38-N38)/O38)</f>
        <v/>
      </c>
    </row>
    <row r="39" spans="2:16" x14ac:dyDescent="0.15">
      <c r="B39" s="800"/>
      <c r="C39" s="109" t="s">
        <v>46</v>
      </c>
      <c r="D39" s="103"/>
      <c r="E39" s="103"/>
      <c r="F39" s="104"/>
      <c r="G39" s="103">
        <f>SUM(G35:G38)</f>
        <v>0</v>
      </c>
      <c r="H39" s="103"/>
      <c r="I39" s="103">
        <f>SUM(I35:I38)</f>
        <v>0</v>
      </c>
      <c r="J39" s="103"/>
      <c r="K39" s="105"/>
      <c r="L39" s="103">
        <f>SUM(L35:L38)</f>
        <v>0</v>
      </c>
      <c r="M39" s="103"/>
      <c r="N39" s="103"/>
      <c r="O39" s="103"/>
      <c r="P39" s="361">
        <f>SUM(P35:P38)</f>
        <v>0</v>
      </c>
    </row>
    <row r="40" spans="2:16" ht="14.25" thickBot="1" x14ac:dyDescent="0.2">
      <c r="B40" s="110"/>
      <c r="C40" s="111" t="s">
        <v>169</v>
      </c>
      <c r="D40" s="112"/>
      <c r="E40" s="112"/>
      <c r="F40" s="113"/>
      <c r="G40" s="112">
        <f>G14+G34+G39</f>
        <v>28500083</v>
      </c>
      <c r="H40" s="112"/>
      <c r="I40" s="112">
        <f>I14+I34+I39</f>
        <v>28876571</v>
      </c>
      <c r="J40" s="112"/>
      <c r="K40" s="114"/>
      <c r="L40" s="112">
        <f>L14+L34+L39</f>
        <v>1563387.1981424149</v>
      </c>
      <c r="M40" s="112"/>
      <c r="N40" s="112"/>
      <c r="O40" s="112"/>
      <c r="P40" s="362">
        <f>P14+P34+P39</f>
        <v>226266.8123396727</v>
      </c>
    </row>
    <row r="41" spans="2:16" ht="11.25" customHeight="1" x14ac:dyDescent="0.15"/>
  </sheetData>
  <mergeCells count="58">
    <mergeCell ref="E15:E17"/>
    <mergeCell ref="F15:F17"/>
    <mergeCell ref="B15:B34"/>
    <mergeCell ref="C3:C4"/>
    <mergeCell ref="D3:D4"/>
    <mergeCell ref="C5:C7"/>
    <mergeCell ref="D5:D7"/>
    <mergeCell ref="C15:C17"/>
    <mergeCell ref="D15:D17"/>
    <mergeCell ref="C26:C27"/>
    <mergeCell ref="D26:D27"/>
    <mergeCell ref="E26:E27"/>
    <mergeCell ref="F26:F27"/>
    <mergeCell ref="D18:D19"/>
    <mergeCell ref="C18:C19"/>
    <mergeCell ref="C28:C29"/>
    <mergeCell ref="H5:H7"/>
    <mergeCell ref="I5:I7"/>
    <mergeCell ref="F2:G2"/>
    <mergeCell ref="E3:F3"/>
    <mergeCell ref="B3:B4"/>
    <mergeCell ref="E5:E7"/>
    <mergeCell ref="F5:F7"/>
    <mergeCell ref="G5:G7"/>
    <mergeCell ref="B5:B14"/>
    <mergeCell ref="D28:D29"/>
    <mergeCell ref="E28:E29"/>
    <mergeCell ref="F28:F29"/>
    <mergeCell ref="G28:G29"/>
    <mergeCell ref="H28:H29"/>
    <mergeCell ref="I28:I29"/>
    <mergeCell ref="G15:G17"/>
    <mergeCell ref="H15:H17"/>
    <mergeCell ref="I15:I17"/>
    <mergeCell ref="I18:I19"/>
    <mergeCell ref="H18:H19"/>
    <mergeCell ref="G18:G19"/>
    <mergeCell ref="B35:B39"/>
    <mergeCell ref="J3:J4"/>
    <mergeCell ref="H30:H31"/>
    <mergeCell ref="I30:I31"/>
    <mergeCell ref="C32:C33"/>
    <mergeCell ref="D32:D33"/>
    <mergeCell ref="E32:E33"/>
    <mergeCell ref="F32:F33"/>
    <mergeCell ref="G32:G33"/>
    <mergeCell ref="I32:I33"/>
    <mergeCell ref="C30:C31"/>
    <mergeCell ref="D30:D31"/>
    <mergeCell ref="E30:E31"/>
    <mergeCell ref="F30:F31"/>
    <mergeCell ref="G30:G31"/>
    <mergeCell ref="H32:H33"/>
    <mergeCell ref="F18:F19"/>
    <mergeCell ref="E18:E19"/>
    <mergeCell ref="H26:H27"/>
    <mergeCell ref="I26:I27"/>
    <mergeCell ref="G26:G27"/>
  </mergeCells>
  <phoneticPr fontId="6"/>
  <pageMargins left="0.78740157480314965" right="0.78740157480314965" top="0.78740157480314965" bottom="0.78740157480314965" header="0.39370078740157483" footer="0.39370078740157483"/>
  <pageSetup paperSize="9" scale="5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Z47"/>
  <sheetViews>
    <sheetView zoomScale="75" zoomScaleNormal="75" workbookViewId="0"/>
  </sheetViews>
  <sheetFormatPr defaultColWidth="9" defaultRowHeight="13.5" x14ac:dyDescent="0.15"/>
  <cols>
    <col min="1" max="1" width="1.625" style="10" customWidth="1"/>
    <col min="2" max="2" width="5" style="10" customWidth="1"/>
    <col min="3" max="3" width="22.5" style="10" bestFit="1" customWidth="1"/>
    <col min="4" max="4" width="30" style="10" bestFit="1" customWidth="1"/>
    <col min="5" max="6" width="6" style="10" bestFit="1" customWidth="1"/>
    <col min="7" max="7" width="17.625" style="10" customWidth="1"/>
    <col min="8" max="8" width="10.625" style="10" customWidth="1"/>
    <col min="9" max="9" width="17.625" style="10" customWidth="1"/>
    <col min="10" max="10" width="10.625" style="10" customWidth="1"/>
    <col min="11" max="11" width="15.125" style="12" bestFit="1" customWidth="1"/>
    <col min="12" max="12" width="17.625" style="10" customWidth="1"/>
    <col min="13" max="13" width="10.625" style="10" customWidth="1"/>
    <col min="14" max="14" width="17.625" style="10" customWidth="1"/>
    <col min="15" max="15" width="10.625" style="10" customWidth="1"/>
    <col min="16" max="16" width="19.75" style="10" bestFit="1" customWidth="1"/>
    <col min="17" max="17" width="3.5" style="10" customWidth="1"/>
    <col min="18" max="18" width="16" style="10" customWidth="1"/>
    <col min="19" max="19" width="13.75" style="10" customWidth="1"/>
    <col min="20" max="16384" width="9" style="10"/>
  </cols>
  <sheetData>
    <row r="1" spans="2:26" s="5" customFormat="1" ht="9.9499999999999993" customHeight="1" x14ac:dyDescent="0.15">
      <c r="K1" s="6"/>
    </row>
    <row r="2" spans="2:26" s="5" customFormat="1" ht="24.95" customHeight="1" thickBot="1" x14ac:dyDescent="0.2">
      <c r="B2" s="2" t="s">
        <v>529</v>
      </c>
      <c r="C2" s="7"/>
      <c r="D2" s="7"/>
      <c r="E2" s="8"/>
      <c r="F2" s="822"/>
      <c r="G2" s="823"/>
      <c r="H2" s="154" t="s">
        <v>267</v>
      </c>
      <c r="I2" s="3" t="s">
        <v>269</v>
      </c>
      <c r="J2" s="153"/>
      <c r="K2" s="154" t="s">
        <v>268</v>
      </c>
      <c r="L2" s="3" t="s">
        <v>270</v>
      </c>
      <c r="M2" s="9"/>
      <c r="P2" s="14"/>
      <c r="R2" s="86" t="s">
        <v>357</v>
      </c>
      <c r="S2" s="86" t="s">
        <v>348</v>
      </c>
    </row>
    <row r="3" spans="2:26" s="5" customFormat="1" x14ac:dyDescent="0.15">
      <c r="B3" s="824" t="s">
        <v>136</v>
      </c>
      <c r="C3" s="819" t="s">
        <v>38</v>
      </c>
      <c r="D3" s="826" t="s">
        <v>135</v>
      </c>
      <c r="E3" s="828" t="s">
        <v>39</v>
      </c>
      <c r="F3" s="829"/>
      <c r="G3" s="420" t="s">
        <v>40</v>
      </c>
      <c r="H3" s="19" t="s">
        <v>138</v>
      </c>
      <c r="I3" s="422" t="s">
        <v>137</v>
      </c>
      <c r="J3" s="819" t="s">
        <v>99</v>
      </c>
      <c r="K3" s="21" t="s">
        <v>100</v>
      </c>
      <c r="L3" s="20" t="s">
        <v>41</v>
      </c>
      <c r="M3" s="19" t="s">
        <v>142</v>
      </c>
      <c r="N3" s="20" t="s">
        <v>42</v>
      </c>
      <c r="O3" s="20" t="s">
        <v>43</v>
      </c>
      <c r="P3" s="354" t="s">
        <v>44</v>
      </c>
      <c r="S3" s="181" t="s">
        <v>349</v>
      </c>
      <c r="T3" s="181" t="s">
        <v>350</v>
      </c>
      <c r="U3" s="181" t="s">
        <v>351</v>
      </c>
      <c r="V3" s="181" t="s">
        <v>352</v>
      </c>
      <c r="W3" s="181" t="s">
        <v>353</v>
      </c>
      <c r="X3" s="181" t="s">
        <v>354</v>
      </c>
      <c r="Y3" s="181" t="s">
        <v>355</v>
      </c>
      <c r="Z3" s="86" t="s">
        <v>356</v>
      </c>
    </row>
    <row r="4" spans="2:26" x14ac:dyDescent="0.15">
      <c r="B4" s="825"/>
      <c r="C4" s="820"/>
      <c r="D4" s="827"/>
      <c r="E4" s="22" t="s">
        <v>101</v>
      </c>
      <c r="F4" s="22" t="s">
        <v>9</v>
      </c>
      <c r="G4" s="421" t="s">
        <v>140</v>
      </c>
      <c r="H4" s="23" t="s">
        <v>139</v>
      </c>
      <c r="I4" s="421" t="s">
        <v>146</v>
      </c>
      <c r="J4" s="820"/>
      <c r="K4" s="24" t="s">
        <v>141</v>
      </c>
      <c r="L4" s="23" t="s">
        <v>147</v>
      </c>
      <c r="M4" s="23" t="s">
        <v>143</v>
      </c>
      <c r="N4" s="23" t="s">
        <v>148</v>
      </c>
      <c r="O4" s="23" t="s">
        <v>144</v>
      </c>
      <c r="P4" s="355" t="s">
        <v>149</v>
      </c>
      <c r="R4" s="10">
        <f>SUM(S4:Z4)</f>
        <v>19</v>
      </c>
      <c r="S4" s="10">
        <f>'１　対象経営の概要，２　前提条件'!AB26+'１　対象経営の概要，２　前提条件'!AM26+'１　対象経営の概要，２　前提条件'!AB28</f>
        <v>10</v>
      </c>
      <c r="T4" s="10">
        <f>'１　対象経営の概要，２　前提条件'!AB27+'１　対象経営の概要，２　前提条件'!AM27</f>
        <v>0</v>
      </c>
      <c r="U4" s="10">
        <f>'１　対象経営の概要，２　前提条件'!AM28</f>
        <v>5</v>
      </c>
      <c r="V4" s="10">
        <f>'１　対象経営の概要，２　前提条件'!AM29+'１　対象経営の概要，２　前提条件'!AB30</f>
        <v>0</v>
      </c>
      <c r="W4" s="10">
        <f>'１　対象経営の概要，２　前提条件'!AM30</f>
        <v>0</v>
      </c>
      <c r="X4" s="10">
        <f>'１　対象経営の概要，２　前提条件'!F17</f>
        <v>2</v>
      </c>
      <c r="Y4" s="10">
        <f>'１　対象経営の概要，２　前提条件'!F18</f>
        <v>2</v>
      </c>
      <c r="Z4" s="10">
        <f>'１　対象経営の概要，２　前提条件'!F19</f>
        <v>0</v>
      </c>
    </row>
    <row r="5" spans="2:26" ht="13.15" customHeight="1" x14ac:dyDescent="0.15">
      <c r="B5" s="816" t="s">
        <v>207</v>
      </c>
      <c r="C5" s="436" t="s">
        <v>312</v>
      </c>
      <c r="D5" s="484" t="s">
        <v>104</v>
      </c>
      <c r="E5" s="484">
        <v>80</v>
      </c>
      <c r="F5" s="484" t="s">
        <v>105</v>
      </c>
      <c r="G5" s="484">
        <f>59400*E5</f>
        <v>4752000</v>
      </c>
      <c r="H5" s="576">
        <v>0</v>
      </c>
      <c r="I5" s="484">
        <f>G5*(1-H5)</f>
        <v>4752000</v>
      </c>
      <c r="J5" s="577">
        <f>SUM('１　対象経営の概要，２　前提条件'!$F$13:$F$20)</f>
        <v>25</v>
      </c>
      <c r="K5" s="578">
        <f>J5/J5/J5</f>
        <v>0.04</v>
      </c>
      <c r="L5" s="30">
        <f>I5*K5</f>
        <v>190080</v>
      </c>
      <c r="M5" s="37">
        <v>0</v>
      </c>
      <c r="N5" s="30">
        <f t="shared" ref="N5:N6" si="0">L5*M5/100</f>
        <v>0</v>
      </c>
      <c r="O5" s="11">
        <v>25</v>
      </c>
      <c r="P5" s="356">
        <f>IF(O5="","",(L5-N5)/O5)</f>
        <v>7603.2</v>
      </c>
    </row>
    <row r="6" spans="2:26" x14ac:dyDescent="0.15">
      <c r="B6" s="817"/>
      <c r="C6" s="436" t="s">
        <v>285</v>
      </c>
      <c r="D6" s="484" t="s">
        <v>47</v>
      </c>
      <c r="E6" s="579">
        <f>252+220.5</f>
        <v>472.5</v>
      </c>
      <c r="F6" s="580" t="s">
        <v>105</v>
      </c>
      <c r="G6" s="484">
        <f>2430*E6</f>
        <v>1148175</v>
      </c>
      <c r="H6" s="576">
        <v>0</v>
      </c>
      <c r="I6" s="484">
        <f t="shared" ref="I6" si="1">G6*(1-H6)</f>
        <v>1148175</v>
      </c>
      <c r="J6" s="577">
        <f>SUM('１　対象経営の概要，２　前提条件'!$F$13:$F$14,'１　対象経営の概要，２　前提条件'!F20)</f>
        <v>17</v>
      </c>
      <c r="K6" s="578">
        <f>J6/J6/J6</f>
        <v>5.8823529411764705E-2</v>
      </c>
      <c r="L6" s="30">
        <f t="shared" ref="L6" si="2">I6*K6</f>
        <v>67539.705882352937</v>
      </c>
      <c r="M6" s="37">
        <v>0</v>
      </c>
      <c r="N6" s="30">
        <f t="shared" si="0"/>
        <v>0</v>
      </c>
      <c r="O6" s="11">
        <v>10</v>
      </c>
      <c r="P6" s="356">
        <f t="shared" ref="P6" si="3">IF(O6="","",(L6-N6)/O6)</f>
        <v>6753.9705882352937</v>
      </c>
    </row>
    <row r="7" spans="2:26" x14ac:dyDescent="0.15">
      <c r="B7" s="817"/>
      <c r="C7" s="484"/>
      <c r="D7" s="484"/>
      <c r="E7" s="579"/>
      <c r="F7" s="580"/>
      <c r="G7" s="484"/>
      <c r="H7" s="576"/>
      <c r="I7" s="484"/>
      <c r="J7" s="484"/>
      <c r="K7" s="578"/>
      <c r="L7" s="30"/>
      <c r="M7" s="37"/>
      <c r="N7" s="30"/>
      <c r="O7" s="11"/>
      <c r="P7" s="356">
        <v>0</v>
      </c>
    </row>
    <row r="8" spans="2:26" x14ac:dyDescent="0.15">
      <c r="B8" s="817"/>
      <c r="C8" s="436"/>
      <c r="D8" s="484"/>
      <c r="E8" s="579"/>
      <c r="F8" s="580"/>
      <c r="G8" s="484"/>
      <c r="H8" s="576"/>
      <c r="I8" s="484"/>
      <c r="J8" s="436"/>
      <c r="K8" s="578"/>
      <c r="L8" s="30"/>
      <c r="M8" s="37"/>
      <c r="N8" s="30"/>
      <c r="O8" s="11"/>
      <c r="P8" s="356">
        <v>0</v>
      </c>
    </row>
    <row r="9" spans="2:26" x14ac:dyDescent="0.15">
      <c r="B9" s="817"/>
      <c r="C9" s="484"/>
      <c r="D9" s="484"/>
      <c r="E9" s="484"/>
      <c r="F9" s="581"/>
      <c r="G9" s="484"/>
      <c r="H9" s="576"/>
      <c r="I9" s="484"/>
      <c r="J9" s="484"/>
      <c r="K9" s="578"/>
      <c r="L9" s="30"/>
      <c r="M9" s="37"/>
      <c r="N9" s="30"/>
      <c r="O9" s="11"/>
      <c r="P9" s="356">
        <v>0</v>
      </c>
    </row>
    <row r="10" spans="2:26" x14ac:dyDescent="0.15">
      <c r="B10" s="817"/>
      <c r="C10" s="484"/>
      <c r="D10" s="484"/>
      <c r="E10" s="484"/>
      <c r="F10" s="484"/>
      <c r="G10" s="484"/>
      <c r="H10" s="576"/>
      <c r="I10" s="484"/>
      <c r="J10" s="484"/>
      <c r="K10" s="578"/>
      <c r="L10" s="30"/>
      <c r="M10" s="37"/>
      <c r="N10" s="30"/>
      <c r="O10" s="11"/>
      <c r="P10" s="356">
        <v>0</v>
      </c>
    </row>
    <row r="11" spans="2:26" x14ac:dyDescent="0.15">
      <c r="B11" s="817"/>
      <c r="C11" s="484"/>
      <c r="D11" s="484"/>
      <c r="E11" s="484"/>
      <c r="F11" s="581"/>
      <c r="G11" s="484"/>
      <c r="H11" s="576"/>
      <c r="I11" s="484"/>
      <c r="J11" s="581"/>
      <c r="K11" s="578"/>
      <c r="L11" s="30"/>
      <c r="M11" s="37"/>
      <c r="N11" s="30"/>
      <c r="O11" s="11"/>
      <c r="P11" s="356">
        <v>0</v>
      </c>
    </row>
    <row r="12" spans="2:26" x14ac:dyDescent="0.15">
      <c r="B12" s="817"/>
      <c r="C12" s="30"/>
      <c r="D12" s="30"/>
      <c r="E12" s="30"/>
      <c r="F12" s="30"/>
      <c r="G12" s="30"/>
      <c r="H12" s="37"/>
      <c r="I12" s="30"/>
      <c r="J12" s="30"/>
      <c r="K12" s="582"/>
      <c r="L12" s="30"/>
      <c r="M12" s="37"/>
      <c r="N12" s="30"/>
      <c r="O12" s="11"/>
      <c r="P12" s="356">
        <v>0</v>
      </c>
    </row>
    <row r="13" spans="2:26" x14ac:dyDescent="0.15">
      <c r="B13" s="817"/>
      <c r="C13" s="30"/>
      <c r="D13" s="30"/>
      <c r="E13" s="30"/>
      <c r="F13" s="30"/>
      <c r="G13" s="30"/>
      <c r="H13" s="37"/>
      <c r="I13" s="30"/>
      <c r="J13" s="30"/>
      <c r="K13" s="582"/>
      <c r="L13" s="30"/>
      <c r="M13" s="37"/>
      <c r="N13" s="30"/>
      <c r="O13" s="11"/>
      <c r="P13" s="356">
        <v>0</v>
      </c>
    </row>
    <row r="14" spans="2:26" x14ac:dyDescent="0.15">
      <c r="B14" s="818"/>
      <c r="C14" s="26" t="s">
        <v>45</v>
      </c>
      <c r="D14" s="27"/>
      <c r="E14" s="27"/>
      <c r="F14" s="28"/>
      <c r="G14" s="27">
        <f>SUM(G5:G13)</f>
        <v>5900175</v>
      </c>
      <c r="H14" s="27"/>
      <c r="I14" s="27">
        <f>SUM(I5:I13)</f>
        <v>5900175</v>
      </c>
      <c r="J14" s="27"/>
      <c r="K14" s="29"/>
      <c r="L14" s="27">
        <f>SUM(L5:L13)</f>
        <v>257619.70588235295</v>
      </c>
      <c r="M14" s="27"/>
      <c r="N14" s="27"/>
      <c r="O14" s="27"/>
      <c r="P14" s="357">
        <f>SUM(P5:P13)</f>
        <v>14357.170588235294</v>
      </c>
      <c r="R14" s="27"/>
    </row>
    <row r="15" spans="2:26" x14ac:dyDescent="0.15">
      <c r="B15" s="817"/>
      <c r="C15" s="436" t="s">
        <v>291</v>
      </c>
      <c r="D15" s="436" t="s">
        <v>325</v>
      </c>
      <c r="E15" s="484">
        <v>1</v>
      </c>
      <c r="F15" s="436" t="s">
        <v>286</v>
      </c>
      <c r="G15" s="484">
        <f>4284000*1.08</f>
        <v>4626720</v>
      </c>
      <c r="H15" s="576">
        <v>0</v>
      </c>
      <c r="I15" s="583">
        <f t="shared" ref="I15:I16" si="4">G15*(1-H15)*E15</f>
        <v>4626720</v>
      </c>
      <c r="J15" s="577">
        <f>SUM('１　対象経営の概要，２　前提条件'!$F$13:$F$16)</f>
        <v>19</v>
      </c>
      <c r="K15" s="578">
        <f t="shared" ref="K15:K26" si="5">J15/J15/J15</f>
        <v>5.2631578947368418E-2</v>
      </c>
      <c r="L15" s="484">
        <f t="shared" ref="L15:L26" si="6">I15*K15</f>
        <v>243511.5789473684</v>
      </c>
      <c r="M15" s="37">
        <v>0</v>
      </c>
      <c r="N15" s="30">
        <f t="shared" ref="N15:N26" si="7">L15*M15</f>
        <v>0</v>
      </c>
      <c r="O15" s="30">
        <v>7</v>
      </c>
      <c r="P15" s="356">
        <f t="shared" ref="P15:P26" si="8">IF(O15="","",(L15-N15)/O15)</f>
        <v>34787.368421052626</v>
      </c>
    </row>
    <row r="16" spans="2:26" x14ac:dyDescent="0.15">
      <c r="B16" s="817"/>
      <c r="C16" s="584" t="s">
        <v>55</v>
      </c>
      <c r="D16" s="575" t="s">
        <v>288</v>
      </c>
      <c r="E16" s="584">
        <v>1</v>
      </c>
      <c r="F16" s="484" t="s">
        <v>103</v>
      </c>
      <c r="G16" s="484">
        <f>540000*1.08</f>
        <v>583200</v>
      </c>
      <c r="H16" s="576">
        <v>0</v>
      </c>
      <c r="I16" s="583">
        <f t="shared" si="4"/>
        <v>583200</v>
      </c>
      <c r="J16" s="577">
        <f>SUM('１　対象経営の概要，２　前提条件'!$F$13:$F$16)</f>
        <v>19</v>
      </c>
      <c r="K16" s="578">
        <f t="shared" si="5"/>
        <v>5.2631578947368418E-2</v>
      </c>
      <c r="L16" s="484">
        <f t="shared" si="6"/>
        <v>30694.73684210526</v>
      </c>
      <c r="M16" s="37">
        <v>0</v>
      </c>
      <c r="N16" s="30">
        <f t="shared" si="7"/>
        <v>0</v>
      </c>
      <c r="O16" s="30">
        <v>7</v>
      </c>
      <c r="P16" s="356">
        <f t="shared" si="8"/>
        <v>4384.9624060150372</v>
      </c>
    </row>
    <row r="17" spans="2:16" x14ac:dyDescent="0.15">
      <c r="B17" s="821"/>
      <c r="C17" s="436" t="s">
        <v>287</v>
      </c>
      <c r="D17" s="436" t="s">
        <v>417</v>
      </c>
      <c r="E17" s="484">
        <v>1</v>
      </c>
      <c r="F17" s="484" t="s">
        <v>103</v>
      </c>
      <c r="G17" s="484">
        <f>1970000*1.08</f>
        <v>2127600</v>
      </c>
      <c r="H17" s="576">
        <v>0</v>
      </c>
      <c r="I17" s="583">
        <f t="shared" ref="I17:I23" si="9">G17*(1-H17)*E17</f>
        <v>2127600</v>
      </c>
      <c r="J17" s="577">
        <f>SUM('１　対象経営の概要，２　前提条件'!$F$13:$F$14,'１　対象経営の概要，２　前提条件'!$F$17)</f>
        <v>17</v>
      </c>
      <c r="K17" s="578">
        <f t="shared" si="5"/>
        <v>5.8823529411764705E-2</v>
      </c>
      <c r="L17" s="484">
        <f t="shared" ref="L17" si="10">I17*K17</f>
        <v>125152.94117647059</v>
      </c>
      <c r="M17" s="37">
        <v>0</v>
      </c>
      <c r="N17" s="30">
        <f t="shared" ref="N17" si="11">L17*M17</f>
        <v>0</v>
      </c>
      <c r="O17" s="30">
        <v>7</v>
      </c>
      <c r="P17" s="356">
        <f t="shared" ref="P17" si="12">IF(O17="","",(L17-N17)/O17)</f>
        <v>17878.991596638654</v>
      </c>
    </row>
    <row r="18" spans="2:16" x14ac:dyDescent="0.15">
      <c r="B18" s="817"/>
      <c r="C18" s="484" t="s">
        <v>56</v>
      </c>
      <c r="D18" s="436" t="s">
        <v>362</v>
      </c>
      <c r="E18" s="484">
        <v>1</v>
      </c>
      <c r="F18" s="436" t="s">
        <v>292</v>
      </c>
      <c r="G18" s="484">
        <f>6800000*1.08</f>
        <v>7344000.0000000009</v>
      </c>
      <c r="H18" s="576">
        <v>0</v>
      </c>
      <c r="I18" s="583">
        <f t="shared" si="9"/>
        <v>7344000.0000000009</v>
      </c>
      <c r="J18" s="577">
        <f>SUM('１　対象経営の概要，２　前提条件'!$F$13:$F$14,'１　対象経営の概要，２　前提条件'!$F$18)</f>
        <v>17</v>
      </c>
      <c r="K18" s="578">
        <f t="shared" si="5"/>
        <v>5.8823529411764705E-2</v>
      </c>
      <c r="L18" s="484">
        <f t="shared" ref="L18:L19" si="13">I18*K18</f>
        <v>432000.00000000006</v>
      </c>
      <c r="M18" s="37">
        <v>0</v>
      </c>
      <c r="N18" s="30">
        <f t="shared" ref="N18:N19" si="14">L18*M18</f>
        <v>0</v>
      </c>
      <c r="O18" s="30">
        <v>7</v>
      </c>
      <c r="P18" s="356">
        <f t="shared" ref="P18:P19" si="15">IF(O18="","",(L18-N18)/O18)</f>
        <v>61714.285714285725</v>
      </c>
    </row>
    <row r="19" spans="2:16" x14ac:dyDescent="0.15">
      <c r="B19" s="817"/>
      <c r="C19" s="436" t="s">
        <v>293</v>
      </c>
      <c r="D19" s="436" t="s">
        <v>299</v>
      </c>
      <c r="E19" s="484">
        <v>1</v>
      </c>
      <c r="F19" s="436" t="s">
        <v>103</v>
      </c>
      <c r="G19" s="484">
        <f>3500000*1.08</f>
        <v>3780000.0000000005</v>
      </c>
      <c r="H19" s="576">
        <v>0</v>
      </c>
      <c r="I19" s="583">
        <f t="shared" si="9"/>
        <v>3780000.0000000005</v>
      </c>
      <c r="J19" s="577">
        <f>SUM('１　対象経営の概要，２　前提条件'!$F$13:$F$14)</f>
        <v>15</v>
      </c>
      <c r="K19" s="578">
        <f t="shared" si="5"/>
        <v>6.6666666666666666E-2</v>
      </c>
      <c r="L19" s="484">
        <f t="shared" si="13"/>
        <v>252000.00000000003</v>
      </c>
      <c r="M19" s="37">
        <v>0</v>
      </c>
      <c r="N19" s="30">
        <f t="shared" si="14"/>
        <v>0</v>
      </c>
      <c r="O19" s="30">
        <v>7</v>
      </c>
      <c r="P19" s="356">
        <f t="shared" si="15"/>
        <v>36000.000000000007</v>
      </c>
    </row>
    <row r="20" spans="2:16" x14ac:dyDescent="0.15">
      <c r="B20" s="817"/>
      <c r="C20" s="585" t="s">
        <v>387</v>
      </c>
      <c r="D20" s="586" t="s">
        <v>388</v>
      </c>
      <c r="E20" s="484">
        <v>1</v>
      </c>
      <c r="F20" s="436" t="s">
        <v>103</v>
      </c>
      <c r="G20" s="484">
        <f>281000*1.08</f>
        <v>303480</v>
      </c>
      <c r="H20" s="576">
        <v>0</v>
      </c>
      <c r="I20" s="583">
        <f t="shared" si="9"/>
        <v>303480</v>
      </c>
      <c r="J20" s="577">
        <f>SUM('１　対象経営の概要，２　前提条件'!$F$13:$F$14)</f>
        <v>15</v>
      </c>
      <c r="K20" s="578">
        <f t="shared" si="5"/>
        <v>6.6666666666666666E-2</v>
      </c>
      <c r="L20" s="484">
        <f t="shared" si="6"/>
        <v>20232</v>
      </c>
      <c r="M20" s="37">
        <v>0</v>
      </c>
      <c r="N20" s="30">
        <f t="shared" si="7"/>
        <v>0</v>
      </c>
      <c r="O20" s="30">
        <v>7</v>
      </c>
      <c r="P20" s="356">
        <f t="shared" si="8"/>
        <v>2890.2857142857142</v>
      </c>
    </row>
    <row r="21" spans="2:16" x14ac:dyDescent="0.15">
      <c r="B21" s="817"/>
      <c r="C21" s="436" t="s">
        <v>295</v>
      </c>
      <c r="D21" s="585" t="s">
        <v>415</v>
      </c>
      <c r="E21" s="484">
        <v>1</v>
      </c>
      <c r="F21" s="436" t="s">
        <v>103</v>
      </c>
      <c r="G21" s="484">
        <f>142000*1.08</f>
        <v>153360</v>
      </c>
      <c r="H21" s="576">
        <v>0</v>
      </c>
      <c r="I21" s="583">
        <f t="shared" si="9"/>
        <v>153360</v>
      </c>
      <c r="J21" s="577">
        <f>SUM('１　対象経営の概要，２　前提条件'!$F$13:$F$14,'１　対象経営の概要，２　前提条件'!$F$20)</f>
        <v>17</v>
      </c>
      <c r="K21" s="578">
        <f t="shared" si="5"/>
        <v>5.8823529411764705E-2</v>
      </c>
      <c r="L21" s="484">
        <f t="shared" si="6"/>
        <v>9021.176470588236</v>
      </c>
      <c r="M21" s="37">
        <v>0</v>
      </c>
      <c r="N21" s="30">
        <f t="shared" ref="N21:N23" si="16">L21*M21</f>
        <v>0</v>
      </c>
      <c r="O21" s="30">
        <v>7</v>
      </c>
      <c r="P21" s="356">
        <f t="shared" ref="P21:P23" si="17">IF(O21="","",(L21-N21)/O21)</f>
        <v>1288.7394957983195</v>
      </c>
    </row>
    <row r="22" spans="2:16" x14ac:dyDescent="0.15">
      <c r="B22" s="817"/>
      <c r="C22" s="436" t="s">
        <v>296</v>
      </c>
      <c r="D22" s="587" t="s">
        <v>416</v>
      </c>
      <c r="E22" s="484">
        <v>1</v>
      </c>
      <c r="F22" s="436" t="s">
        <v>103</v>
      </c>
      <c r="G22" s="484">
        <f>176000*1.08</f>
        <v>190080</v>
      </c>
      <c r="H22" s="576">
        <v>0</v>
      </c>
      <c r="I22" s="583">
        <f t="shared" si="9"/>
        <v>190080</v>
      </c>
      <c r="J22" s="577">
        <f>SUM('１　対象経営の概要，２　前提条件'!$F$13:$F$14,'１　対象経営の概要，２　前提条件'!$F$20)</f>
        <v>17</v>
      </c>
      <c r="K22" s="578">
        <f t="shared" si="5"/>
        <v>5.8823529411764705E-2</v>
      </c>
      <c r="L22" s="484">
        <f t="shared" si="6"/>
        <v>11181.176470588236</v>
      </c>
      <c r="M22" s="37">
        <v>0</v>
      </c>
      <c r="N22" s="30">
        <f t="shared" si="16"/>
        <v>0</v>
      </c>
      <c r="O22" s="30">
        <v>7</v>
      </c>
      <c r="P22" s="356">
        <f t="shared" si="17"/>
        <v>1597.3109243697479</v>
      </c>
    </row>
    <row r="23" spans="2:16" x14ac:dyDescent="0.15">
      <c r="B23" s="817"/>
      <c r="C23" s="436" t="s">
        <v>297</v>
      </c>
      <c r="D23" s="585" t="s">
        <v>414</v>
      </c>
      <c r="E23" s="484">
        <v>2</v>
      </c>
      <c r="F23" s="436" t="s">
        <v>103</v>
      </c>
      <c r="G23" s="484">
        <f>174300*1.08*E23</f>
        <v>376488</v>
      </c>
      <c r="H23" s="576">
        <v>0</v>
      </c>
      <c r="I23" s="583">
        <f t="shared" si="9"/>
        <v>752976</v>
      </c>
      <c r="J23" s="577">
        <f>SUM('１　対象経営の概要，２　前提条件'!$F$13:$F$14,'１　対象経営の概要，２　前提条件'!$F$20)</f>
        <v>17</v>
      </c>
      <c r="K23" s="578">
        <f t="shared" si="5"/>
        <v>5.8823529411764705E-2</v>
      </c>
      <c r="L23" s="484">
        <f t="shared" si="6"/>
        <v>44292.705882352944</v>
      </c>
      <c r="M23" s="37">
        <v>0</v>
      </c>
      <c r="N23" s="30">
        <f t="shared" si="16"/>
        <v>0</v>
      </c>
      <c r="O23" s="30">
        <v>7</v>
      </c>
      <c r="P23" s="356">
        <f t="shared" si="17"/>
        <v>6327.5294117647063</v>
      </c>
    </row>
    <row r="24" spans="2:16" x14ac:dyDescent="0.15">
      <c r="B24" s="817"/>
      <c r="C24" s="436" t="s">
        <v>389</v>
      </c>
      <c r="D24" s="436" t="s">
        <v>390</v>
      </c>
      <c r="E24" s="484">
        <v>1430</v>
      </c>
      <c r="F24" s="436" t="s">
        <v>391</v>
      </c>
      <c r="G24" s="484">
        <f>450*1.08*E24</f>
        <v>694980.00000000012</v>
      </c>
      <c r="H24" s="576">
        <v>0</v>
      </c>
      <c r="I24" s="583">
        <f>G24*(1-H24)</f>
        <v>694980.00000000012</v>
      </c>
      <c r="J24" s="577">
        <f>SUM('１　対象経営の概要，２　前提条件'!$F$13:$F$14,'１　対象経営の概要，２　前提条件'!$F$20)</f>
        <v>17</v>
      </c>
      <c r="K24" s="578">
        <f t="shared" si="5"/>
        <v>5.8823529411764705E-2</v>
      </c>
      <c r="L24" s="484">
        <f t="shared" si="6"/>
        <v>40881.176470588245</v>
      </c>
      <c r="M24" s="37">
        <v>0</v>
      </c>
      <c r="N24" s="30">
        <f t="shared" si="7"/>
        <v>0</v>
      </c>
      <c r="O24" s="30">
        <v>7</v>
      </c>
      <c r="P24" s="356">
        <f t="shared" si="8"/>
        <v>5840.1680672268922</v>
      </c>
    </row>
    <row r="25" spans="2:16" x14ac:dyDescent="0.15">
      <c r="B25" s="817"/>
      <c r="C25" s="436" t="s">
        <v>264</v>
      </c>
      <c r="D25" s="436" t="s">
        <v>424</v>
      </c>
      <c r="E25" s="484">
        <v>1</v>
      </c>
      <c r="F25" s="436" t="s">
        <v>103</v>
      </c>
      <c r="G25" s="484">
        <v>1500000</v>
      </c>
      <c r="H25" s="576">
        <v>0</v>
      </c>
      <c r="I25" s="583">
        <f t="shared" ref="I25:I26" si="18">G25*(1-H25)</f>
        <v>1500000</v>
      </c>
      <c r="J25" s="577">
        <f>SUM('１　対象経営の概要，２　前提条件'!$F$13:$F$20)</f>
        <v>25</v>
      </c>
      <c r="K25" s="578">
        <f t="shared" si="5"/>
        <v>0.04</v>
      </c>
      <c r="L25" s="484">
        <f t="shared" si="6"/>
        <v>60000</v>
      </c>
      <c r="M25" s="37">
        <v>0</v>
      </c>
      <c r="N25" s="30">
        <f t="shared" si="7"/>
        <v>0</v>
      </c>
      <c r="O25" s="30">
        <v>2</v>
      </c>
      <c r="P25" s="356">
        <f t="shared" si="8"/>
        <v>30000</v>
      </c>
    </row>
    <row r="26" spans="2:16" x14ac:dyDescent="0.15">
      <c r="B26" s="817"/>
      <c r="C26" s="436" t="s">
        <v>251</v>
      </c>
      <c r="D26" s="581"/>
      <c r="E26" s="484">
        <v>1</v>
      </c>
      <c r="F26" s="436" t="s">
        <v>103</v>
      </c>
      <c r="G26" s="484">
        <v>920000</v>
      </c>
      <c r="H26" s="576">
        <v>0</v>
      </c>
      <c r="I26" s="583">
        <f t="shared" si="18"/>
        <v>920000</v>
      </c>
      <c r="J26" s="577">
        <f>SUM('１　対象経営の概要，２　前提条件'!$F$13:$F$20)</f>
        <v>25</v>
      </c>
      <c r="K26" s="578">
        <f t="shared" si="5"/>
        <v>0.04</v>
      </c>
      <c r="L26" s="484">
        <f t="shared" si="6"/>
        <v>36800</v>
      </c>
      <c r="M26" s="37">
        <v>0</v>
      </c>
      <c r="N26" s="30">
        <f t="shared" si="7"/>
        <v>0</v>
      </c>
      <c r="O26" s="30">
        <v>4</v>
      </c>
      <c r="P26" s="356">
        <f t="shared" si="8"/>
        <v>9200</v>
      </c>
    </row>
    <row r="27" spans="2:16" x14ac:dyDescent="0.15">
      <c r="B27" s="817"/>
      <c r="C27" s="436"/>
      <c r="D27" s="484"/>
      <c r="E27" s="484"/>
      <c r="F27" s="436"/>
      <c r="G27" s="484"/>
      <c r="H27" s="576"/>
      <c r="I27" s="583"/>
      <c r="J27" s="577"/>
      <c r="K27" s="578"/>
      <c r="L27" s="484"/>
      <c r="M27" s="37"/>
      <c r="N27" s="30"/>
      <c r="O27" s="30"/>
      <c r="P27" s="356">
        <v>0</v>
      </c>
    </row>
    <row r="28" spans="2:16" x14ac:dyDescent="0.15">
      <c r="B28" s="817"/>
      <c r="C28" s="436"/>
      <c r="D28" s="484"/>
      <c r="E28" s="484"/>
      <c r="F28" s="436"/>
      <c r="G28" s="484"/>
      <c r="H28" s="576"/>
      <c r="I28" s="583"/>
      <c r="J28" s="436"/>
      <c r="K28" s="578"/>
      <c r="L28" s="484"/>
      <c r="M28" s="37"/>
      <c r="N28" s="30"/>
      <c r="O28" s="30"/>
      <c r="P28" s="356">
        <v>0</v>
      </c>
    </row>
    <row r="29" spans="2:16" x14ac:dyDescent="0.15">
      <c r="B29" s="817"/>
      <c r="C29" s="436"/>
      <c r="D29" s="484"/>
      <c r="E29" s="484"/>
      <c r="F29" s="484"/>
      <c r="G29" s="484"/>
      <c r="H29" s="576"/>
      <c r="I29" s="583"/>
      <c r="J29" s="436"/>
      <c r="K29" s="578"/>
      <c r="L29" s="484"/>
      <c r="M29" s="37"/>
      <c r="N29" s="30"/>
      <c r="O29" s="30"/>
      <c r="P29" s="356">
        <v>0</v>
      </c>
    </row>
    <row r="30" spans="2:16" x14ac:dyDescent="0.15">
      <c r="B30" s="817"/>
      <c r="C30" s="436"/>
      <c r="D30" s="484"/>
      <c r="E30" s="484"/>
      <c r="F30" s="436"/>
      <c r="G30" s="484"/>
      <c r="H30" s="576"/>
      <c r="I30" s="583"/>
      <c r="J30" s="436"/>
      <c r="K30" s="578"/>
      <c r="L30" s="484"/>
      <c r="M30" s="37"/>
      <c r="N30" s="30"/>
      <c r="O30" s="30"/>
      <c r="P30" s="356">
        <v>0</v>
      </c>
    </row>
    <row r="31" spans="2:16" x14ac:dyDescent="0.15">
      <c r="B31" s="817"/>
      <c r="C31" s="436"/>
      <c r="D31" s="484"/>
      <c r="E31" s="484"/>
      <c r="F31" s="436"/>
      <c r="G31" s="484"/>
      <c r="H31" s="576"/>
      <c r="I31" s="583"/>
      <c r="J31" s="436"/>
      <c r="K31" s="578"/>
      <c r="L31" s="484"/>
      <c r="M31" s="37"/>
      <c r="N31" s="30"/>
      <c r="O31" s="30"/>
      <c r="P31" s="356">
        <v>0</v>
      </c>
    </row>
    <row r="32" spans="2:16" x14ac:dyDescent="0.15">
      <c r="B32" s="817"/>
      <c r="C32" s="484"/>
      <c r="D32" s="484"/>
      <c r="E32" s="484"/>
      <c r="F32" s="436"/>
      <c r="G32" s="484"/>
      <c r="H32" s="576"/>
      <c r="I32" s="583"/>
      <c r="J32" s="436"/>
      <c r="K32" s="578"/>
      <c r="L32" s="484"/>
      <c r="M32" s="37"/>
      <c r="N32" s="30"/>
      <c r="O32" s="30"/>
      <c r="P32" s="356">
        <v>0</v>
      </c>
    </row>
    <row r="33" spans="2:18" x14ac:dyDescent="0.15">
      <c r="B33" s="817"/>
      <c r="C33" s="436"/>
      <c r="D33" s="484"/>
      <c r="E33" s="484"/>
      <c r="F33" s="436"/>
      <c r="G33" s="484"/>
      <c r="H33" s="576"/>
      <c r="I33" s="583"/>
      <c r="J33" s="436"/>
      <c r="K33" s="578"/>
      <c r="L33" s="484"/>
      <c r="M33" s="37"/>
      <c r="N33" s="30"/>
      <c r="O33" s="30"/>
      <c r="P33" s="356">
        <v>0</v>
      </c>
    </row>
    <row r="34" spans="2:18" x14ac:dyDescent="0.15">
      <c r="B34" s="817"/>
      <c r="C34" s="436"/>
      <c r="D34" s="484"/>
      <c r="E34" s="484"/>
      <c r="F34" s="436"/>
      <c r="G34" s="484"/>
      <c r="H34" s="576"/>
      <c r="I34" s="583"/>
      <c r="J34" s="436"/>
      <c r="K34" s="578"/>
      <c r="L34" s="484"/>
      <c r="M34" s="37"/>
      <c r="N34" s="30"/>
      <c r="O34" s="30"/>
      <c r="P34" s="356">
        <v>0</v>
      </c>
    </row>
    <row r="35" spans="2:18" x14ac:dyDescent="0.15">
      <c r="B35" s="817"/>
      <c r="C35" s="588"/>
      <c r="D35" s="436"/>
      <c r="E35" s="588"/>
      <c r="F35" s="436"/>
      <c r="G35" s="484"/>
      <c r="H35" s="576"/>
      <c r="I35" s="583"/>
      <c r="J35" s="436"/>
      <c r="K35" s="578"/>
      <c r="L35" s="484"/>
      <c r="M35" s="37"/>
      <c r="N35" s="30"/>
      <c r="O35" s="30"/>
      <c r="P35" s="356">
        <v>0</v>
      </c>
    </row>
    <row r="36" spans="2:18" x14ac:dyDescent="0.15">
      <c r="B36" s="817"/>
      <c r="C36" s="588"/>
      <c r="D36" s="581"/>
      <c r="E36" s="588"/>
      <c r="F36" s="436"/>
      <c r="G36" s="484"/>
      <c r="H36" s="576"/>
      <c r="I36" s="583"/>
      <c r="J36" s="436"/>
      <c r="K36" s="578"/>
      <c r="L36" s="484"/>
      <c r="M36" s="37"/>
      <c r="N36" s="30"/>
      <c r="O36" s="30"/>
      <c r="P36" s="356">
        <v>0</v>
      </c>
    </row>
    <row r="37" spans="2:18" x14ac:dyDescent="0.15">
      <c r="B37" s="817"/>
      <c r="C37" s="589"/>
      <c r="D37" s="590"/>
      <c r="E37" s="589"/>
      <c r="F37" s="591"/>
      <c r="G37" s="592"/>
      <c r="H37" s="593"/>
      <c r="I37" s="583"/>
      <c r="J37" s="591"/>
      <c r="K37" s="594"/>
      <c r="L37" s="592"/>
      <c r="M37" s="595"/>
      <c r="N37" s="596"/>
      <c r="O37" s="596"/>
      <c r="P37" s="356">
        <v>0</v>
      </c>
    </row>
    <row r="38" spans="2:18" x14ac:dyDescent="0.15">
      <c r="B38" s="817"/>
      <c r="C38" s="484"/>
      <c r="D38" s="581"/>
      <c r="E38" s="484"/>
      <c r="F38" s="484"/>
      <c r="G38" s="484"/>
      <c r="H38" s="576"/>
      <c r="I38" s="583"/>
      <c r="J38" s="581"/>
      <c r="K38" s="578"/>
      <c r="L38" s="484"/>
      <c r="M38" s="37"/>
      <c r="N38" s="30"/>
      <c r="O38" s="30"/>
      <c r="P38" s="356">
        <v>0</v>
      </c>
    </row>
    <row r="39" spans="2:18" x14ac:dyDescent="0.15">
      <c r="B39" s="817"/>
      <c r="C39" s="484"/>
      <c r="D39" s="581"/>
      <c r="E39" s="484"/>
      <c r="F39" s="484"/>
      <c r="G39" s="484"/>
      <c r="H39" s="576"/>
      <c r="I39" s="583"/>
      <c r="J39" s="581"/>
      <c r="K39" s="578"/>
      <c r="L39" s="484"/>
      <c r="M39" s="37"/>
      <c r="N39" s="30"/>
      <c r="O39" s="30"/>
      <c r="P39" s="356">
        <v>0</v>
      </c>
    </row>
    <row r="40" spans="2:18" x14ac:dyDescent="0.15">
      <c r="B40" s="818"/>
      <c r="C40" s="43" t="s">
        <v>46</v>
      </c>
      <c r="D40" s="43"/>
      <c r="E40" s="43"/>
      <c r="F40" s="44"/>
      <c r="G40" s="43">
        <f>SUM(G15:G36)</f>
        <v>22599908</v>
      </c>
      <c r="H40" s="43"/>
      <c r="I40" s="43">
        <f>SUM(I15:I36)</f>
        <v>22976396</v>
      </c>
      <c r="J40" s="43"/>
      <c r="K40" s="45"/>
      <c r="L40" s="43">
        <f>SUM(L15:L36)</f>
        <v>1305767.4922600619</v>
      </c>
      <c r="M40" s="27"/>
      <c r="N40" s="27"/>
      <c r="O40" s="27"/>
      <c r="P40" s="357">
        <f>SUM(P15:P36)</f>
        <v>211909.64175143739</v>
      </c>
      <c r="R40" s="27"/>
    </row>
    <row r="41" spans="2:18" x14ac:dyDescent="0.15">
      <c r="B41" s="816" t="s">
        <v>145</v>
      </c>
      <c r="C41" s="40"/>
      <c r="D41" s="40"/>
      <c r="E41" s="40"/>
      <c r="F41" s="42"/>
      <c r="G41" s="40"/>
      <c r="H41" s="46"/>
      <c r="I41" s="40">
        <f t="shared" ref="I41:I44" si="19">G41*(1-H41)</f>
        <v>0</v>
      </c>
      <c r="J41" s="42"/>
      <c r="K41" s="41"/>
      <c r="L41" s="40">
        <f>I41*K41</f>
        <v>0</v>
      </c>
      <c r="M41" s="38"/>
      <c r="N41" s="11">
        <f>L41*M41</f>
        <v>0</v>
      </c>
      <c r="O41" s="11"/>
      <c r="P41" s="356" t="str">
        <f>IF(O41="","",(L41-N41)/O41)</f>
        <v/>
      </c>
    </row>
    <row r="42" spans="2:18" x14ac:dyDescent="0.15">
      <c r="B42" s="817"/>
      <c r="C42" s="40"/>
      <c r="D42" s="40"/>
      <c r="E42" s="40"/>
      <c r="F42" s="42"/>
      <c r="G42" s="40"/>
      <c r="H42" s="46"/>
      <c r="I42" s="40">
        <f t="shared" si="19"/>
        <v>0</v>
      </c>
      <c r="J42" s="40"/>
      <c r="K42" s="41"/>
      <c r="L42" s="40">
        <f>I42*K42</f>
        <v>0</v>
      </c>
      <c r="M42" s="38"/>
      <c r="N42" s="11">
        <f>L42*M42</f>
        <v>0</v>
      </c>
      <c r="O42" s="11"/>
      <c r="P42" s="356" t="str">
        <f>IF(O42="","",(L42-N42)/O42)</f>
        <v/>
      </c>
    </row>
    <row r="43" spans="2:18" ht="15" customHeight="1" x14ac:dyDescent="0.15">
      <c r="B43" s="817"/>
      <c r="C43" s="11"/>
      <c r="D43" s="11"/>
      <c r="E43" s="11"/>
      <c r="F43" s="25"/>
      <c r="G43" s="11"/>
      <c r="H43" s="38"/>
      <c r="I43" s="11">
        <f t="shared" si="19"/>
        <v>0</v>
      </c>
      <c r="J43" s="11"/>
      <c r="K43" s="39"/>
      <c r="L43" s="11">
        <f>I43*K43</f>
        <v>0</v>
      </c>
      <c r="M43" s="38"/>
      <c r="N43" s="11">
        <f>L43*M43</f>
        <v>0</v>
      </c>
      <c r="O43" s="11"/>
      <c r="P43" s="356" t="str">
        <f>IF(O43="","",(L43-N43)/O43)</f>
        <v/>
      </c>
    </row>
    <row r="44" spans="2:18" x14ac:dyDescent="0.15">
      <c r="B44" s="817"/>
      <c r="C44" s="11"/>
      <c r="D44" s="11"/>
      <c r="E44" s="11"/>
      <c r="F44" s="25"/>
      <c r="G44" s="11"/>
      <c r="H44" s="38"/>
      <c r="I44" s="11">
        <f t="shared" si="19"/>
        <v>0</v>
      </c>
      <c r="J44" s="11"/>
      <c r="K44" s="39"/>
      <c r="L44" s="11">
        <f>I44*K44</f>
        <v>0</v>
      </c>
      <c r="M44" s="38"/>
      <c r="N44" s="11">
        <f>L44*M44</f>
        <v>0</v>
      </c>
      <c r="O44" s="11"/>
      <c r="P44" s="356" t="str">
        <f>IF(O44="","",(L44-N44)/O44)</f>
        <v/>
      </c>
    </row>
    <row r="45" spans="2:18" x14ac:dyDescent="0.15">
      <c r="B45" s="818"/>
      <c r="C45" s="31" t="s">
        <v>46</v>
      </c>
      <c r="D45" s="27"/>
      <c r="E45" s="27"/>
      <c r="F45" s="28"/>
      <c r="G45" s="27">
        <f>SUM(G41:G44)</f>
        <v>0</v>
      </c>
      <c r="H45" s="27"/>
      <c r="I45" s="27">
        <f>SUM(I41:I44)</f>
        <v>0</v>
      </c>
      <c r="J45" s="27"/>
      <c r="K45" s="29"/>
      <c r="L45" s="27">
        <f>SUM(L41:L44)</f>
        <v>0</v>
      </c>
      <c r="M45" s="27"/>
      <c r="N45" s="27"/>
      <c r="O45" s="27"/>
      <c r="P45" s="357">
        <f>SUM(P41:P44)</f>
        <v>0</v>
      </c>
      <c r="R45" s="27"/>
    </row>
    <row r="46" spans="2:18" ht="14.25" thickBot="1" x14ac:dyDescent="0.2">
      <c r="B46" s="32"/>
      <c r="C46" s="33" t="s">
        <v>102</v>
      </c>
      <c r="D46" s="34"/>
      <c r="E46" s="34"/>
      <c r="F46" s="35"/>
      <c r="G46" s="34">
        <f>G14+G40+G45</f>
        <v>28500083</v>
      </c>
      <c r="H46" s="34"/>
      <c r="I46" s="34">
        <f>I14+I40+I45</f>
        <v>28876571</v>
      </c>
      <c r="J46" s="34"/>
      <c r="K46" s="36"/>
      <c r="L46" s="34">
        <f>L14+L40+L45</f>
        <v>1563387.1981424149</v>
      </c>
      <c r="M46" s="34"/>
      <c r="N46" s="34"/>
      <c r="O46" s="34"/>
      <c r="P46" s="358">
        <f>P14+P40+P45</f>
        <v>226266.81233967267</v>
      </c>
      <c r="R46" s="27"/>
    </row>
    <row r="47" spans="2:18" ht="11.25" customHeight="1" x14ac:dyDescent="0.15"/>
  </sheetData>
  <mergeCells count="9">
    <mergeCell ref="J3:J4"/>
    <mergeCell ref="B41:B45"/>
    <mergeCell ref="B15:B40"/>
    <mergeCell ref="F2:G2"/>
    <mergeCell ref="B3:B4"/>
    <mergeCell ref="C3:C4"/>
    <mergeCell ref="D3:D4"/>
    <mergeCell ref="E3:F3"/>
    <mergeCell ref="B5:B14"/>
  </mergeCells>
  <phoneticPr fontId="6"/>
  <pageMargins left="0.78740157480314965" right="0.78740157480314965" top="0.78740157480314965" bottom="0.78740157480314965" header="0.39370078740157483" footer="0.39370078740157483"/>
  <pageSetup paperSize="8" scale="61" orientation="landscape" verticalDpi="300" r:id="rId1"/>
  <headerFooter alignWithMargins="0"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34"/>
  <sheetViews>
    <sheetView zoomScale="75" zoomScaleNormal="75" workbookViewId="0"/>
  </sheetViews>
  <sheetFormatPr defaultColWidth="8.875" defaultRowHeight="13.5" x14ac:dyDescent="0.15"/>
  <cols>
    <col min="1" max="1" width="8.875" style="496"/>
    <col min="2" max="2" width="11.625" style="496" bestFit="1" customWidth="1"/>
    <col min="3" max="3" width="8.875" style="496"/>
    <col min="4" max="4" width="16.5" style="496" bestFit="1" customWidth="1"/>
    <col min="5" max="5" width="17.375" style="496" customWidth="1"/>
    <col min="6" max="6" width="8.875" style="496"/>
    <col min="7" max="7" width="13.875" style="496" bestFit="1" customWidth="1"/>
    <col min="8" max="8" width="16.125" style="496" bestFit="1" customWidth="1"/>
    <col min="9" max="16384" width="8.875" style="496"/>
  </cols>
  <sheetData>
    <row r="1" spans="1:9" x14ac:dyDescent="0.15">
      <c r="A1" s="520" t="s">
        <v>475</v>
      </c>
      <c r="C1" s="520" t="s">
        <v>476</v>
      </c>
    </row>
    <row r="4" spans="1:9" ht="14.25" thickBot="1" x14ac:dyDescent="0.2">
      <c r="A4" s="495" t="s">
        <v>449</v>
      </c>
    </row>
    <row r="5" spans="1:9" x14ac:dyDescent="0.15">
      <c r="A5" s="497" t="s">
        <v>450</v>
      </c>
      <c r="B5" s="498" t="s">
        <v>451</v>
      </c>
      <c r="C5" s="498" t="s">
        <v>452</v>
      </c>
      <c r="D5" s="498" t="s">
        <v>453</v>
      </c>
      <c r="E5" s="498" t="s">
        <v>454</v>
      </c>
      <c r="F5" s="498" t="s">
        <v>455</v>
      </c>
      <c r="G5" s="498" t="s">
        <v>456</v>
      </c>
      <c r="H5" s="499" t="s">
        <v>457</v>
      </c>
      <c r="I5" s="500" t="s">
        <v>458</v>
      </c>
    </row>
    <row r="6" spans="1:9" x14ac:dyDescent="0.15">
      <c r="A6" s="501">
        <v>1</v>
      </c>
      <c r="B6" s="502">
        <v>6</v>
      </c>
      <c r="C6" s="502" t="s">
        <v>459</v>
      </c>
      <c r="D6" s="503">
        <v>11500</v>
      </c>
      <c r="E6" s="503">
        <f>D6*B6/10</f>
        <v>6900</v>
      </c>
      <c r="F6" s="502"/>
      <c r="G6" s="502"/>
      <c r="H6" s="504"/>
    </row>
    <row r="7" spans="1:9" x14ac:dyDescent="0.15">
      <c r="A7" s="501">
        <v>2</v>
      </c>
      <c r="B7" s="502">
        <v>11</v>
      </c>
      <c r="C7" s="502" t="s">
        <v>460</v>
      </c>
      <c r="D7" s="503">
        <v>9500</v>
      </c>
      <c r="E7" s="503">
        <f t="shared" ref="E7:E9" si="0">D7*B7/10</f>
        <v>10450</v>
      </c>
      <c r="F7" s="502"/>
      <c r="G7" s="502"/>
      <c r="H7" s="504"/>
    </row>
    <row r="8" spans="1:9" x14ac:dyDescent="0.15">
      <c r="A8" s="501">
        <v>3</v>
      </c>
      <c r="B8" s="502">
        <v>13</v>
      </c>
      <c r="C8" s="502" t="s">
        <v>461</v>
      </c>
      <c r="D8" s="503">
        <v>9500</v>
      </c>
      <c r="E8" s="503">
        <f t="shared" si="0"/>
        <v>12350</v>
      </c>
      <c r="F8" s="502"/>
      <c r="G8" s="502"/>
      <c r="H8" s="504"/>
    </row>
    <row r="9" spans="1:9" ht="14.25" thickBot="1" x14ac:dyDescent="0.2">
      <c r="A9" s="505">
        <v>4</v>
      </c>
      <c r="B9" s="506">
        <v>20</v>
      </c>
      <c r="C9" s="506" t="s">
        <v>462</v>
      </c>
      <c r="D9" s="507">
        <v>7500</v>
      </c>
      <c r="E9" s="507">
        <f t="shared" si="0"/>
        <v>15000</v>
      </c>
      <c r="F9" s="506"/>
      <c r="G9" s="506"/>
      <c r="H9" s="508"/>
    </row>
    <row r="10" spans="1:9" ht="14.25" thickBot="1" x14ac:dyDescent="0.2">
      <c r="A10" s="509" t="s">
        <v>463</v>
      </c>
      <c r="B10" s="510">
        <f>SUM(B6:B9)</f>
        <v>50</v>
      </c>
      <c r="C10" s="510"/>
      <c r="D10" s="511"/>
      <c r="E10" s="511">
        <f>SUM(E6:E9)</f>
        <v>44700</v>
      </c>
      <c r="F10" s="511">
        <f>1000*(A9-1)</f>
        <v>3000</v>
      </c>
      <c r="G10" s="511">
        <v>3000</v>
      </c>
      <c r="H10" s="512">
        <f>SUM(E10:G10)</f>
        <v>50700</v>
      </c>
      <c r="I10" s="513">
        <f>H10/B10*10</f>
        <v>10140</v>
      </c>
    </row>
    <row r="12" spans="1:9" ht="14.25" thickBot="1" x14ac:dyDescent="0.2">
      <c r="A12" s="496" t="s">
        <v>464</v>
      </c>
    </row>
    <row r="13" spans="1:9" x14ac:dyDescent="0.15">
      <c r="A13" s="497" t="s">
        <v>450</v>
      </c>
      <c r="B13" s="498" t="s">
        <v>451</v>
      </c>
      <c r="C13" s="498" t="s">
        <v>465</v>
      </c>
      <c r="D13" s="498" t="s">
        <v>453</v>
      </c>
      <c r="E13" s="498" t="s">
        <v>454</v>
      </c>
      <c r="F13" s="498" t="s">
        <v>455</v>
      </c>
      <c r="G13" s="498" t="s">
        <v>456</v>
      </c>
      <c r="H13" s="499" t="s">
        <v>457</v>
      </c>
      <c r="I13" s="500" t="s">
        <v>458</v>
      </c>
    </row>
    <row r="14" spans="1:9" x14ac:dyDescent="0.15">
      <c r="A14" s="501">
        <v>1</v>
      </c>
      <c r="B14" s="502">
        <v>6</v>
      </c>
      <c r="C14" s="502" t="s">
        <v>466</v>
      </c>
      <c r="D14" s="503">
        <v>12000</v>
      </c>
      <c r="E14" s="503">
        <f>D14*B14/10</f>
        <v>7200</v>
      </c>
      <c r="F14" s="502"/>
      <c r="G14" s="502"/>
      <c r="H14" s="504"/>
    </row>
    <row r="15" spans="1:9" x14ac:dyDescent="0.15">
      <c r="A15" s="501">
        <v>2</v>
      </c>
      <c r="B15" s="502">
        <v>11</v>
      </c>
      <c r="C15" s="502" t="s">
        <v>467</v>
      </c>
      <c r="D15" s="503">
        <v>10000</v>
      </c>
      <c r="E15" s="503">
        <f t="shared" ref="E15:E17" si="1">D15*B15/10</f>
        <v>11000</v>
      </c>
      <c r="F15" s="502"/>
      <c r="G15" s="502"/>
      <c r="H15" s="504"/>
    </row>
    <row r="16" spans="1:9" x14ac:dyDescent="0.15">
      <c r="A16" s="501">
        <v>3</v>
      </c>
      <c r="B16" s="502">
        <v>13</v>
      </c>
      <c r="C16" s="502" t="s">
        <v>467</v>
      </c>
      <c r="D16" s="503">
        <v>10000</v>
      </c>
      <c r="E16" s="503">
        <f t="shared" si="1"/>
        <v>13000</v>
      </c>
      <c r="F16" s="502"/>
      <c r="G16" s="502"/>
      <c r="H16" s="504"/>
    </row>
    <row r="17" spans="1:9" ht="14.25" thickBot="1" x14ac:dyDescent="0.2">
      <c r="A17" s="505">
        <v>4</v>
      </c>
      <c r="B17" s="506">
        <v>20</v>
      </c>
      <c r="C17" s="506" t="s">
        <v>468</v>
      </c>
      <c r="D17" s="507">
        <v>8000</v>
      </c>
      <c r="E17" s="507">
        <f t="shared" si="1"/>
        <v>16000</v>
      </c>
      <c r="F17" s="506"/>
      <c r="G17" s="506"/>
      <c r="H17" s="508"/>
    </row>
    <row r="18" spans="1:9" ht="14.25" thickBot="1" x14ac:dyDescent="0.2">
      <c r="A18" s="509" t="s">
        <v>463</v>
      </c>
      <c r="B18" s="510">
        <f>SUM(B14:B17)</f>
        <v>50</v>
      </c>
      <c r="C18" s="510"/>
      <c r="D18" s="511"/>
      <c r="E18" s="511">
        <f>SUM(E14:E17)</f>
        <v>47200</v>
      </c>
      <c r="F18" s="511">
        <f>1000*(A17-1)</f>
        <v>3000</v>
      </c>
      <c r="G18" s="511">
        <v>3000</v>
      </c>
      <c r="H18" s="512">
        <f>SUM(E18:G18)</f>
        <v>53200</v>
      </c>
      <c r="I18" s="513">
        <f>H18/B18*10</f>
        <v>10640</v>
      </c>
    </row>
    <row r="20" spans="1:9" ht="14.25" thickBot="1" x14ac:dyDescent="0.2">
      <c r="A20" s="496" t="s">
        <v>469</v>
      </c>
    </row>
    <row r="21" spans="1:9" x14ac:dyDescent="0.15">
      <c r="A21" s="497" t="s">
        <v>450</v>
      </c>
      <c r="B21" s="498" t="s">
        <v>451</v>
      </c>
      <c r="C21" s="498" t="s">
        <v>470</v>
      </c>
      <c r="D21" s="498" t="s">
        <v>453</v>
      </c>
      <c r="E21" s="498" t="s">
        <v>454</v>
      </c>
      <c r="F21" s="498" t="s">
        <v>455</v>
      </c>
      <c r="G21" s="498" t="s">
        <v>456</v>
      </c>
      <c r="H21" s="499" t="s">
        <v>457</v>
      </c>
      <c r="I21" s="500" t="s">
        <v>458</v>
      </c>
    </row>
    <row r="22" spans="1:9" x14ac:dyDescent="0.15">
      <c r="A22" s="501">
        <v>1</v>
      </c>
      <c r="B22" s="502">
        <v>6</v>
      </c>
      <c r="C22" s="502" t="s">
        <v>471</v>
      </c>
      <c r="D22" s="503">
        <v>11500</v>
      </c>
      <c r="E22" s="503">
        <f>D22*B22/10</f>
        <v>6900</v>
      </c>
      <c r="F22" s="502"/>
      <c r="G22" s="502"/>
      <c r="H22" s="504"/>
    </row>
    <row r="23" spans="1:9" x14ac:dyDescent="0.15">
      <c r="A23" s="501">
        <v>2</v>
      </c>
      <c r="B23" s="502">
        <v>11</v>
      </c>
      <c r="C23" s="502" t="s">
        <v>472</v>
      </c>
      <c r="D23" s="503">
        <v>9500</v>
      </c>
      <c r="E23" s="503">
        <f t="shared" ref="E23:E25" si="2">D23*B23/10</f>
        <v>10450</v>
      </c>
      <c r="F23" s="502"/>
      <c r="G23" s="502"/>
      <c r="H23" s="504"/>
    </row>
    <row r="24" spans="1:9" x14ac:dyDescent="0.15">
      <c r="A24" s="501">
        <v>3</v>
      </c>
      <c r="B24" s="502">
        <v>13</v>
      </c>
      <c r="C24" s="502" t="s">
        <v>472</v>
      </c>
      <c r="D24" s="503">
        <v>9500</v>
      </c>
      <c r="E24" s="503">
        <f t="shared" si="2"/>
        <v>12350</v>
      </c>
      <c r="F24" s="502"/>
      <c r="G24" s="502"/>
      <c r="H24" s="504"/>
    </row>
    <row r="25" spans="1:9" ht="14.25" thickBot="1" x14ac:dyDescent="0.2">
      <c r="A25" s="505">
        <v>4</v>
      </c>
      <c r="B25" s="506">
        <v>20</v>
      </c>
      <c r="C25" s="506" t="s">
        <v>473</v>
      </c>
      <c r="D25" s="507">
        <v>7500</v>
      </c>
      <c r="E25" s="507">
        <f t="shared" si="2"/>
        <v>15000</v>
      </c>
      <c r="F25" s="506"/>
      <c r="G25" s="506"/>
      <c r="H25" s="508"/>
    </row>
    <row r="26" spans="1:9" ht="14.25" thickBot="1" x14ac:dyDescent="0.2">
      <c r="A26" s="509" t="s">
        <v>463</v>
      </c>
      <c r="B26" s="510">
        <f>SUM(B22:B25)</f>
        <v>50</v>
      </c>
      <c r="C26" s="510"/>
      <c r="D26" s="511"/>
      <c r="E26" s="511">
        <f>SUM(E22:E25)</f>
        <v>44700</v>
      </c>
      <c r="F26" s="511">
        <f>1000*(A25-1)</f>
        <v>3000</v>
      </c>
      <c r="G26" s="511">
        <v>3000</v>
      </c>
      <c r="H26" s="512">
        <f>SUM(E26:G26)</f>
        <v>50700</v>
      </c>
      <c r="I26" s="513">
        <f>H26/B26*10</f>
        <v>10140</v>
      </c>
    </row>
    <row r="28" spans="1:9" ht="14.25" thickBot="1" x14ac:dyDescent="0.2">
      <c r="A28" s="496" t="s">
        <v>474</v>
      </c>
    </row>
    <row r="29" spans="1:9" x14ac:dyDescent="0.15">
      <c r="A29" s="497" t="s">
        <v>450</v>
      </c>
      <c r="B29" s="498" t="s">
        <v>451</v>
      </c>
      <c r="C29" s="498" t="s">
        <v>470</v>
      </c>
      <c r="D29" s="498" t="s">
        <v>453</v>
      </c>
      <c r="E29" s="498" t="s">
        <v>454</v>
      </c>
      <c r="F29" s="498" t="s">
        <v>455</v>
      </c>
      <c r="G29" s="498" t="s">
        <v>456</v>
      </c>
      <c r="H29" s="499" t="s">
        <v>457</v>
      </c>
      <c r="I29" s="500" t="s">
        <v>458</v>
      </c>
    </row>
    <row r="30" spans="1:9" x14ac:dyDescent="0.15">
      <c r="A30" s="501">
        <v>1</v>
      </c>
      <c r="B30" s="502">
        <v>6</v>
      </c>
      <c r="C30" s="502" t="s">
        <v>471</v>
      </c>
      <c r="D30" s="503">
        <v>32000</v>
      </c>
      <c r="E30" s="503">
        <f>D30*B30/10</f>
        <v>19200</v>
      </c>
      <c r="F30" s="502"/>
      <c r="G30" s="502"/>
      <c r="H30" s="504"/>
    </row>
    <row r="31" spans="1:9" x14ac:dyDescent="0.15">
      <c r="A31" s="501">
        <v>2</v>
      </c>
      <c r="B31" s="502">
        <v>11</v>
      </c>
      <c r="C31" s="502" t="s">
        <v>472</v>
      </c>
      <c r="D31" s="503">
        <v>28000</v>
      </c>
      <c r="E31" s="503">
        <f t="shared" ref="E31:E33" si="3">D31*B31/10</f>
        <v>30800</v>
      </c>
      <c r="F31" s="502"/>
      <c r="G31" s="502"/>
      <c r="H31" s="504"/>
    </row>
    <row r="32" spans="1:9" x14ac:dyDescent="0.15">
      <c r="A32" s="501">
        <v>3</v>
      </c>
      <c r="B32" s="502">
        <v>13</v>
      </c>
      <c r="C32" s="502" t="s">
        <v>472</v>
      </c>
      <c r="D32" s="503">
        <v>28000</v>
      </c>
      <c r="E32" s="503">
        <f t="shared" si="3"/>
        <v>36400</v>
      </c>
      <c r="F32" s="502"/>
      <c r="G32" s="502"/>
      <c r="H32" s="504"/>
    </row>
    <row r="33" spans="1:9" ht="14.25" thickBot="1" x14ac:dyDescent="0.2">
      <c r="A33" s="505">
        <v>4</v>
      </c>
      <c r="B33" s="506">
        <v>20</v>
      </c>
      <c r="C33" s="506" t="s">
        <v>473</v>
      </c>
      <c r="D33" s="507">
        <v>24000</v>
      </c>
      <c r="E33" s="507">
        <f t="shared" si="3"/>
        <v>48000</v>
      </c>
      <c r="F33" s="506"/>
      <c r="G33" s="506"/>
      <c r="H33" s="508"/>
    </row>
    <row r="34" spans="1:9" ht="14.25" thickBot="1" x14ac:dyDescent="0.2">
      <c r="A34" s="509" t="s">
        <v>463</v>
      </c>
      <c r="B34" s="510">
        <f>SUM(B30:B33)</f>
        <v>50</v>
      </c>
      <c r="C34" s="510"/>
      <c r="D34" s="511"/>
      <c r="E34" s="511">
        <f>SUM(E30:E33)</f>
        <v>134400</v>
      </c>
      <c r="F34" s="511">
        <f>1000*(A33-1)</f>
        <v>3000</v>
      </c>
      <c r="G34" s="511">
        <v>3000</v>
      </c>
      <c r="H34" s="512">
        <f>SUM(E34:G34)</f>
        <v>140400</v>
      </c>
      <c r="I34" s="513">
        <f>H34/B34*10</f>
        <v>28080</v>
      </c>
    </row>
  </sheetData>
  <phoneticPr fontId="6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52" customWidth="1"/>
    <col min="2" max="2" width="5.875" style="152" customWidth="1"/>
    <col min="3" max="3" width="10.625" style="152" customWidth="1"/>
    <col min="4" max="4" width="12.375" style="152" customWidth="1"/>
    <col min="5" max="5" width="14.625" style="152" customWidth="1"/>
    <col min="6" max="7" width="15.875" style="152" customWidth="1"/>
    <col min="8" max="8" width="10.875" style="152"/>
    <col min="9" max="9" width="11.375" style="152" bestFit="1" customWidth="1"/>
    <col min="10" max="10" width="13.375" style="152" customWidth="1"/>
    <col min="11" max="11" width="7.125" style="152" customWidth="1"/>
    <col min="12" max="12" width="15.375" style="152" customWidth="1"/>
    <col min="13" max="13" width="9.375" style="152" bestFit="1" customWidth="1"/>
    <col min="14" max="14" width="10.875" style="152"/>
    <col min="15" max="15" width="7.25" style="152" customWidth="1"/>
    <col min="16" max="16" width="9.625" style="152" customWidth="1"/>
    <col min="17" max="17" width="10.875" style="152" customWidth="1"/>
    <col min="18" max="18" width="7.5" style="152" customWidth="1"/>
    <col min="19" max="19" width="3.75" style="152" customWidth="1"/>
    <col min="20" max="16384" width="10.875" style="152"/>
  </cols>
  <sheetData>
    <row r="1" spans="2:19" s="153" customFormat="1" ht="9.9499999999999993" customHeight="1" x14ac:dyDescent="0.15"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spans="2:19" s="153" customFormat="1" ht="24.95" customHeight="1" thickBot="1" x14ac:dyDescent="0.2">
      <c r="B2" s="153" t="s">
        <v>107</v>
      </c>
      <c r="H2" s="154" t="s">
        <v>267</v>
      </c>
      <c r="I2" s="3" t="s">
        <v>516</v>
      </c>
      <c r="K2" s="154" t="s">
        <v>268</v>
      </c>
      <c r="L2" s="3" t="s">
        <v>270</v>
      </c>
      <c r="N2" s="152"/>
      <c r="O2" s="152"/>
      <c r="Q2" s="4"/>
      <c r="R2" s="4"/>
    </row>
    <row r="3" spans="2:19" s="153" customFormat="1" ht="18" customHeight="1" x14ac:dyDescent="0.15">
      <c r="B3" s="848" t="s">
        <v>20</v>
      </c>
      <c r="C3" s="849"/>
      <c r="D3" s="849"/>
      <c r="E3" s="850"/>
      <c r="F3" s="183" t="s">
        <v>21</v>
      </c>
      <c r="G3" s="156"/>
      <c r="H3" s="157" t="s">
        <v>22</v>
      </c>
      <c r="I3" s="155"/>
      <c r="J3" s="155"/>
      <c r="K3" s="865" t="s">
        <v>232</v>
      </c>
      <c r="L3" s="866"/>
      <c r="M3" s="866"/>
      <c r="N3" s="866"/>
      <c r="O3" s="866"/>
      <c r="P3" s="866"/>
      <c r="Q3" s="866"/>
      <c r="R3" s="866"/>
      <c r="S3" s="867"/>
    </row>
    <row r="4" spans="2:19" s="153" customFormat="1" ht="18" customHeight="1" x14ac:dyDescent="0.15">
      <c r="B4" s="846" t="s">
        <v>23</v>
      </c>
      <c r="C4" s="847"/>
      <c r="D4" s="253" t="s">
        <v>225</v>
      </c>
      <c r="E4" s="272"/>
      <c r="F4" s="265">
        <f>+R11</f>
        <v>918000</v>
      </c>
      <c r="G4" s="253" t="s">
        <v>208</v>
      </c>
      <c r="H4" s="168"/>
      <c r="I4" s="168"/>
      <c r="J4" s="168"/>
      <c r="K4" s="261" t="s">
        <v>57</v>
      </c>
      <c r="L4" s="348" t="s">
        <v>273</v>
      </c>
      <c r="M4" s="262" t="s">
        <v>24</v>
      </c>
      <c r="N4" s="262" t="s">
        <v>23</v>
      </c>
      <c r="O4" s="262" t="s">
        <v>57</v>
      </c>
      <c r="P4" s="348" t="s">
        <v>274</v>
      </c>
      <c r="Q4" s="262" t="s">
        <v>24</v>
      </c>
      <c r="R4" s="870" t="s">
        <v>23</v>
      </c>
      <c r="S4" s="871"/>
    </row>
    <row r="5" spans="2:19" s="153" customFormat="1" ht="18" customHeight="1" x14ac:dyDescent="0.15">
      <c r="B5" s="846"/>
      <c r="C5" s="847"/>
      <c r="D5" s="253" t="s">
        <v>91</v>
      </c>
      <c r="E5" s="272"/>
      <c r="F5" s="265">
        <v>0</v>
      </c>
      <c r="G5" s="219"/>
      <c r="H5" s="273"/>
      <c r="I5" s="273"/>
      <c r="J5" s="273"/>
      <c r="K5" s="264" t="s">
        <v>170</v>
      </c>
      <c r="L5" s="265">
        <f>5100*('１　対象経営の概要，２　前提条件'!AM26)/('１　対象経営の概要，２　前提条件'!AB26+'１　対象経営の概要，２　前提条件'!AM26+'１　対象経営の概要，２　前提条件'!AB28)</f>
        <v>4080</v>
      </c>
      <c r="M5" s="265">
        <v>180</v>
      </c>
      <c r="N5" s="265">
        <f>L5*M5</f>
        <v>734400</v>
      </c>
      <c r="O5" s="265"/>
      <c r="P5" s="265"/>
      <c r="Q5" s="265"/>
      <c r="R5" s="868">
        <f>P5*Q5</f>
        <v>0</v>
      </c>
      <c r="S5" s="869"/>
    </row>
    <row r="6" spans="2:19" s="153" customFormat="1" ht="18" customHeight="1" x14ac:dyDescent="0.15">
      <c r="B6" s="854" t="s">
        <v>230</v>
      </c>
      <c r="C6" s="851" t="s">
        <v>216</v>
      </c>
      <c r="D6" s="265" t="s">
        <v>59</v>
      </c>
      <c r="E6" s="274"/>
      <c r="F6" s="265">
        <f>+P13</f>
        <v>20650</v>
      </c>
      <c r="G6" s="219" t="s">
        <v>209</v>
      </c>
      <c r="H6" s="273"/>
      <c r="I6" s="273"/>
      <c r="J6" s="273"/>
      <c r="K6" s="271"/>
      <c r="L6" s="417"/>
      <c r="M6" s="265"/>
      <c r="N6" s="265"/>
      <c r="O6" s="265"/>
      <c r="P6" s="265"/>
      <c r="Q6" s="265"/>
      <c r="R6" s="868">
        <f t="shared" ref="R6:R9" si="0">P6*Q6</f>
        <v>0</v>
      </c>
      <c r="S6" s="869"/>
    </row>
    <row r="7" spans="2:19" s="153" customFormat="1" ht="18" customHeight="1" x14ac:dyDescent="0.15">
      <c r="B7" s="855"/>
      <c r="C7" s="852"/>
      <c r="D7" s="265" t="s">
        <v>60</v>
      </c>
      <c r="E7" s="274"/>
      <c r="F7" s="265">
        <f>P22</f>
        <v>109114.15</v>
      </c>
      <c r="G7" s="253" t="s">
        <v>512</v>
      </c>
      <c r="H7" s="168"/>
      <c r="I7" s="168"/>
      <c r="J7" s="275"/>
      <c r="K7" s="269" t="s">
        <v>359</v>
      </c>
      <c r="L7" s="418">
        <f>5100*('１　対象経営の概要，２　前提条件'!AB26)/('１　対象経営の概要，２　前提条件'!$AB$26+'１　対象経営の概要，２　前提条件'!$AM$26+'１　対象経営の概要，２　前提条件'!$AB$28)</f>
        <v>1020</v>
      </c>
      <c r="M7" s="265">
        <v>180</v>
      </c>
      <c r="N7" s="265">
        <f t="shared" ref="N7:N11" si="1">L7*M7</f>
        <v>183600</v>
      </c>
      <c r="O7" s="265"/>
      <c r="P7" s="265"/>
      <c r="Q7" s="265"/>
      <c r="R7" s="868">
        <f t="shared" si="0"/>
        <v>0</v>
      </c>
      <c r="S7" s="869"/>
    </row>
    <row r="8" spans="2:19" s="153" customFormat="1" ht="18" customHeight="1" x14ac:dyDescent="0.15">
      <c r="B8" s="855"/>
      <c r="C8" s="852"/>
      <c r="D8" s="265" t="s">
        <v>61</v>
      </c>
      <c r="E8" s="274"/>
      <c r="F8" s="265">
        <f>P28</f>
        <v>62757.266666666663</v>
      </c>
      <c r="G8" s="225" t="s">
        <v>515</v>
      </c>
      <c r="H8" s="240"/>
      <c r="I8" s="240"/>
      <c r="J8" s="276"/>
      <c r="K8" s="267"/>
      <c r="L8" s="265"/>
      <c r="M8" s="265"/>
      <c r="N8" s="265">
        <f t="shared" si="1"/>
        <v>0</v>
      </c>
      <c r="O8" s="265"/>
      <c r="P8" s="265"/>
      <c r="Q8" s="265"/>
      <c r="R8" s="868">
        <f t="shared" si="0"/>
        <v>0</v>
      </c>
      <c r="S8" s="869"/>
    </row>
    <row r="9" spans="2:19" s="153" customFormat="1" ht="18" customHeight="1" x14ac:dyDescent="0.15">
      <c r="B9" s="855"/>
      <c r="C9" s="852"/>
      <c r="D9" s="265" t="s">
        <v>92</v>
      </c>
      <c r="E9" s="274"/>
      <c r="F9" s="265">
        <f>P37</f>
        <v>27333.630799999995</v>
      </c>
      <c r="G9" s="225" t="s">
        <v>514</v>
      </c>
      <c r="H9" s="240"/>
      <c r="I9" s="240"/>
      <c r="J9" s="276"/>
      <c r="K9" s="267"/>
      <c r="L9" s="265"/>
      <c r="M9" s="265"/>
      <c r="N9" s="265">
        <f t="shared" si="1"/>
        <v>0</v>
      </c>
      <c r="O9" s="265"/>
      <c r="P9" s="265"/>
      <c r="Q9" s="265"/>
      <c r="R9" s="868">
        <f t="shared" si="0"/>
        <v>0</v>
      </c>
      <c r="S9" s="869"/>
    </row>
    <row r="10" spans="2:19" s="153" customFormat="1" ht="18" customHeight="1" x14ac:dyDescent="0.15">
      <c r="B10" s="855"/>
      <c r="C10" s="852"/>
      <c r="D10" s="265" t="s">
        <v>62</v>
      </c>
      <c r="E10" s="274"/>
      <c r="F10" s="265">
        <f>'８－１　水稲算出基礎（食用倒伏しやすい品種）'!V21</f>
        <v>5806.666666666667</v>
      </c>
      <c r="G10" s="895"/>
      <c r="H10" s="896"/>
      <c r="I10" s="896"/>
      <c r="J10" s="869"/>
      <c r="K10" s="267"/>
      <c r="L10" s="265"/>
      <c r="M10" s="265"/>
      <c r="N10" s="265">
        <f t="shared" si="1"/>
        <v>0</v>
      </c>
      <c r="O10" s="265"/>
      <c r="P10" s="265"/>
      <c r="Q10" s="265"/>
      <c r="R10" s="868"/>
      <c r="S10" s="869"/>
    </row>
    <row r="11" spans="2:19" s="153" customFormat="1" ht="18" customHeight="1" thickBot="1" x14ac:dyDescent="0.2">
      <c r="B11" s="855"/>
      <c r="C11" s="852"/>
      <c r="D11" s="265" t="s">
        <v>6</v>
      </c>
      <c r="E11" s="274"/>
      <c r="F11" s="265">
        <f>'８－１　水稲算出基礎（食用倒伏しやすい品種）'!V34</f>
        <v>166.66666666666666</v>
      </c>
      <c r="G11" s="895"/>
      <c r="H11" s="896"/>
      <c r="I11" s="896"/>
      <c r="J11" s="869"/>
      <c r="K11" s="174"/>
      <c r="L11" s="159"/>
      <c r="M11" s="159"/>
      <c r="N11" s="158">
        <f t="shared" si="1"/>
        <v>0</v>
      </c>
      <c r="O11" s="160" t="s">
        <v>25</v>
      </c>
      <c r="P11" s="161">
        <f>SUM(L5:L11,P5:Q10)</f>
        <v>5100</v>
      </c>
      <c r="Q11" s="161">
        <f>R11/P11</f>
        <v>180</v>
      </c>
      <c r="R11" s="872">
        <f>SUM(N5:N11,R5:S10)</f>
        <v>918000</v>
      </c>
      <c r="S11" s="873"/>
    </row>
    <row r="12" spans="2:19" s="153" customFormat="1" ht="18" customHeight="1" thickTop="1" x14ac:dyDescent="0.15">
      <c r="B12" s="855"/>
      <c r="C12" s="852"/>
      <c r="D12" s="265" t="s">
        <v>7</v>
      </c>
      <c r="E12" s="274"/>
      <c r="F12" s="265">
        <f>J12*P11</f>
        <v>188700</v>
      </c>
      <c r="G12" s="225"/>
      <c r="H12" s="240"/>
      <c r="I12" s="525" t="s">
        <v>482</v>
      </c>
      <c r="J12" s="552">
        <v>37</v>
      </c>
      <c r="K12" s="899" t="s">
        <v>231</v>
      </c>
      <c r="L12" s="255" t="s">
        <v>179</v>
      </c>
      <c r="M12" s="256" t="s">
        <v>9</v>
      </c>
      <c r="N12" s="350" t="s">
        <v>272</v>
      </c>
      <c r="O12" s="257" t="s">
        <v>24</v>
      </c>
      <c r="P12" s="257" t="s">
        <v>27</v>
      </c>
      <c r="Q12" s="874" t="s">
        <v>28</v>
      </c>
      <c r="R12" s="875"/>
      <c r="S12" s="876"/>
    </row>
    <row r="13" spans="2:19" s="153" customFormat="1" ht="18" customHeight="1" x14ac:dyDescent="0.15">
      <c r="B13" s="855"/>
      <c r="C13" s="852"/>
      <c r="D13" s="843" t="s">
        <v>63</v>
      </c>
      <c r="E13" s="277" t="s">
        <v>205</v>
      </c>
      <c r="F13" s="410">
        <f>'６（参考）水稲資本装備'!L14*'７－１　水稲部門（倒伏しやすい品種）収支'!H13</f>
        <v>2576.1970588235295</v>
      </c>
      <c r="G13" s="225" t="s">
        <v>210</v>
      </c>
      <c r="H13" s="554">
        <v>0.01</v>
      </c>
      <c r="I13" s="897" t="s">
        <v>212</v>
      </c>
      <c r="J13" s="898"/>
      <c r="K13" s="900"/>
      <c r="L13" s="260" t="s">
        <v>150</v>
      </c>
      <c r="M13" s="254" t="s">
        <v>171</v>
      </c>
      <c r="N13" s="186">
        <v>35</v>
      </c>
      <c r="O13" s="186">
        <v>590</v>
      </c>
      <c r="P13" s="186">
        <f>N13*O13</f>
        <v>20650</v>
      </c>
      <c r="Q13" s="892" t="s">
        <v>266</v>
      </c>
      <c r="R13" s="893"/>
      <c r="S13" s="894"/>
    </row>
    <row r="14" spans="2:19" s="153" customFormat="1" ht="18" customHeight="1" x14ac:dyDescent="0.15">
      <c r="B14" s="855"/>
      <c r="C14" s="852"/>
      <c r="D14" s="844"/>
      <c r="E14" s="277" t="s">
        <v>206</v>
      </c>
      <c r="F14" s="265">
        <f>'６（参考）水稲資本装備'!L40*'７－１　水稲部門（倒伏しやすい品種）収支'!H14</f>
        <v>65288.3746130031</v>
      </c>
      <c r="G14" s="225" t="s">
        <v>210</v>
      </c>
      <c r="H14" s="554">
        <v>0.05</v>
      </c>
      <c r="I14" s="897" t="s">
        <v>212</v>
      </c>
      <c r="J14" s="898"/>
      <c r="K14" s="900"/>
      <c r="L14" s="260"/>
      <c r="M14" s="254"/>
      <c r="N14" s="186"/>
      <c r="O14" s="186"/>
      <c r="P14" s="186"/>
      <c r="Q14" s="892"/>
      <c r="R14" s="893"/>
      <c r="S14" s="894"/>
    </row>
    <row r="15" spans="2:19" s="153" customFormat="1" ht="18" customHeight="1" thickBot="1" x14ac:dyDescent="0.2">
      <c r="B15" s="855"/>
      <c r="C15" s="852"/>
      <c r="D15" s="843" t="s">
        <v>93</v>
      </c>
      <c r="E15" s="277" t="s">
        <v>205</v>
      </c>
      <c r="F15" s="265">
        <f>'６（参考）水稲資本装備'!P14</f>
        <v>14357.170588235294</v>
      </c>
      <c r="G15" s="225" t="s">
        <v>212</v>
      </c>
      <c r="H15" s="232"/>
      <c r="I15" s="232"/>
      <c r="J15" s="233"/>
      <c r="K15" s="900"/>
      <c r="L15" s="165" t="s">
        <v>29</v>
      </c>
      <c r="M15" s="164"/>
      <c r="N15" s="165"/>
      <c r="O15" s="165"/>
      <c r="P15" s="165">
        <f>SUM(P13:P14)</f>
        <v>20650</v>
      </c>
      <c r="Q15" s="883"/>
      <c r="R15" s="884"/>
      <c r="S15" s="885"/>
    </row>
    <row r="16" spans="2:19" s="153" customFormat="1" ht="18" customHeight="1" thickTop="1" x14ac:dyDescent="0.15">
      <c r="B16" s="855"/>
      <c r="C16" s="852"/>
      <c r="D16" s="845"/>
      <c r="E16" s="277" t="s">
        <v>206</v>
      </c>
      <c r="F16" s="265">
        <f>'６（参考）水稲資本装備'!P40</f>
        <v>211909.64175143739</v>
      </c>
      <c r="G16" s="225" t="s">
        <v>212</v>
      </c>
      <c r="H16" s="232"/>
      <c r="I16" s="232"/>
      <c r="J16" s="233"/>
      <c r="K16" s="900"/>
      <c r="L16" s="249" t="s">
        <v>180</v>
      </c>
      <c r="M16" s="250"/>
      <c r="N16" s="349" t="s">
        <v>272</v>
      </c>
      <c r="O16" s="423" t="s">
        <v>24</v>
      </c>
      <c r="P16" s="252" t="s">
        <v>27</v>
      </c>
      <c r="Q16" s="886" t="s">
        <v>28</v>
      </c>
      <c r="R16" s="887"/>
      <c r="S16" s="888"/>
    </row>
    <row r="17" spans="1:19" s="153" customFormat="1" ht="18" customHeight="1" x14ac:dyDescent="0.15">
      <c r="B17" s="855"/>
      <c r="C17" s="852"/>
      <c r="D17" s="844"/>
      <c r="E17" s="265" t="s">
        <v>64</v>
      </c>
      <c r="F17" s="265">
        <f>'６（参考）水稲資本装備'!P45</f>
        <v>0</v>
      </c>
      <c r="G17" s="225" t="s">
        <v>212</v>
      </c>
      <c r="H17" s="232"/>
      <c r="I17" s="232"/>
      <c r="J17" s="233"/>
      <c r="K17" s="900"/>
      <c r="L17" s="253" t="s">
        <v>186</v>
      </c>
      <c r="M17" s="254"/>
      <c r="N17" s="570" t="s">
        <v>326</v>
      </c>
      <c r="O17" s="244"/>
      <c r="P17" s="242">
        <f>'８－１　水稲算出基礎（食用倒伏しやすい品種）'!G7</f>
        <v>0</v>
      </c>
      <c r="Q17" s="877"/>
      <c r="R17" s="878"/>
      <c r="S17" s="879"/>
    </row>
    <row r="18" spans="1:19" s="153" customFormat="1" ht="18" customHeight="1" x14ac:dyDescent="0.15">
      <c r="A18" s="152"/>
      <c r="B18" s="855"/>
      <c r="C18" s="852"/>
      <c r="D18" s="857" t="s">
        <v>277</v>
      </c>
      <c r="E18" s="270" t="s">
        <v>127</v>
      </c>
      <c r="F18" s="265">
        <v>0</v>
      </c>
      <c r="G18" s="225"/>
      <c r="H18" s="232"/>
      <c r="I18" s="232"/>
      <c r="J18" s="233"/>
      <c r="K18" s="900"/>
      <c r="L18" s="253" t="s">
        <v>184</v>
      </c>
      <c r="M18" s="254"/>
      <c r="N18" s="570" t="s">
        <v>289</v>
      </c>
      <c r="O18" s="244"/>
      <c r="P18" s="242">
        <f>'８－１　水稲算出基礎（食用倒伏しやすい品種）'!G11</f>
        <v>38400</v>
      </c>
      <c r="Q18" s="877"/>
      <c r="R18" s="878"/>
      <c r="S18" s="879"/>
    </row>
    <row r="19" spans="1:19" s="153" customFormat="1" ht="18" customHeight="1" x14ac:dyDescent="0.15">
      <c r="A19" s="152"/>
      <c r="B19" s="855"/>
      <c r="C19" s="852"/>
      <c r="D19" s="857"/>
      <c r="E19" s="270" t="s">
        <v>123</v>
      </c>
      <c r="F19" s="265">
        <f>J19*'５－１　水稲（食用，加工用米，飼料用米）作業時間'!AO34</f>
        <v>0</v>
      </c>
      <c r="G19" s="225"/>
      <c r="H19" s="232"/>
      <c r="I19" s="166" t="s">
        <v>339</v>
      </c>
      <c r="J19" s="553">
        <v>0</v>
      </c>
      <c r="K19" s="900"/>
      <c r="L19" s="225" t="s">
        <v>185</v>
      </c>
      <c r="M19" s="240"/>
      <c r="N19" s="570" t="s">
        <v>289</v>
      </c>
      <c r="O19" s="244"/>
      <c r="P19" s="242">
        <f>'８－１　水稲算出基礎（食用倒伏しやすい品種）'!G16</f>
        <v>56350</v>
      </c>
      <c r="Q19" s="877"/>
      <c r="R19" s="878"/>
      <c r="S19" s="879"/>
    </row>
    <row r="20" spans="1:19" s="153" customFormat="1" ht="18" customHeight="1" x14ac:dyDescent="0.15">
      <c r="A20" s="152"/>
      <c r="B20" s="855"/>
      <c r="C20" s="852"/>
      <c r="D20" s="857"/>
      <c r="E20" s="270" t="s">
        <v>124</v>
      </c>
      <c r="F20" s="265">
        <f>J20*'５－１　水稲（食用，加工用米，飼料用米）作業時間'!AP34</f>
        <v>0</v>
      </c>
      <c r="G20" s="225"/>
      <c r="H20" s="232"/>
      <c r="I20" s="166" t="s">
        <v>340</v>
      </c>
      <c r="J20" s="413">
        <v>0</v>
      </c>
      <c r="K20" s="900"/>
      <c r="L20" s="225"/>
      <c r="M20" s="240"/>
      <c r="N20" s="570"/>
      <c r="O20" s="244"/>
      <c r="P20" s="242">
        <f>'８－１　水稲算出基礎（食用倒伏しやすい品種）'!G20</f>
        <v>0</v>
      </c>
      <c r="Q20" s="877"/>
      <c r="R20" s="878"/>
      <c r="S20" s="879"/>
    </row>
    <row r="21" spans="1:19" s="153" customFormat="1" ht="18" customHeight="1" x14ac:dyDescent="0.15">
      <c r="A21" s="152"/>
      <c r="B21" s="855"/>
      <c r="C21" s="852"/>
      <c r="D21" s="857"/>
      <c r="E21" s="270" t="s">
        <v>125</v>
      </c>
      <c r="F21" s="265">
        <f>(F19+F20)*0.012</f>
        <v>0</v>
      </c>
      <c r="G21" s="225"/>
      <c r="H21" s="232"/>
      <c r="I21" s="232"/>
      <c r="J21" s="233"/>
      <c r="K21" s="900"/>
      <c r="L21" s="225" t="s">
        <v>188</v>
      </c>
      <c r="M21" s="240"/>
      <c r="N21" s="570" t="s">
        <v>326</v>
      </c>
      <c r="O21" s="242"/>
      <c r="P21" s="242">
        <f>'８－１　水稲算出基礎（食用倒伏しやすい品種）'!G24</f>
        <v>14364.15</v>
      </c>
      <c r="Q21" s="877"/>
      <c r="R21" s="878"/>
      <c r="S21" s="879"/>
    </row>
    <row r="22" spans="1:19" s="153" customFormat="1" ht="18" customHeight="1" thickBot="1" x14ac:dyDescent="0.2">
      <c r="A22" s="152"/>
      <c r="B22" s="855"/>
      <c r="C22" s="852"/>
      <c r="D22" s="857" t="s">
        <v>65</v>
      </c>
      <c r="E22" s="270" t="s">
        <v>66</v>
      </c>
      <c r="F22" s="265">
        <f t="shared" ref="F22:F23" si="2">I22*10</f>
        <v>23760</v>
      </c>
      <c r="G22" s="225"/>
      <c r="H22" s="232"/>
      <c r="I22" s="240">
        <v>2376</v>
      </c>
      <c r="J22" s="233" t="s">
        <v>338</v>
      </c>
      <c r="K22" s="900"/>
      <c r="L22" s="165" t="s">
        <v>29</v>
      </c>
      <c r="M22" s="164"/>
      <c r="N22" s="571"/>
      <c r="O22" s="165"/>
      <c r="P22" s="165">
        <f>SUM(P17:P21)</f>
        <v>109114.15</v>
      </c>
      <c r="Q22" s="883"/>
      <c r="R22" s="884"/>
      <c r="S22" s="885"/>
    </row>
    <row r="23" spans="1:19" s="153" customFormat="1" ht="18" customHeight="1" thickTop="1" x14ac:dyDescent="0.15">
      <c r="A23" s="152"/>
      <c r="B23" s="855"/>
      <c r="C23" s="852"/>
      <c r="D23" s="857"/>
      <c r="E23" s="270" t="s">
        <v>94</v>
      </c>
      <c r="F23" s="265">
        <f t="shared" si="2"/>
        <v>50000</v>
      </c>
      <c r="G23" s="225"/>
      <c r="H23" s="232"/>
      <c r="I23" s="240">
        <v>5000</v>
      </c>
      <c r="J23" s="233" t="s">
        <v>338</v>
      </c>
      <c r="K23" s="900"/>
      <c r="L23" s="225" t="s">
        <v>181</v>
      </c>
      <c r="M23" s="240"/>
      <c r="N23" s="241" t="s">
        <v>26</v>
      </c>
      <c r="O23" s="241" t="s">
        <v>24</v>
      </c>
      <c r="P23" s="241" t="s">
        <v>27</v>
      </c>
      <c r="Q23" s="886" t="s">
        <v>28</v>
      </c>
      <c r="R23" s="887"/>
      <c r="S23" s="888"/>
    </row>
    <row r="24" spans="1:19" s="153" customFormat="1" ht="18" customHeight="1" x14ac:dyDescent="0.15">
      <c r="A24" s="152"/>
      <c r="B24" s="855"/>
      <c r="C24" s="852"/>
      <c r="D24" s="265" t="s">
        <v>67</v>
      </c>
      <c r="E24" s="274"/>
      <c r="F24" s="265">
        <f>I24*10</f>
        <v>30000</v>
      </c>
      <c r="G24" s="225"/>
      <c r="H24" s="232"/>
      <c r="I24" s="487">
        <v>3000</v>
      </c>
      <c r="J24" s="233" t="s">
        <v>338</v>
      </c>
      <c r="K24" s="900"/>
      <c r="L24" s="242" t="s">
        <v>30</v>
      </c>
      <c r="M24" s="240"/>
      <c r="N24" s="570" t="s">
        <v>328</v>
      </c>
      <c r="O24" s="242"/>
      <c r="P24" s="242">
        <f>'８－１　水稲算出基礎（食用倒伏しやすい品種）'!G38</f>
        <v>5512.1</v>
      </c>
      <c r="Q24" s="877"/>
      <c r="R24" s="878"/>
      <c r="S24" s="879"/>
    </row>
    <row r="25" spans="1:19" s="153" customFormat="1" ht="18" customHeight="1" x14ac:dyDescent="0.15">
      <c r="A25" s="152"/>
      <c r="B25" s="855"/>
      <c r="C25" s="852"/>
      <c r="D25" s="265" t="s">
        <v>183</v>
      </c>
      <c r="E25" s="274"/>
      <c r="F25" s="265">
        <f>SUM(F6:F24)/99</f>
        <v>8206.2602506212042</v>
      </c>
      <c r="G25" s="279" t="s">
        <v>233</v>
      </c>
      <c r="H25" s="293">
        <v>0.01</v>
      </c>
      <c r="I25" s="167"/>
      <c r="J25" s="16"/>
      <c r="K25" s="900"/>
      <c r="L25" s="242" t="s">
        <v>329</v>
      </c>
      <c r="M25" s="240"/>
      <c r="N25" s="570" t="s">
        <v>330</v>
      </c>
      <c r="O25" s="242"/>
      <c r="P25" s="242">
        <f>'８－１　水稲算出基礎（食用倒伏しやすい品種）'!G49</f>
        <v>4975</v>
      </c>
      <c r="Q25" s="877"/>
      <c r="R25" s="878"/>
      <c r="S25" s="879"/>
    </row>
    <row r="26" spans="1:19" s="153" customFormat="1" ht="18" customHeight="1" x14ac:dyDescent="0.15">
      <c r="A26" s="152"/>
      <c r="B26" s="855"/>
      <c r="C26" s="853"/>
      <c r="D26" s="863" t="s">
        <v>224</v>
      </c>
      <c r="E26" s="864"/>
      <c r="F26" s="184">
        <f>SUM(F6:F25)</f>
        <v>820626.02506212052</v>
      </c>
      <c r="G26" s="234"/>
      <c r="H26" s="167"/>
      <c r="I26" s="167"/>
      <c r="J26" s="170"/>
      <c r="K26" s="900"/>
      <c r="L26" s="242" t="s">
        <v>32</v>
      </c>
      <c r="M26" s="240"/>
      <c r="N26" s="570" t="s">
        <v>326</v>
      </c>
      <c r="O26" s="242"/>
      <c r="P26" s="242">
        <f>'８－１　水稲算出基礎（食用倒伏しやすい品種）'!G53</f>
        <v>24330</v>
      </c>
      <c r="Q26" s="877"/>
      <c r="R26" s="878"/>
      <c r="S26" s="879"/>
    </row>
    <row r="27" spans="1:19" s="153" customFormat="1" ht="18" customHeight="1" x14ac:dyDescent="0.15">
      <c r="A27" s="152"/>
      <c r="B27" s="855"/>
      <c r="C27" s="858" t="s">
        <v>211</v>
      </c>
      <c r="D27" s="767" t="s">
        <v>68</v>
      </c>
      <c r="E27" s="56" t="s">
        <v>3</v>
      </c>
      <c r="F27" s="158">
        <f>P11/30*J27</f>
        <v>13600</v>
      </c>
      <c r="G27" s="253"/>
      <c r="H27" s="240"/>
      <c r="I27" s="163" t="s">
        <v>346</v>
      </c>
      <c r="J27" s="414">
        <v>80</v>
      </c>
      <c r="K27" s="900"/>
      <c r="L27" s="242" t="s">
        <v>327</v>
      </c>
      <c r="M27" s="240"/>
      <c r="N27" s="570" t="s">
        <v>330</v>
      </c>
      <c r="O27" s="242"/>
      <c r="P27" s="242">
        <f>'８－１　水稲算出基礎（食用倒伏しやすい品種）'!G57</f>
        <v>27940.166666666664</v>
      </c>
      <c r="Q27" s="877"/>
      <c r="R27" s="878"/>
      <c r="S27" s="879"/>
    </row>
    <row r="28" spans="1:19" s="153" customFormat="1" ht="18" customHeight="1" thickBot="1" x14ac:dyDescent="0.2">
      <c r="A28" s="152"/>
      <c r="B28" s="855"/>
      <c r="C28" s="859"/>
      <c r="D28" s="770"/>
      <c r="E28" s="56" t="s">
        <v>4</v>
      </c>
      <c r="F28" s="185">
        <v>0</v>
      </c>
      <c r="G28" s="253"/>
      <c r="H28" s="280"/>
      <c r="I28" s="280"/>
      <c r="J28" s="281"/>
      <c r="K28" s="900"/>
      <c r="L28" s="165" t="s">
        <v>29</v>
      </c>
      <c r="M28" s="164"/>
      <c r="N28" s="571"/>
      <c r="O28" s="165"/>
      <c r="P28" s="165">
        <f>SUM(P24:P27)</f>
        <v>62757.266666666663</v>
      </c>
      <c r="Q28" s="883"/>
      <c r="R28" s="884"/>
      <c r="S28" s="885"/>
    </row>
    <row r="29" spans="1:19" s="153" customFormat="1" ht="18" customHeight="1" thickTop="1" x14ac:dyDescent="0.15">
      <c r="A29" s="152"/>
      <c r="B29" s="855"/>
      <c r="C29" s="859"/>
      <c r="D29" s="768"/>
      <c r="E29" s="56" t="s">
        <v>8</v>
      </c>
      <c r="F29" s="158">
        <f>P11/30*J29</f>
        <v>21250</v>
      </c>
      <c r="G29" s="253"/>
      <c r="H29" s="168"/>
      <c r="I29" s="280" t="s">
        <v>347</v>
      </c>
      <c r="J29" s="415">
        <v>125</v>
      </c>
      <c r="K29" s="900"/>
      <c r="L29" s="225" t="s">
        <v>182</v>
      </c>
      <c r="M29" s="240"/>
      <c r="N29" s="241" t="s">
        <v>26</v>
      </c>
      <c r="O29" s="241" t="s">
        <v>24</v>
      </c>
      <c r="P29" s="241" t="s">
        <v>27</v>
      </c>
      <c r="Q29" s="886" t="s">
        <v>28</v>
      </c>
      <c r="R29" s="887"/>
      <c r="S29" s="888"/>
    </row>
    <row r="30" spans="1:19" s="153" customFormat="1" ht="18" customHeight="1" x14ac:dyDescent="0.15">
      <c r="A30" s="152"/>
      <c r="B30" s="855"/>
      <c r="C30" s="859"/>
      <c r="D30" s="56" t="s">
        <v>69</v>
      </c>
      <c r="E30" s="57"/>
      <c r="F30" s="158">
        <v>0</v>
      </c>
      <c r="G30" s="253"/>
      <c r="H30" s="168"/>
      <c r="I30" s="280"/>
      <c r="J30" s="282"/>
      <c r="K30" s="900"/>
      <c r="L30" s="242" t="s">
        <v>172</v>
      </c>
      <c r="M30" s="243"/>
      <c r="N30" s="570" t="s">
        <v>331</v>
      </c>
      <c r="O30" s="244"/>
      <c r="P30" s="242">
        <f>'８－１　水稲算出基礎（食用倒伏しやすい品種）'!N12</f>
        <v>19311.599999999999</v>
      </c>
      <c r="Q30" s="889"/>
      <c r="R30" s="890"/>
      <c r="S30" s="891"/>
    </row>
    <row r="31" spans="1:19" s="153" customFormat="1" ht="18" customHeight="1" x14ac:dyDescent="0.15">
      <c r="A31" s="152"/>
      <c r="B31" s="855"/>
      <c r="C31" s="859"/>
      <c r="D31" s="736" t="s">
        <v>278</v>
      </c>
      <c r="E31" s="66" t="s">
        <v>127</v>
      </c>
      <c r="F31" s="158">
        <v>0</v>
      </c>
      <c r="G31" s="253"/>
      <c r="H31" s="283"/>
      <c r="I31" s="283"/>
      <c r="J31" s="284"/>
      <c r="K31" s="900"/>
      <c r="L31" s="242" t="s">
        <v>173</v>
      </c>
      <c r="M31" s="243"/>
      <c r="N31" s="570" t="s">
        <v>332</v>
      </c>
      <c r="O31" s="244"/>
      <c r="P31" s="242">
        <f>'８－１　水稲算出基礎（食用倒伏しやすい品種）'!N16</f>
        <v>1463.6159999999998</v>
      </c>
      <c r="Q31" s="889"/>
      <c r="R31" s="890"/>
      <c r="S31" s="891"/>
    </row>
    <row r="32" spans="1:19" s="153" customFormat="1" ht="18" customHeight="1" x14ac:dyDescent="0.15">
      <c r="A32" s="152"/>
      <c r="B32" s="855"/>
      <c r="C32" s="859"/>
      <c r="D32" s="736"/>
      <c r="E32" s="66" t="s">
        <v>126</v>
      </c>
      <c r="F32" s="158">
        <v>0</v>
      </c>
      <c r="G32" s="253"/>
      <c r="H32" s="285"/>
      <c r="I32" s="285"/>
      <c r="J32" s="286"/>
      <c r="K32" s="900"/>
      <c r="L32" s="242" t="s">
        <v>175</v>
      </c>
      <c r="M32" s="240"/>
      <c r="N32" s="572"/>
      <c r="O32" s="244"/>
      <c r="P32" s="242">
        <f>SUM(P30:P31)*R32</f>
        <v>6232.5647999999992</v>
      </c>
      <c r="Q32" s="245" t="s">
        <v>174</v>
      </c>
      <c r="R32" s="246">
        <v>0.3</v>
      </c>
      <c r="S32" s="169"/>
    </row>
    <row r="33" spans="1:23" ht="18" customHeight="1" x14ac:dyDescent="0.15">
      <c r="B33" s="855"/>
      <c r="C33" s="859"/>
      <c r="D33" s="56" t="s">
        <v>70</v>
      </c>
      <c r="E33" s="67"/>
      <c r="F33" s="158">
        <v>0</v>
      </c>
      <c r="G33" s="253"/>
      <c r="H33" s="287"/>
      <c r="I33" s="288"/>
      <c r="J33" s="282"/>
      <c r="K33" s="900"/>
      <c r="L33" s="242" t="s">
        <v>176</v>
      </c>
      <c r="M33" s="243"/>
      <c r="N33" s="570"/>
      <c r="O33" s="244"/>
      <c r="P33" s="242">
        <f>'８－１　水稲算出基礎（食用倒伏しやすい品種）'!N20</f>
        <v>0</v>
      </c>
      <c r="Q33" s="877"/>
      <c r="R33" s="878"/>
      <c r="S33" s="879"/>
    </row>
    <row r="34" spans="1:23" ht="18" customHeight="1" x14ac:dyDescent="0.15">
      <c r="B34" s="855"/>
      <c r="C34" s="859"/>
      <c r="D34" s="56" t="s">
        <v>95</v>
      </c>
      <c r="E34" s="67"/>
      <c r="F34" s="158">
        <v>0</v>
      </c>
      <c r="G34" s="253"/>
      <c r="H34" s="289"/>
      <c r="I34" s="290"/>
      <c r="J34" s="291"/>
      <c r="K34" s="900"/>
      <c r="L34" s="242" t="s">
        <v>177</v>
      </c>
      <c r="M34" s="243"/>
      <c r="N34" s="570"/>
      <c r="O34" s="244"/>
      <c r="P34" s="242">
        <f>'８－１　水稲算出基礎（食用倒伏しやすい品種）'!N24</f>
        <v>0</v>
      </c>
      <c r="Q34" s="877"/>
      <c r="R34" s="878"/>
      <c r="S34" s="879"/>
    </row>
    <row r="35" spans="1:23" ht="18" customHeight="1" x14ac:dyDescent="0.15">
      <c r="B35" s="855"/>
      <c r="C35" s="859"/>
      <c r="D35" s="56" t="s">
        <v>130</v>
      </c>
      <c r="E35" s="57"/>
      <c r="F35" s="185">
        <f>'８－１　水稲算出基礎（食用倒伏しやすい品種）'!V57</f>
        <v>9334</v>
      </c>
      <c r="G35" s="341"/>
      <c r="H35" s="339"/>
      <c r="I35" s="339"/>
      <c r="J35" s="340"/>
      <c r="K35" s="900"/>
      <c r="L35" s="242" t="s">
        <v>276</v>
      </c>
      <c r="M35" s="243"/>
      <c r="N35" s="570"/>
      <c r="O35" s="244"/>
      <c r="P35" s="242">
        <f>'８－１　水稲算出基礎（食用倒伏しやすい品種）'!N28</f>
        <v>0</v>
      </c>
      <c r="Q35" s="877"/>
      <c r="R35" s="878"/>
      <c r="S35" s="879"/>
    </row>
    <row r="36" spans="1:23" ht="18" customHeight="1" x14ac:dyDescent="0.15">
      <c r="B36" s="855"/>
      <c r="C36" s="859"/>
      <c r="D36" s="77" t="s">
        <v>96</v>
      </c>
      <c r="E36" s="78"/>
      <c r="F36" s="292">
        <v>0</v>
      </c>
      <c r="G36" s="225"/>
      <c r="H36" s="289"/>
      <c r="I36" s="290"/>
      <c r="J36" s="282"/>
      <c r="K36" s="900"/>
      <c r="L36" s="242" t="s">
        <v>178</v>
      </c>
      <c r="M36" s="240"/>
      <c r="N36" s="570" t="s">
        <v>333</v>
      </c>
      <c r="O36" s="244"/>
      <c r="P36" s="242">
        <f>'８－１　水稲算出基礎（食用倒伏しやすい品種）'!N32</f>
        <v>325.84999999999997</v>
      </c>
      <c r="Q36" s="877"/>
      <c r="R36" s="878"/>
      <c r="S36" s="879"/>
    </row>
    <row r="37" spans="1:23" ht="18" customHeight="1" thickBot="1" x14ac:dyDescent="0.2">
      <c r="B37" s="855"/>
      <c r="C37" s="859"/>
      <c r="D37" s="56" t="s">
        <v>71</v>
      </c>
      <c r="E37" s="57"/>
      <c r="F37" s="185">
        <f>'８－１　水稲算出基礎（食用倒伏しやすい品種）'!N57</f>
        <v>2478.6714953560372</v>
      </c>
      <c r="G37" s="341"/>
      <c r="H37" s="339"/>
      <c r="I37" s="339"/>
      <c r="J37" s="340"/>
      <c r="K37" s="901"/>
      <c r="L37" s="177" t="s">
        <v>29</v>
      </c>
      <c r="M37" s="176"/>
      <c r="N37" s="177"/>
      <c r="O37" s="177"/>
      <c r="P37" s="177">
        <f>SUM(P30:P36)</f>
        <v>27333.630799999995</v>
      </c>
      <c r="Q37" s="880"/>
      <c r="R37" s="881"/>
      <c r="S37" s="882"/>
    </row>
    <row r="38" spans="1:23" s="171" customFormat="1" ht="18" customHeight="1" x14ac:dyDescent="0.15">
      <c r="A38" s="152"/>
      <c r="B38" s="855"/>
      <c r="C38" s="859"/>
      <c r="D38" s="56" t="s">
        <v>0</v>
      </c>
      <c r="E38" s="67"/>
      <c r="F38" s="185">
        <v>0</v>
      </c>
      <c r="G38" s="15"/>
      <c r="H38" s="236"/>
      <c r="I38" s="237"/>
      <c r="J38" s="235"/>
    </row>
    <row r="39" spans="1:23" s="171" customFormat="1" ht="18" customHeight="1" thickBot="1" x14ac:dyDescent="0.2">
      <c r="A39" s="152"/>
      <c r="B39" s="856"/>
      <c r="C39" s="860"/>
      <c r="D39" s="861" t="s">
        <v>223</v>
      </c>
      <c r="E39" s="862"/>
      <c r="F39" s="227">
        <f>SUM(F27:F38)</f>
        <v>46662.671495356037</v>
      </c>
      <c r="G39" s="228"/>
      <c r="H39" s="229"/>
      <c r="I39" s="230"/>
      <c r="J39" s="231"/>
      <c r="T39" s="172"/>
    </row>
    <row r="40" spans="1:23" s="171" customFormat="1" ht="18" customHeight="1" x14ac:dyDescent="0.15">
      <c r="A40" s="152"/>
      <c r="B40" s="832" t="s">
        <v>227</v>
      </c>
      <c r="C40" s="835" t="s">
        <v>73</v>
      </c>
      <c r="D40" s="222" t="s">
        <v>129</v>
      </c>
      <c r="E40" s="223"/>
      <c r="F40" s="224">
        <f>J40*10</f>
        <v>75000</v>
      </c>
      <c r="G40" s="830" t="s">
        <v>517</v>
      </c>
      <c r="H40" s="831"/>
      <c r="I40" s="831"/>
      <c r="J40" s="416">
        <v>7500</v>
      </c>
      <c r="T40" s="153"/>
      <c r="U40" s="153"/>
      <c r="V40" s="153"/>
      <c r="W40" s="153"/>
    </row>
    <row r="41" spans="1:23" s="171" customFormat="1" ht="18" customHeight="1" x14ac:dyDescent="0.15">
      <c r="A41" s="152"/>
      <c r="B41" s="833"/>
      <c r="C41" s="836"/>
      <c r="D41" s="56" t="s">
        <v>128</v>
      </c>
      <c r="E41" s="57"/>
      <c r="F41" s="217">
        <v>0</v>
      </c>
      <c r="G41" s="573"/>
      <c r="H41" s="574"/>
      <c r="I41" s="574"/>
      <c r="J41" s="238"/>
      <c r="T41" s="173"/>
      <c r="U41" s="174"/>
      <c r="V41" s="175"/>
      <c r="W41" s="173"/>
    </row>
    <row r="42" spans="1:23" s="171" customFormat="1" ht="18" customHeight="1" x14ac:dyDescent="0.15">
      <c r="A42" s="152"/>
      <c r="B42" s="833"/>
      <c r="C42" s="837"/>
      <c r="D42" s="77" t="s">
        <v>72</v>
      </c>
      <c r="E42" s="57"/>
      <c r="F42" s="217">
        <v>0</v>
      </c>
      <c r="G42" s="225"/>
      <c r="H42" s="178"/>
      <c r="I42" s="178"/>
      <c r="J42" s="238"/>
      <c r="T42" s="153"/>
      <c r="U42" s="153"/>
      <c r="V42" s="153"/>
      <c r="W42" s="153"/>
    </row>
    <row r="43" spans="1:23" s="171" customFormat="1" ht="18" customHeight="1" x14ac:dyDescent="0.15">
      <c r="B43" s="833"/>
      <c r="C43" s="838" t="s">
        <v>226</v>
      </c>
      <c r="D43" s="77" t="s">
        <v>279</v>
      </c>
      <c r="E43" s="78"/>
      <c r="F43" s="217">
        <v>0</v>
      </c>
      <c r="G43" s="225"/>
      <c r="H43" s="178"/>
      <c r="I43" s="178"/>
      <c r="J43" s="238"/>
      <c r="T43" s="154"/>
      <c r="U43" s="172"/>
      <c r="V43" s="153"/>
      <c r="W43" s="173"/>
    </row>
    <row r="44" spans="1:23" s="171" customFormat="1" ht="18" customHeight="1" x14ac:dyDescent="0.15">
      <c r="B44" s="833"/>
      <c r="C44" s="839"/>
      <c r="D44" s="79" t="s">
        <v>1</v>
      </c>
      <c r="E44" s="80"/>
      <c r="F44" s="217">
        <v>0</v>
      </c>
      <c r="G44" s="225"/>
      <c r="H44" s="178"/>
      <c r="I44" s="178"/>
      <c r="J44" s="238"/>
      <c r="T44" s="154"/>
      <c r="U44" s="172"/>
      <c r="V44" s="153"/>
      <c r="W44" s="173"/>
    </row>
    <row r="45" spans="1:23" s="171" customFormat="1" ht="18" customHeight="1" thickBot="1" x14ac:dyDescent="0.2">
      <c r="B45" s="834"/>
      <c r="C45" s="840" t="s">
        <v>98</v>
      </c>
      <c r="D45" s="841"/>
      <c r="E45" s="842"/>
      <c r="F45" s="218">
        <f>SUM(F40:F42)-SUM(F43:F44)</f>
        <v>75000</v>
      </c>
      <c r="G45" s="179"/>
      <c r="H45" s="180"/>
      <c r="I45" s="180"/>
      <c r="J45" s="239"/>
      <c r="T45" s="153"/>
      <c r="U45" s="153"/>
      <c r="V45" s="174"/>
      <c r="W45" s="153"/>
    </row>
  </sheetData>
  <mergeCells count="57">
    <mergeCell ref="G10:J10"/>
    <mergeCell ref="Q13:S13"/>
    <mergeCell ref="Q17:S17"/>
    <mergeCell ref="Q18:S18"/>
    <mergeCell ref="Q19:S19"/>
    <mergeCell ref="R10:S10"/>
    <mergeCell ref="I13:J13"/>
    <mergeCell ref="I14:J14"/>
    <mergeCell ref="K12:K37"/>
    <mergeCell ref="Q20:S20"/>
    <mergeCell ref="Q21:S21"/>
    <mergeCell ref="G11:J11"/>
    <mergeCell ref="Q33:S33"/>
    <mergeCell ref="Q34:S34"/>
    <mergeCell ref="Q22:S22"/>
    <mergeCell ref="Q23:S23"/>
    <mergeCell ref="R11:S11"/>
    <mergeCell ref="Q12:S12"/>
    <mergeCell ref="Q36:S36"/>
    <mergeCell ref="Q37:S37"/>
    <mergeCell ref="Q27:S27"/>
    <mergeCell ref="Q28:S28"/>
    <mergeCell ref="Q29:S29"/>
    <mergeCell ref="Q30:S30"/>
    <mergeCell ref="Q31:S31"/>
    <mergeCell ref="Q35:S35"/>
    <mergeCell ref="Q24:S24"/>
    <mergeCell ref="Q25:S25"/>
    <mergeCell ref="Q26:S26"/>
    <mergeCell ref="Q16:S16"/>
    <mergeCell ref="Q14:S14"/>
    <mergeCell ref="Q15:S15"/>
    <mergeCell ref="K3:S3"/>
    <mergeCell ref="R6:S6"/>
    <mergeCell ref="R7:S7"/>
    <mergeCell ref="R8:S8"/>
    <mergeCell ref="R9:S9"/>
    <mergeCell ref="R4:S4"/>
    <mergeCell ref="R5:S5"/>
    <mergeCell ref="D13:D14"/>
    <mergeCell ref="D15:D17"/>
    <mergeCell ref="B4:C5"/>
    <mergeCell ref="B3:E3"/>
    <mergeCell ref="C6:C26"/>
    <mergeCell ref="B6:B39"/>
    <mergeCell ref="D18:D21"/>
    <mergeCell ref="D22:D23"/>
    <mergeCell ref="C27:C39"/>
    <mergeCell ref="D27:D29"/>
    <mergeCell ref="D31:D32"/>
    <mergeCell ref="D39:E39"/>
    <mergeCell ref="D26:E26"/>
    <mergeCell ref="G40:I40"/>
    <mergeCell ref="B40:B45"/>
    <mergeCell ref="C40:C42"/>
    <mergeCell ref="C43:C44"/>
    <mergeCell ref="C45:E45"/>
  </mergeCells>
  <phoneticPr fontId="6"/>
  <pageMargins left="0.7874015748031496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6</vt:i4>
      </vt:variant>
    </vt:vector>
  </HeadingPairs>
  <TitlesOfParts>
    <vt:vector size="21" baseType="lpstr">
      <vt:lpstr>１　対象経営の概要，２　前提条件</vt:lpstr>
      <vt:lpstr>３－１　水稲（食用米）標準技術</vt:lpstr>
      <vt:lpstr>３－２　水稲（加工米）標準技術</vt:lpstr>
      <vt:lpstr>４　経営収支</vt:lpstr>
      <vt:lpstr>５－１　水稲（食用，加工用米，飼料用米）作業時間</vt:lpstr>
      <vt:lpstr>６　固定資本装備と減価償却費</vt:lpstr>
      <vt:lpstr>６（参考）水稲資本装備</vt:lpstr>
      <vt:lpstr>６(参考）作業受委託根拠</vt:lpstr>
      <vt:lpstr>７－１　水稲部門（倒伏しやすい品種）収支</vt:lpstr>
      <vt:lpstr>７－２  水稲部門（加工用）収支</vt:lpstr>
      <vt:lpstr>７－３　水稲部門（作業受託）収支 </vt:lpstr>
      <vt:lpstr>８－１　水稲算出基礎（食用倒伏しやすい品種）</vt:lpstr>
      <vt:lpstr>８－２　水稲算出基礎（加工用品種）</vt:lpstr>
      <vt:lpstr>８－３　水稲算出基礎（作業受託）</vt:lpstr>
      <vt:lpstr>Sheet1</vt:lpstr>
      <vt:lpstr>'５－１　水稲（食用，加工用米，飼料用米）作業時間'!Print_Area</vt:lpstr>
      <vt:lpstr>'６　固定資本装備と減価償却費'!Print_Area</vt:lpstr>
      <vt:lpstr>'６（参考）水稲資本装備'!Print_Area</vt:lpstr>
      <vt:lpstr>'７－１　水稲部門（倒伏しやすい品種）収支'!Print_Area</vt:lpstr>
      <vt:lpstr>'７－２  水稲部門（加工用）収支'!Print_Area</vt:lpstr>
      <vt:lpstr>'７－３　水稲部門（作業受託）収支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2015-02-16T06:01:10Z</cp:lastPrinted>
  <dcterms:created xsi:type="dcterms:W3CDTF">2005-02-26T02:20:11Z</dcterms:created>
  <dcterms:modified xsi:type="dcterms:W3CDTF">2015-03-27T09:49:21Z</dcterms:modified>
</cp:coreProperties>
</file>