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9690" yWindow="-15" windowWidth="9525" windowHeight="8055"/>
  </bookViews>
  <sheets>
    <sheet name="１　対象経営の概要，２　前提条件" sheetId="19" r:id="rId1"/>
    <sheet name="３－１　水稲（こいもみじ）標準技術" sheetId="65" r:id="rId2"/>
    <sheet name="３－２　水稲（コシヒカリ）標準技術" sheetId="64" r:id="rId3"/>
    <sheet name="３－３　水稲（食用米）標準技術" sheetId="24" r:id="rId4"/>
    <sheet name="３－４　水稲（飼料用米）標準技術" sheetId="54" r:id="rId5"/>
    <sheet name="４　経営収支" sheetId="22" r:id="rId6"/>
    <sheet name="５－１　水稲（こいもみじ）作業時間" sheetId="27" r:id="rId7"/>
    <sheet name="５－２　水稲（コシヒカリ）作業時間" sheetId="28" r:id="rId8"/>
    <sheet name="５－３　水稲（あきろまん）作業時間" sheetId="44" r:id="rId9"/>
    <sheet name="５－４　水稲（飼料用米）作業時間" sheetId="29" r:id="rId10"/>
    <sheet name="６　資本装備と減価償却" sheetId="30" r:id="rId11"/>
    <sheet name="７－１　水稲部門（こいもみじ）収支" sheetId="35" r:id="rId12"/>
    <sheet name="７－２　水稲部門（コシヒカリ）収支 " sheetId="45" r:id="rId13"/>
    <sheet name="７－３　水稲部門（あきろまん）収支" sheetId="37" r:id="rId14"/>
    <sheet name="７－４　水稲部門（飼料用米）収支" sheetId="39" r:id="rId15"/>
    <sheet name="８－１　水稲算出基礎（こいもみじ）" sheetId="36" r:id="rId16"/>
    <sheet name="８－２　水稲算出基礎（コシヒカリ） " sheetId="59" r:id="rId17"/>
    <sheet name="８－３　水稲算出基礎（あきろまん）" sheetId="60" r:id="rId18"/>
    <sheet name="８－４　水稲算出基礎（飼料用米）" sheetId="61" r:id="rId19"/>
    <sheet name="Sheet1" sheetId="66" r:id="rId20"/>
  </sheets>
  <definedNames>
    <definedName name="_1__123Graph_Aｸﾞﾗﾌ_1" localSheetId="16" hidden="1">#REF!</definedName>
    <definedName name="_1__123Graph_Aｸﾞﾗﾌ_1" localSheetId="17" hidden="1">#REF!</definedName>
    <definedName name="_1__123Graph_Aｸﾞﾗﾌ_1" localSheetId="18" hidden="1">#REF!</definedName>
    <definedName name="_1__123Graph_Aｸﾞﾗﾌ_1" hidden="1">#REF!</definedName>
    <definedName name="_2__123Graph_Bｸﾞﾗﾌ_1" localSheetId="16" hidden="1">#REF!</definedName>
    <definedName name="_2__123Graph_Bｸﾞﾗﾌ_1" localSheetId="17" hidden="1">#REF!</definedName>
    <definedName name="_2__123Graph_Bｸﾞﾗﾌ_1" localSheetId="18" hidden="1">#REF!</definedName>
    <definedName name="_2__123Graph_Bｸﾞﾗﾌ_1" hidden="1">#REF!</definedName>
    <definedName name="_3__123Graph_Cｸﾞﾗﾌ_1" localSheetId="16" hidden="1">#REF!</definedName>
    <definedName name="_3__123Graph_Cｸﾞﾗﾌ_1" localSheetId="17" hidden="1">#REF!</definedName>
    <definedName name="_3__123Graph_Cｸﾞﾗﾌ_1" localSheetId="18" hidden="1">#REF!</definedName>
    <definedName name="_3__123Graph_Cｸﾞﾗﾌ_1" hidden="1">#REF!</definedName>
    <definedName name="_4__123Graph_Dｸﾞﾗﾌ_1" localSheetId="16" hidden="1">#REF!</definedName>
    <definedName name="_4__123Graph_Dｸﾞﾗﾌ_1" localSheetId="17" hidden="1">#REF!</definedName>
    <definedName name="_4__123Graph_Dｸﾞﾗﾌ_1" localSheetId="18" hidden="1">#REF!</definedName>
    <definedName name="_4__123Graph_Dｸﾞﾗﾌ_1" hidden="1">#REF!</definedName>
    <definedName name="_5__123Graph_Eｸﾞﾗﾌ_1" localSheetId="16" hidden="1">#REF!</definedName>
    <definedName name="_5__123Graph_Eｸﾞﾗﾌ_1" localSheetId="17" hidden="1">#REF!</definedName>
    <definedName name="_5__123Graph_Eｸﾞﾗﾌ_1" localSheetId="18" hidden="1">#REF!</definedName>
    <definedName name="_5__123Graph_Eｸﾞﾗﾌ_1" hidden="1">#REF!</definedName>
    <definedName name="_6__123Graph_Fｸﾞﾗﾌ_1" localSheetId="16" hidden="1">#REF!</definedName>
    <definedName name="_6__123Graph_Fｸﾞﾗﾌ_1" localSheetId="17" hidden="1">#REF!</definedName>
    <definedName name="_6__123Graph_Fｸﾞﾗﾌ_1" localSheetId="18" hidden="1">#REF!</definedName>
    <definedName name="_6__123Graph_Fｸﾞﾗﾌ_1" hidden="1">#REF!</definedName>
    <definedName name="_a1" localSheetId="4" hidden="1">#REF!</definedName>
    <definedName name="_a1" localSheetId="8" hidden="1">#REF!</definedName>
    <definedName name="_a1" localSheetId="12" hidden="1">#REF!</definedName>
    <definedName name="_a1" localSheetId="16" hidden="1">#REF!</definedName>
    <definedName name="_a1" localSheetId="17" hidden="1">#REF!</definedName>
    <definedName name="_a1" localSheetId="18" hidden="1">#REF!</definedName>
    <definedName name="_a1" hidden="1">#REF!</definedName>
    <definedName name="_a2" localSheetId="4" hidden="1">#REF!</definedName>
    <definedName name="_a2" localSheetId="8" hidden="1">#REF!</definedName>
    <definedName name="_a2" localSheetId="12" hidden="1">#REF!</definedName>
    <definedName name="_a2" localSheetId="16" hidden="1">#REF!</definedName>
    <definedName name="_a2" localSheetId="17" hidden="1">#REF!</definedName>
    <definedName name="_a2" localSheetId="18" hidden="1">#REF!</definedName>
    <definedName name="_a2" hidden="1">#REF!</definedName>
    <definedName name="_a3" localSheetId="4" hidden="1">#REF!</definedName>
    <definedName name="_a3" localSheetId="8" hidden="1">#REF!</definedName>
    <definedName name="_a3" localSheetId="12" hidden="1">#REF!</definedName>
    <definedName name="_a3" localSheetId="16" hidden="1">#REF!</definedName>
    <definedName name="_a3" localSheetId="17" hidden="1">#REF!</definedName>
    <definedName name="_a3" localSheetId="18" hidden="1">#REF!</definedName>
    <definedName name="_a3" hidden="1">#REF!</definedName>
    <definedName name="_a4" localSheetId="4" hidden="1">#REF!</definedName>
    <definedName name="_a4" localSheetId="8" hidden="1">#REF!</definedName>
    <definedName name="_a4" localSheetId="12" hidden="1">#REF!</definedName>
    <definedName name="_a4" localSheetId="16" hidden="1">#REF!</definedName>
    <definedName name="_a4" localSheetId="17" hidden="1">#REF!</definedName>
    <definedName name="_a4" localSheetId="18" hidden="1">#REF!</definedName>
    <definedName name="_a4" hidden="1">#REF!</definedName>
    <definedName name="_a5" localSheetId="4" hidden="1">#REF!</definedName>
    <definedName name="_a5" localSheetId="8" hidden="1">#REF!</definedName>
    <definedName name="_a5" localSheetId="12" hidden="1">#REF!</definedName>
    <definedName name="_a5" localSheetId="16" hidden="1">#REF!</definedName>
    <definedName name="_a5" localSheetId="17" hidden="1">#REF!</definedName>
    <definedName name="_a5" localSheetId="18" hidden="1">#REF!</definedName>
    <definedName name="_a5" hidden="1">#REF!</definedName>
    <definedName name="_a6" localSheetId="4" hidden="1">#REF!</definedName>
    <definedName name="_a6" localSheetId="8" hidden="1">#REF!</definedName>
    <definedName name="_a6" localSheetId="12" hidden="1">#REF!</definedName>
    <definedName name="_a6" localSheetId="16" hidden="1">#REF!</definedName>
    <definedName name="_a6" localSheetId="17" hidden="1">#REF!</definedName>
    <definedName name="_a6" localSheetId="18" hidden="1">#REF!</definedName>
    <definedName name="_a6" hidden="1">#REF!</definedName>
    <definedName name="_a7" localSheetId="4" hidden="1">#REF!</definedName>
    <definedName name="_a7" localSheetId="8" hidden="1">#REF!</definedName>
    <definedName name="_a7" localSheetId="12" hidden="1">#REF!</definedName>
    <definedName name="_a7" localSheetId="16" hidden="1">#REF!</definedName>
    <definedName name="_a7" localSheetId="17" hidden="1">#REF!</definedName>
    <definedName name="_a7" localSheetId="18" hidden="1">#REF!</definedName>
    <definedName name="_a7" hidden="1">#REF!</definedName>
    <definedName name="aaa" localSheetId="4" hidden="1">#REF!</definedName>
    <definedName name="aaa" localSheetId="8" hidden="1">#REF!</definedName>
    <definedName name="aaa" localSheetId="12" hidden="1">#REF!</definedName>
    <definedName name="aaa" localSheetId="16" hidden="1">#REF!</definedName>
    <definedName name="aaa" localSheetId="17" hidden="1">#REF!</definedName>
    <definedName name="aaa" localSheetId="18" hidden="1">#REF!</definedName>
    <definedName name="aaa" hidden="1">#REF!</definedName>
    <definedName name="bbb" localSheetId="4" hidden="1">#REF!</definedName>
    <definedName name="bbb" localSheetId="8" hidden="1">#REF!</definedName>
    <definedName name="bbb" localSheetId="12" hidden="1">#REF!</definedName>
    <definedName name="bbb" localSheetId="16" hidden="1">#REF!</definedName>
    <definedName name="bbb" localSheetId="17" hidden="1">#REF!</definedName>
    <definedName name="bbb" localSheetId="18" hidden="1">#REF!</definedName>
    <definedName name="bbb" hidden="1">#REF!</definedName>
    <definedName name="ccc" localSheetId="4" hidden="1">#REF!</definedName>
    <definedName name="ccc" localSheetId="8" hidden="1">#REF!</definedName>
    <definedName name="ccc" localSheetId="12" hidden="1">#REF!</definedName>
    <definedName name="ccc" localSheetId="16" hidden="1">#REF!</definedName>
    <definedName name="ccc" localSheetId="17" hidden="1">#REF!</definedName>
    <definedName name="ccc" localSheetId="18" hidden="1">#REF!</definedName>
    <definedName name="ccc" hidden="1">#REF!</definedName>
    <definedName name="ddd" localSheetId="4" hidden="1">#REF!</definedName>
    <definedName name="ddd" localSheetId="8" hidden="1">#REF!</definedName>
    <definedName name="ddd" localSheetId="12" hidden="1">#REF!</definedName>
    <definedName name="ddd" localSheetId="16" hidden="1">#REF!</definedName>
    <definedName name="ddd" localSheetId="17" hidden="1">#REF!</definedName>
    <definedName name="ddd" localSheetId="18" hidden="1">#REF!</definedName>
    <definedName name="ddd" hidden="1">#REF!</definedName>
    <definedName name="eee" localSheetId="4" hidden="1">#REF!</definedName>
    <definedName name="eee" localSheetId="8" hidden="1">#REF!</definedName>
    <definedName name="eee" localSheetId="12" hidden="1">#REF!</definedName>
    <definedName name="eee" localSheetId="16" hidden="1">#REF!</definedName>
    <definedName name="eee" localSheetId="17" hidden="1">#REF!</definedName>
    <definedName name="eee" localSheetId="18" hidden="1">#REF!</definedName>
    <definedName name="eee" hidden="1">#REF!</definedName>
    <definedName name="fff" localSheetId="4" hidden="1">#REF!</definedName>
    <definedName name="fff" localSheetId="8" hidden="1">#REF!</definedName>
    <definedName name="fff" localSheetId="12" hidden="1">#REF!</definedName>
    <definedName name="fff" localSheetId="16" hidden="1">#REF!</definedName>
    <definedName name="fff" localSheetId="17" hidden="1">#REF!</definedName>
    <definedName name="fff" localSheetId="18" hidden="1">#REF!</definedName>
    <definedName name="fff" hidden="1">#REF!</definedName>
    <definedName name="ggg" localSheetId="4" hidden="1">#REF!</definedName>
    <definedName name="ggg" localSheetId="8" hidden="1">#REF!</definedName>
    <definedName name="ggg" localSheetId="12" hidden="1">#REF!</definedName>
    <definedName name="ggg" localSheetId="16" hidden="1">#REF!</definedName>
    <definedName name="ggg" localSheetId="17" hidden="1">#REF!</definedName>
    <definedName name="ggg" localSheetId="18" hidden="1">#REF!</definedName>
    <definedName name="ggg" hidden="1">#REF!</definedName>
    <definedName name="hhh" localSheetId="4" hidden="1">#REF!</definedName>
    <definedName name="hhh" localSheetId="8" hidden="1">#REF!</definedName>
    <definedName name="hhh" localSheetId="12" hidden="1">#REF!</definedName>
    <definedName name="hhh" localSheetId="16" hidden="1">#REF!</definedName>
    <definedName name="hhh" localSheetId="17" hidden="1">#REF!</definedName>
    <definedName name="hhh" localSheetId="18" hidden="1">#REF!</definedName>
    <definedName name="hhh" hidden="1">#REF!</definedName>
    <definedName name="_xlnm.Print_Area" localSheetId="6">'５－１　水稲（こいもみじ）作業時間'!$A$1:$AM$34</definedName>
    <definedName name="_xlnm.Print_Area" localSheetId="7">'５－２　水稲（コシヒカリ）作業時間'!$A$1:$AM$34</definedName>
    <definedName name="_xlnm.Print_Area" localSheetId="8">'５－３　水稲（あきろまん）作業時間'!$A$1:$AM$34</definedName>
    <definedName name="_xlnm.Print_Area" localSheetId="9">'５－４　水稲（飼料用米）作業時間'!$A$1:$AM$34</definedName>
    <definedName name="_xlnm.Print_Area" localSheetId="10">'６　資本装備と減価償却'!$1:$51</definedName>
    <definedName name="_xlnm.Print_Area" localSheetId="11">'７－１　水稲部門（こいもみじ）収支'!$A$1:$S$45</definedName>
    <definedName name="_xlnm.Print_Area" localSheetId="12">'７－２　水稲部門（コシヒカリ）収支 '!$A$1:$S$45</definedName>
    <definedName name="_xlnm.Print_Area" localSheetId="13">'７－３　水稲部門（あきろまん）収支'!$A$1:$S$45</definedName>
    <definedName name="_xlnm.Print_Area" localSheetId="14">'７－４　水稲部門（飼料用米）収支'!$A$1:$S$45</definedName>
    <definedName name="_xlnm.Print_Area" localSheetId="15">'８－１　水稲算出基礎（こいもみじ）'!$C$2:$V$57</definedName>
    <definedName name="_xlnm.Print_Area" localSheetId="16">'８－２　水稲算出基礎（コシヒカリ） '!$B$2:$V$57</definedName>
    <definedName name="_xlnm.Print_Area" localSheetId="17">'８－３　水稲算出基礎（あきろまん）'!$B$2:$V$57</definedName>
    <definedName name="_xlnm.Print_Area" localSheetId="18">'８－４　水稲算出基礎（飼料用米）'!$B$2:$V$57</definedName>
    <definedName name="simizu" localSheetId="4" hidden="1">#REF!</definedName>
    <definedName name="simizu" localSheetId="8" hidden="1">#REF!</definedName>
    <definedName name="simizu" localSheetId="12" hidden="1">#REF!</definedName>
    <definedName name="simizu" localSheetId="16" hidden="1">#REF!</definedName>
    <definedName name="simizu" localSheetId="17" hidden="1">#REF!</definedName>
    <definedName name="simizu" localSheetId="18" hidden="1">#REF!</definedName>
    <definedName name="simizu" hidden="1">#REF!</definedName>
    <definedName name="新" localSheetId="4" hidden="1">#REF!</definedName>
    <definedName name="新" localSheetId="16" hidden="1">#REF!</definedName>
    <definedName name="新" localSheetId="17" hidden="1">#REF!</definedName>
    <definedName name="新" localSheetId="18" hidden="1">#REF!</definedName>
    <definedName name="新" hidden="1">#REF!</definedName>
  </definedNames>
  <calcPr calcId="145621"/>
</workbook>
</file>

<file path=xl/calcChain.xml><?xml version="1.0" encoding="utf-8"?>
<calcChain xmlns="http://schemas.openxmlformats.org/spreadsheetml/2006/main">
  <c r="G43" i="36" l="1"/>
  <c r="G44" i="36"/>
  <c r="G45" i="36"/>
  <c r="G46" i="36"/>
  <c r="V52" i="36"/>
  <c r="V46" i="36"/>
  <c r="V52" i="59"/>
  <c r="V46" i="59"/>
  <c r="G43" i="59"/>
  <c r="G44" i="59"/>
  <c r="G45" i="59"/>
  <c r="G43" i="60"/>
  <c r="G44" i="60"/>
  <c r="G45" i="60"/>
  <c r="V52" i="60"/>
  <c r="V46" i="60"/>
  <c r="F12" i="61"/>
  <c r="G43" i="61"/>
  <c r="G44" i="61"/>
  <c r="G45" i="61"/>
  <c r="G46" i="61"/>
  <c r="V52" i="61"/>
  <c r="V46" i="61"/>
  <c r="J40" i="39" l="1"/>
  <c r="N55" i="61" l="1"/>
  <c r="N55" i="60"/>
  <c r="N55" i="59"/>
  <c r="N55" i="36"/>
  <c r="AQ20" i="29" l="1"/>
  <c r="AQ21" i="29"/>
  <c r="AQ22" i="29"/>
  <c r="AQ23" i="29"/>
  <c r="AQ24" i="29"/>
  <c r="AQ25" i="29"/>
  <c r="AQ26" i="29"/>
  <c r="AQ27" i="29"/>
  <c r="AQ28" i="29"/>
  <c r="AM19" i="27" l="1"/>
  <c r="AM18" i="27"/>
  <c r="AM19" i="28"/>
  <c r="AM18" i="28"/>
  <c r="AM19" i="44"/>
  <c r="AM18" i="44"/>
  <c r="AM10" i="27"/>
  <c r="I30" i="30" l="1"/>
  <c r="I29" i="30"/>
  <c r="J28" i="30" l="1"/>
  <c r="J21" i="30"/>
  <c r="G21" i="30" l="1"/>
  <c r="AM18" i="29"/>
  <c r="F12" i="60" l="1"/>
  <c r="G12" i="60" s="1"/>
  <c r="G12" i="59"/>
  <c r="F12" i="59"/>
  <c r="D54" i="60"/>
  <c r="I48" i="22"/>
  <c r="I47" i="22"/>
  <c r="I46" i="22"/>
  <c r="I45" i="22"/>
  <c r="I41" i="22"/>
  <c r="I39" i="22"/>
  <c r="I31" i="22"/>
  <c r="I21" i="22"/>
  <c r="I20" i="22"/>
  <c r="I14" i="22"/>
  <c r="I6" i="22"/>
  <c r="G48" i="22"/>
  <c r="G47" i="22"/>
  <c r="G46" i="22"/>
  <c r="G45" i="22"/>
  <c r="G41" i="22"/>
  <c r="G39" i="22"/>
  <c r="G31" i="22"/>
  <c r="G20" i="22"/>
  <c r="G14" i="22"/>
  <c r="G6" i="22"/>
  <c r="H48" i="22"/>
  <c r="H47" i="22"/>
  <c r="H46" i="22"/>
  <c r="H45" i="22"/>
  <c r="H41" i="22"/>
  <c r="H39" i="22"/>
  <c r="H31" i="22"/>
  <c r="H20" i="22"/>
  <c r="H14" i="22"/>
  <c r="H6" i="22"/>
  <c r="G3" i="22"/>
  <c r="H3" i="22"/>
  <c r="AO34" i="29"/>
  <c r="F19" i="39" s="1"/>
  <c r="AQ33" i="29"/>
  <c r="AL33" i="29"/>
  <c r="AK33" i="29"/>
  <c r="AJ33" i="29"/>
  <c r="AK34" i="29" s="1"/>
  <c r="AI33" i="29"/>
  <c r="AH33" i="29"/>
  <c r="AG33" i="29"/>
  <c r="AF33" i="29"/>
  <c r="AE33" i="29"/>
  <c r="AD33" i="29"/>
  <c r="AC33" i="29"/>
  <c r="AB33" i="29"/>
  <c r="AA33" i="29"/>
  <c r="AB34" i="29" s="1"/>
  <c r="Z33" i="29"/>
  <c r="Y33" i="29"/>
  <c r="X33" i="29"/>
  <c r="Y34" i="29" s="1"/>
  <c r="W33" i="29"/>
  <c r="V33" i="29"/>
  <c r="U33" i="29"/>
  <c r="T33" i="29"/>
  <c r="S33" i="29"/>
  <c r="R33" i="29"/>
  <c r="Q33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D34" i="29" s="1"/>
  <c r="AQ32" i="29"/>
  <c r="AM32" i="29"/>
  <c r="AQ31" i="29"/>
  <c r="AM31" i="29"/>
  <c r="AQ30" i="29"/>
  <c r="AM30" i="29"/>
  <c r="AQ29" i="29"/>
  <c r="AM29" i="29"/>
  <c r="AM28" i="29"/>
  <c r="AM27" i="29"/>
  <c r="AM26" i="29"/>
  <c r="AM25" i="29"/>
  <c r="AM24" i="29"/>
  <c r="AM23" i="29"/>
  <c r="AM22" i="29"/>
  <c r="AM21" i="29"/>
  <c r="AM20" i="29"/>
  <c r="AM19" i="29"/>
  <c r="AM17" i="29"/>
  <c r="AM16" i="29"/>
  <c r="AM15" i="29"/>
  <c r="AM14" i="29"/>
  <c r="AM13" i="29"/>
  <c r="AM12" i="29"/>
  <c r="AM11" i="29"/>
  <c r="AM10" i="29"/>
  <c r="AP34" i="29"/>
  <c r="F20" i="39" s="1"/>
  <c r="AM9" i="29"/>
  <c r="AM8" i="29"/>
  <c r="AO34" i="44"/>
  <c r="F19" i="37" s="1"/>
  <c r="AQ33" i="44"/>
  <c r="AL33" i="44"/>
  <c r="AK33" i="44"/>
  <c r="AJ33" i="44"/>
  <c r="AK34" i="44" s="1"/>
  <c r="AI33" i="44"/>
  <c r="AH33" i="44"/>
  <c r="AG33" i="44"/>
  <c r="AF33" i="44"/>
  <c r="AE33" i="44"/>
  <c r="AD33" i="44"/>
  <c r="AC33" i="44"/>
  <c r="AB33" i="44"/>
  <c r="AA33" i="44"/>
  <c r="Z33" i="44"/>
  <c r="Y33" i="44"/>
  <c r="X33" i="44"/>
  <c r="W33" i="44"/>
  <c r="V33" i="44"/>
  <c r="U33" i="44"/>
  <c r="T33" i="44"/>
  <c r="S33" i="44"/>
  <c r="R33" i="44"/>
  <c r="Q33" i="44"/>
  <c r="P33" i="44"/>
  <c r="O33" i="44"/>
  <c r="N33" i="44"/>
  <c r="M33" i="44"/>
  <c r="L33" i="44"/>
  <c r="K33" i="44"/>
  <c r="J33" i="44"/>
  <c r="I33" i="44"/>
  <c r="H33" i="44"/>
  <c r="G33" i="44"/>
  <c r="F33" i="44"/>
  <c r="E33" i="44"/>
  <c r="D33" i="44"/>
  <c r="C33" i="44"/>
  <c r="AQ32" i="44"/>
  <c r="AM32" i="44"/>
  <c r="AQ31" i="44"/>
  <c r="AM31" i="44"/>
  <c r="AQ30" i="44"/>
  <c r="AM30" i="44"/>
  <c r="AQ29" i="44"/>
  <c r="AM29" i="44"/>
  <c r="AQ28" i="44"/>
  <c r="AM28" i="44"/>
  <c r="AQ27" i="44"/>
  <c r="AM27" i="44"/>
  <c r="AQ26" i="44"/>
  <c r="AM26" i="44"/>
  <c r="AQ25" i="44"/>
  <c r="AM25" i="44"/>
  <c r="AQ24" i="44"/>
  <c r="AM24" i="44"/>
  <c r="AQ23" i="44"/>
  <c r="AM23" i="44"/>
  <c r="AQ22" i="44"/>
  <c r="AM22" i="44"/>
  <c r="AQ21" i="44"/>
  <c r="AM21" i="44"/>
  <c r="AQ20" i="44"/>
  <c r="AM20" i="44"/>
  <c r="AM17" i="44"/>
  <c r="AM16" i="44"/>
  <c r="AM15" i="44"/>
  <c r="AM14" i="44"/>
  <c r="AM13" i="44"/>
  <c r="AM12" i="44"/>
  <c r="AM11" i="44"/>
  <c r="AM10" i="44"/>
  <c r="AP34" i="44"/>
  <c r="F20" i="37" s="1"/>
  <c r="I22" i="22" s="1"/>
  <c r="AM9" i="44"/>
  <c r="AM8" i="44"/>
  <c r="AQ33" i="28"/>
  <c r="AL33" i="28"/>
  <c r="AK33" i="28"/>
  <c r="AJ33" i="28"/>
  <c r="AI33" i="28"/>
  <c r="AH33" i="28"/>
  <c r="AG33" i="28"/>
  <c r="AF33" i="28"/>
  <c r="AE33" i="28"/>
  <c r="AD33" i="28"/>
  <c r="AC33" i="28"/>
  <c r="AB33" i="28"/>
  <c r="AA33" i="28"/>
  <c r="Z33" i="28"/>
  <c r="Y33" i="28"/>
  <c r="X33" i="28"/>
  <c r="W33" i="28"/>
  <c r="V33" i="28"/>
  <c r="U33" i="28"/>
  <c r="T33" i="28"/>
  <c r="S33" i="28"/>
  <c r="R33" i="28"/>
  <c r="S34" i="28" s="1"/>
  <c r="Q33" i="28"/>
  <c r="P33" i="28"/>
  <c r="O33" i="28"/>
  <c r="N33" i="28"/>
  <c r="M33" i="28"/>
  <c r="L33" i="28"/>
  <c r="K33" i="28"/>
  <c r="J33" i="28"/>
  <c r="I33" i="28"/>
  <c r="H33" i="28"/>
  <c r="G33" i="28"/>
  <c r="F33" i="28"/>
  <c r="G34" i="28" s="1"/>
  <c r="E33" i="28"/>
  <c r="D33" i="28"/>
  <c r="C33" i="28"/>
  <c r="AQ32" i="28"/>
  <c r="AM32" i="28"/>
  <c r="AQ31" i="28"/>
  <c r="AM31" i="28"/>
  <c r="AQ30" i="28"/>
  <c r="AM30" i="28"/>
  <c r="AQ29" i="28"/>
  <c r="AM29" i="28"/>
  <c r="AQ28" i="28"/>
  <c r="AM28" i="28"/>
  <c r="AQ27" i="28"/>
  <c r="AM27" i="28"/>
  <c r="AQ26" i="28"/>
  <c r="AM26" i="28"/>
  <c r="AQ25" i="28"/>
  <c r="AM25" i="28"/>
  <c r="AQ24" i="28"/>
  <c r="AM24" i="28"/>
  <c r="AQ23" i="28"/>
  <c r="AM23" i="28"/>
  <c r="AQ22" i="28"/>
  <c r="AM22" i="28"/>
  <c r="AQ21" i="28"/>
  <c r="AM21" i="28"/>
  <c r="AQ20" i="28"/>
  <c r="AM20" i="28"/>
  <c r="AM17" i="28"/>
  <c r="AM16" i="28"/>
  <c r="AM15" i="28"/>
  <c r="AM14" i="28"/>
  <c r="AM13" i="28"/>
  <c r="AM12" i="28"/>
  <c r="AO34" i="28"/>
  <c r="F19" i="45" s="1"/>
  <c r="H21" i="22" s="1"/>
  <c r="AM11" i="28"/>
  <c r="AM10" i="28"/>
  <c r="AP34" i="28"/>
  <c r="F20" i="45" s="1"/>
  <c r="H22" i="22" s="1"/>
  <c r="AM9" i="28"/>
  <c r="AM8" i="28"/>
  <c r="N7" i="19"/>
  <c r="F16" i="19"/>
  <c r="F15" i="19"/>
  <c r="F14" i="19"/>
  <c r="F13" i="19"/>
  <c r="P34" i="29" l="1"/>
  <c r="M34" i="29"/>
  <c r="AM34" i="29"/>
  <c r="G34" i="29"/>
  <c r="J34" i="29"/>
  <c r="S34" i="29"/>
  <c r="V34" i="29"/>
  <c r="Y34" i="44"/>
  <c r="M34" i="44"/>
  <c r="G34" i="44"/>
  <c r="J34" i="44"/>
  <c r="S34" i="44"/>
  <c r="V34" i="44"/>
  <c r="AE34" i="44"/>
  <c r="D34" i="44"/>
  <c r="P34" i="44"/>
  <c r="AB34" i="44"/>
  <c r="AM34" i="44"/>
  <c r="AH34" i="44"/>
  <c r="P34" i="28"/>
  <c r="AB34" i="28"/>
  <c r="M34" i="28"/>
  <c r="AK34" i="28"/>
  <c r="V34" i="28"/>
  <c r="AH34" i="28"/>
  <c r="J34" i="28"/>
  <c r="AM33" i="28"/>
  <c r="Y34" i="28"/>
  <c r="AM34" i="28"/>
  <c r="AH34" i="29"/>
  <c r="AE34" i="29"/>
  <c r="AE34" i="28"/>
  <c r="AQ34" i="29"/>
  <c r="AM33" i="29"/>
  <c r="AQ34" i="44"/>
  <c r="AM33" i="44"/>
  <c r="AQ34" i="28"/>
  <c r="D34" i="28"/>
  <c r="G28" i="30"/>
  <c r="AQ33" i="27" l="1"/>
  <c r="AL33" i="27"/>
  <c r="AK33" i="27"/>
  <c r="AJ33" i="27"/>
  <c r="AK34" i="27" s="1"/>
  <c r="AI33" i="27"/>
  <c r="AH33" i="27"/>
  <c r="AG33" i="27"/>
  <c r="AF33" i="27"/>
  <c r="AE33" i="27"/>
  <c r="AD33" i="27"/>
  <c r="AC33" i="27"/>
  <c r="AB33" i="27"/>
  <c r="AA33" i="27"/>
  <c r="Z33" i="27"/>
  <c r="Y33" i="27"/>
  <c r="X33" i="27"/>
  <c r="W33" i="27"/>
  <c r="V33" i="27"/>
  <c r="U33" i="27"/>
  <c r="T33" i="27"/>
  <c r="S33" i="27"/>
  <c r="R33" i="27"/>
  <c r="S34" i="27" s="1"/>
  <c r="Q33" i="27"/>
  <c r="P33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D34" i="27" s="1"/>
  <c r="C33" i="27"/>
  <c r="AQ32" i="27"/>
  <c r="AM32" i="27"/>
  <c r="AQ31" i="27"/>
  <c r="AM31" i="27"/>
  <c r="AQ30" i="27"/>
  <c r="AM30" i="27"/>
  <c r="AQ29" i="27"/>
  <c r="AM29" i="27"/>
  <c r="AQ28" i="27"/>
  <c r="AM28" i="27"/>
  <c r="AQ27" i="27"/>
  <c r="AM27" i="27"/>
  <c r="AQ26" i="27"/>
  <c r="AM26" i="27"/>
  <c r="AQ25" i="27"/>
  <c r="AM25" i="27"/>
  <c r="AQ24" i="27"/>
  <c r="AM24" i="27"/>
  <c r="AQ23" i="27"/>
  <c r="AM23" i="27"/>
  <c r="AQ22" i="27"/>
  <c r="AM22" i="27"/>
  <c r="AQ21" i="27"/>
  <c r="AM21" i="27"/>
  <c r="AQ20" i="27"/>
  <c r="AM20" i="27"/>
  <c r="AM17" i="27"/>
  <c r="AM16" i="27"/>
  <c r="AM15" i="27"/>
  <c r="AM14" i="27"/>
  <c r="AM13" i="27"/>
  <c r="AM12" i="27"/>
  <c r="AM11" i="27"/>
  <c r="AO34" i="27"/>
  <c r="F19" i="35" s="1"/>
  <c r="G21" i="22" s="1"/>
  <c r="AP34" i="27"/>
  <c r="F20" i="35" s="1"/>
  <c r="G22" i="22" s="1"/>
  <c r="AM9" i="27"/>
  <c r="AM8" i="27"/>
  <c r="G34" i="27" l="1"/>
  <c r="AB34" i="27"/>
  <c r="AE34" i="27"/>
  <c r="V34" i="27"/>
  <c r="Y34" i="27"/>
  <c r="AH34" i="27"/>
  <c r="J34" i="27"/>
  <c r="P34" i="27"/>
  <c r="AM34" i="27"/>
  <c r="M34" i="27"/>
  <c r="AM33" i="27"/>
  <c r="AQ34" i="27"/>
  <c r="I31" i="30" l="1"/>
  <c r="I28" i="30"/>
  <c r="I23" i="30"/>
  <c r="I21" i="30"/>
  <c r="G20" i="30"/>
  <c r="I20" i="30" s="1"/>
  <c r="G25" i="30" l="1"/>
  <c r="G27" i="30"/>
  <c r="G26" i="30"/>
  <c r="G24" i="30"/>
  <c r="I24" i="30" s="1"/>
  <c r="I27" i="30" l="1"/>
  <c r="I25" i="30"/>
  <c r="I26" i="30"/>
  <c r="G16" i="30"/>
  <c r="G17" i="30"/>
  <c r="I16" i="30" l="1"/>
  <c r="I17" i="30"/>
  <c r="G19" i="30"/>
  <c r="G18" i="30"/>
  <c r="I18" i="30" l="1"/>
  <c r="I19" i="30"/>
  <c r="G22" i="30"/>
  <c r="I22" i="30" l="1"/>
  <c r="J36" i="61"/>
  <c r="J37" i="61"/>
  <c r="J38" i="61"/>
  <c r="J38" i="60"/>
  <c r="J37" i="60"/>
  <c r="J36" i="60"/>
  <c r="J38" i="59"/>
  <c r="J37" i="59"/>
  <c r="J36" i="59"/>
  <c r="J38" i="36"/>
  <c r="J37" i="36"/>
  <c r="K5" i="30" l="1"/>
  <c r="K7" i="30" l="1"/>
  <c r="K6" i="30"/>
  <c r="G7" i="30"/>
  <c r="D21" i="60"/>
  <c r="Z4" i="30" l="1"/>
  <c r="Y4" i="30"/>
  <c r="X4" i="30"/>
  <c r="W4" i="30"/>
  <c r="V4" i="30"/>
  <c r="U4" i="30"/>
  <c r="T4" i="30"/>
  <c r="S4" i="30"/>
  <c r="F40" i="39"/>
  <c r="F40" i="37"/>
  <c r="I44" i="22" s="1"/>
  <c r="F40" i="45"/>
  <c r="H44" i="22" s="1"/>
  <c r="F40" i="35"/>
  <c r="G44" i="22" s="1"/>
  <c r="F23" i="39"/>
  <c r="F22" i="39"/>
  <c r="F23" i="37"/>
  <c r="I25" i="22" s="1"/>
  <c r="F22" i="37"/>
  <c r="I24" i="22" s="1"/>
  <c r="F23" i="45"/>
  <c r="H25" i="22" s="1"/>
  <c r="F22" i="45"/>
  <c r="H24" i="22" s="1"/>
  <c r="F23" i="35"/>
  <c r="G25" i="22" s="1"/>
  <c r="F22" i="35"/>
  <c r="G24" i="22" s="1"/>
  <c r="F24" i="39"/>
  <c r="F24" i="37"/>
  <c r="I26" i="22" s="1"/>
  <c r="F24" i="35"/>
  <c r="G26" i="22" s="1"/>
  <c r="F24" i="45"/>
  <c r="H26" i="22" s="1"/>
  <c r="R4" i="30" l="1"/>
  <c r="G6" i="30" l="1"/>
  <c r="G5" i="30"/>
  <c r="F21" i="37" l="1"/>
  <c r="I23" i="22" s="1"/>
  <c r="F21" i="39"/>
  <c r="I49" i="22"/>
  <c r="F21" i="35"/>
  <c r="G23" i="22" s="1"/>
  <c r="F21" i="45"/>
  <c r="H23" i="22" s="1"/>
  <c r="H4" i="22"/>
  <c r="G56" i="61"/>
  <c r="F55" i="61"/>
  <c r="G55" i="61" s="1"/>
  <c r="F54" i="61"/>
  <c r="D54" i="61"/>
  <c r="G54" i="61" s="1"/>
  <c r="G52" i="61"/>
  <c r="G51" i="61"/>
  <c r="F50" i="61"/>
  <c r="G50" i="61" s="1"/>
  <c r="G48" i="61"/>
  <c r="G47" i="61"/>
  <c r="G42" i="61"/>
  <c r="G41" i="61"/>
  <c r="F40" i="61"/>
  <c r="G40" i="61" s="1"/>
  <c r="F39" i="61"/>
  <c r="G39" i="61" s="1"/>
  <c r="G37" i="61"/>
  <c r="G36" i="61"/>
  <c r="G35" i="61"/>
  <c r="G34" i="61"/>
  <c r="G33" i="61"/>
  <c r="G32" i="61"/>
  <c r="F30" i="61"/>
  <c r="G30" i="61" s="1"/>
  <c r="F29" i="61"/>
  <c r="G29" i="61" s="1"/>
  <c r="F28" i="61"/>
  <c r="G28" i="61" s="1"/>
  <c r="G56" i="60"/>
  <c r="F55" i="60"/>
  <c r="G55" i="60" s="1"/>
  <c r="F54" i="60"/>
  <c r="G52" i="60"/>
  <c r="G51" i="60"/>
  <c r="F50" i="60"/>
  <c r="G50" i="60" s="1"/>
  <c r="G53" i="60" s="1"/>
  <c r="P26" i="37" s="1"/>
  <c r="G48" i="60"/>
  <c r="G47" i="60"/>
  <c r="G46" i="60"/>
  <c r="G42" i="60"/>
  <c r="G41" i="60"/>
  <c r="F40" i="60"/>
  <c r="G40" i="60" s="1"/>
  <c r="F39" i="60"/>
  <c r="G39" i="60" s="1"/>
  <c r="G37" i="60"/>
  <c r="G36" i="60"/>
  <c r="G35" i="60"/>
  <c r="G34" i="60"/>
  <c r="G33" i="60"/>
  <c r="G32" i="60"/>
  <c r="F30" i="60"/>
  <c r="G30" i="60" s="1"/>
  <c r="F29" i="60"/>
  <c r="G29" i="60" s="1"/>
  <c r="F28" i="60"/>
  <c r="G28" i="60" s="1"/>
  <c r="G56" i="59"/>
  <c r="F55" i="59"/>
  <c r="G55" i="59" s="1"/>
  <c r="F54" i="59"/>
  <c r="D54" i="59"/>
  <c r="G52" i="59"/>
  <c r="G51" i="59"/>
  <c r="F50" i="59"/>
  <c r="G50" i="59" s="1"/>
  <c r="G48" i="59"/>
  <c r="G47" i="59"/>
  <c r="G46" i="59"/>
  <c r="G42" i="59"/>
  <c r="G41" i="59"/>
  <c r="F40" i="59"/>
  <c r="G40" i="59" s="1"/>
  <c r="F39" i="59"/>
  <c r="G39" i="59" s="1"/>
  <c r="G37" i="59"/>
  <c r="G36" i="59"/>
  <c r="G35" i="59"/>
  <c r="G34" i="59"/>
  <c r="G33" i="59"/>
  <c r="G32" i="59"/>
  <c r="F30" i="59"/>
  <c r="G30" i="59" s="1"/>
  <c r="F29" i="59"/>
  <c r="G29" i="59" s="1"/>
  <c r="F28" i="59"/>
  <c r="G28" i="59" s="1"/>
  <c r="G37" i="36"/>
  <c r="G36" i="36"/>
  <c r="G35" i="36"/>
  <c r="G34" i="36"/>
  <c r="G33" i="36"/>
  <c r="G53" i="59" l="1"/>
  <c r="P26" i="45" s="1"/>
  <c r="H49" i="22"/>
  <c r="J19" i="30"/>
  <c r="J7" i="30"/>
  <c r="J16" i="30"/>
  <c r="J5" i="30"/>
  <c r="J27" i="30"/>
  <c r="J18" i="30"/>
  <c r="J29" i="30"/>
  <c r="J20" i="30"/>
  <c r="J23" i="30"/>
  <c r="J24" i="30"/>
  <c r="J17" i="30"/>
  <c r="J22" i="30"/>
  <c r="J31" i="30"/>
  <c r="J26" i="30"/>
  <c r="J30" i="30"/>
  <c r="J25" i="30"/>
  <c r="J6" i="30"/>
  <c r="I4" i="22"/>
  <c r="G57" i="61"/>
  <c r="P27" i="39" s="1"/>
  <c r="G53" i="61"/>
  <c r="P26" i="39" s="1"/>
  <c r="G38" i="61"/>
  <c r="P24" i="39" s="1"/>
  <c r="G49" i="61"/>
  <c r="P25" i="39" s="1"/>
  <c r="G54" i="60"/>
  <c r="G57" i="60" s="1"/>
  <c r="P27" i="37" s="1"/>
  <c r="G49" i="60"/>
  <c r="P25" i="37" s="1"/>
  <c r="G38" i="60"/>
  <c r="P24" i="37" s="1"/>
  <c r="G54" i="59"/>
  <c r="G57" i="59" s="1"/>
  <c r="P27" i="45" s="1"/>
  <c r="G49" i="59"/>
  <c r="P25" i="45" s="1"/>
  <c r="G38" i="59"/>
  <c r="P24" i="45" s="1"/>
  <c r="M52" i="59" l="1"/>
  <c r="N52" i="59" s="1"/>
  <c r="M37" i="59"/>
  <c r="M51" i="36"/>
  <c r="M47" i="61"/>
  <c r="N47" i="61" s="1"/>
  <c r="N50" i="61" s="1"/>
  <c r="M51" i="60"/>
  <c r="N51" i="60" s="1"/>
  <c r="M38" i="60"/>
  <c r="M36" i="60"/>
  <c r="M51" i="59"/>
  <c r="N51" i="59" s="1"/>
  <c r="M36" i="36"/>
  <c r="M47" i="36"/>
  <c r="N47" i="36" s="1"/>
  <c r="M52" i="61"/>
  <c r="N52" i="61" s="1"/>
  <c r="M43" i="61"/>
  <c r="N43" i="61" s="1"/>
  <c r="N46" i="61" s="1"/>
  <c r="M37" i="61"/>
  <c r="M54" i="60"/>
  <c r="N54" i="60" s="1"/>
  <c r="M47" i="60"/>
  <c r="N47" i="60" s="1"/>
  <c r="N50" i="60" s="1"/>
  <c r="M53" i="59"/>
  <c r="N53" i="59" s="1"/>
  <c r="M47" i="59"/>
  <c r="N47" i="59" s="1"/>
  <c r="N50" i="59" s="1"/>
  <c r="M53" i="36"/>
  <c r="M43" i="36"/>
  <c r="N43" i="36" s="1"/>
  <c r="M51" i="61"/>
  <c r="N51" i="61" s="1"/>
  <c r="M38" i="61"/>
  <c r="M53" i="60"/>
  <c r="N53" i="60" s="1"/>
  <c r="M43" i="60"/>
  <c r="N43" i="60" s="1"/>
  <c r="N46" i="60" s="1"/>
  <c r="M36" i="59"/>
  <c r="M37" i="36"/>
  <c r="M52" i="36"/>
  <c r="M54" i="61"/>
  <c r="N54" i="61" s="1"/>
  <c r="M36" i="61"/>
  <c r="M52" i="60"/>
  <c r="N52" i="60" s="1"/>
  <c r="M43" i="59"/>
  <c r="N43" i="59" s="1"/>
  <c r="N46" i="59" s="1"/>
  <c r="M38" i="36"/>
  <c r="M53" i="61"/>
  <c r="N53" i="61" s="1"/>
  <c r="M37" i="60"/>
  <c r="M54" i="59"/>
  <c r="N54" i="59" s="1"/>
  <c r="M38" i="59"/>
  <c r="M54" i="36"/>
  <c r="K21" i="30"/>
  <c r="K28" i="30"/>
  <c r="I7" i="30"/>
  <c r="F29" i="36"/>
  <c r="L21" i="30" l="1"/>
  <c r="K38" i="61"/>
  <c r="N38" i="61" s="1"/>
  <c r="K38" i="60"/>
  <c r="N38" i="60" s="1"/>
  <c r="K38" i="36"/>
  <c r="N38" i="36" s="1"/>
  <c r="K38" i="59"/>
  <c r="N38" i="59"/>
  <c r="G29" i="36"/>
  <c r="D21" i="61"/>
  <c r="D21" i="59"/>
  <c r="D21" i="36"/>
  <c r="D54" i="36"/>
  <c r="V51" i="61"/>
  <c r="V45" i="61"/>
  <c r="K32" i="61"/>
  <c r="L32" i="61"/>
  <c r="N30" i="61"/>
  <c r="N29" i="61"/>
  <c r="L28" i="61"/>
  <c r="K28" i="61"/>
  <c r="N27" i="61"/>
  <c r="N26" i="61"/>
  <c r="V25" i="61"/>
  <c r="V34" i="61" s="1"/>
  <c r="F11" i="39" s="1"/>
  <c r="N25" i="61"/>
  <c r="L24" i="61"/>
  <c r="G23" i="61"/>
  <c r="N23" i="61"/>
  <c r="G22" i="61"/>
  <c r="N22" i="61"/>
  <c r="F21" i="61"/>
  <c r="K24" i="61"/>
  <c r="L20" i="61"/>
  <c r="K20" i="61"/>
  <c r="G19" i="61"/>
  <c r="N19" i="61"/>
  <c r="G18" i="61"/>
  <c r="N18" i="61"/>
  <c r="G17" i="61"/>
  <c r="N17" i="61"/>
  <c r="G15" i="61"/>
  <c r="N15" i="61"/>
  <c r="G14" i="61"/>
  <c r="N14" i="61"/>
  <c r="G13" i="61"/>
  <c r="L16" i="61"/>
  <c r="K16" i="61"/>
  <c r="G12" i="61"/>
  <c r="N11" i="61"/>
  <c r="G10" i="61"/>
  <c r="N10" i="61"/>
  <c r="N9" i="61"/>
  <c r="G9" i="61"/>
  <c r="N8" i="61"/>
  <c r="G8" i="61"/>
  <c r="L7" i="61"/>
  <c r="L12" i="61" s="1"/>
  <c r="N6" i="61"/>
  <c r="G6" i="61"/>
  <c r="V21" i="61"/>
  <c r="F10" i="39" s="1"/>
  <c r="G5" i="61"/>
  <c r="V51" i="60"/>
  <c r="V45" i="60"/>
  <c r="L32" i="60"/>
  <c r="N30" i="60"/>
  <c r="N29" i="60"/>
  <c r="L28" i="60"/>
  <c r="K28" i="60"/>
  <c r="N27" i="60"/>
  <c r="N26" i="60"/>
  <c r="V25" i="60"/>
  <c r="N25" i="60"/>
  <c r="L24" i="60"/>
  <c r="K24" i="60"/>
  <c r="G23" i="60"/>
  <c r="N23" i="60"/>
  <c r="G22" i="60"/>
  <c r="N22" i="60"/>
  <c r="F21" i="60"/>
  <c r="N21" i="60"/>
  <c r="L20" i="60"/>
  <c r="K20" i="60"/>
  <c r="G19" i="60"/>
  <c r="N19" i="60"/>
  <c r="G18" i="60"/>
  <c r="N18" i="60"/>
  <c r="G17" i="60"/>
  <c r="N17" i="60"/>
  <c r="G15" i="60"/>
  <c r="N15" i="60"/>
  <c r="G14" i="60"/>
  <c r="N14" i="60"/>
  <c r="G13" i="60"/>
  <c r="L16" i="60"/>
  <c r="K16" i="60"/>
  <c r="N11" i="60"/>
  <c r="G10" i="60"/>
  <c r="N9" i="60"/>
  <c r="G9" i="60"/>
  <c r="N8" i="60"/>
  <c r="G8" i="60"/>
  <c r="L7" i="60"/>
  <c r="L12" i="60" s="1"/>
  <c r="N6" i="60"/>
  <c r="K12" i="60"/>
  <c r="G6" i="60"/>
  <c r="V21" i="60"/>
  <c r="F10" i="37" s="1"/>
  <c r="I12" i="22" s="1"/>
  <c r="G5" i="60"/>
  <c r="V51" i="59"/>
  <c r="V45" i="59"/>
  <c r="V50" i="59" s="1"/>
  <c r="K32" i="59"/>
  <c r="L32" i="59"/>
  <c r="N31" i="59"/>
  <c r="N30" i="59"/>
  <c r="N29" i="59"/>
  <c r="L28" i="59"/>
  <c r="K28" i="59"/>
  <c r="N27" i="59"/>
  <c r="N26" i="59"/>
  <c r="V25" i="59"/>
  <c r="N25" i="59"/>
  <c r="L24" i="59"/>
  <c r="G23" i="59"/>
  <c r="N23" i="59"/>
  <c r="G22" i="59"/>
  <c r="N22" i="59"/>
  <c r="F21" i="59"/>
  <c r="K24" i="59"/>
  <c r="L20" i="59"/>
  <c r="K20" i="59"/>
  <c r="G19" i="59"/>
  <c r="N19" i="59"/>
  <c r="G18" i="59"/>
  <c r="N18" i="59"/>
  <c r="G17" i="59"/>
  <c r="N17" i="59"/>
  <c r="G15" i="59"/>
  <c r="N15" i="59"/>
  <c r="G14" i="59"/>
  <c r="N14" i="59"/>
  <c r="G13" i="59"/>
  <c r="L16" i="59"/>
  <c r="K16" i="59"/>
  <c r="N11" i="59"/>
  <c r="G10" i="59"/>
  <c r="N9" i="59"/>
  <c r="G9" i="59"/>
  <c r="N8" i="59"/>
  <c r="G8" i="59"/>
  <c r="L7" i="59"/>
  <c r="L12" i="59" s="1"/>
  <c r="N6" i="59"/>
  <c r="G6" i="59"/>
  <c r="V21" i="59"/>
  <c r="F10" i="45" s="1"/>
  <c r="H12" i="22" s="1"/>
  <c r="G5" i="59"/>
  <c r="V56" i="60" l="1"/>
  <c r="N7" i="59"/>
  <c r="N31" i="61"/>
  <c r="N32" i="61" s="1"/>
  <c r="P36" i="39" s="1"/>
  <c r="G20" i="61"/>
  <c r="P20" i="39" s="1"/>
  <c r="N20" i="61"/>
  <c r="P33" i="39" s="1"/>
  <c r="V56" i="61"/>
  <c r="G7" i="61"/>
  <c r="P17" i="39" s="1"/>
  <c r="N7" i="61"/>
  <c r="N12" i="61" s="1"/>
  <c r="P30" i="39" s="1"/>
  <c r="V44" i="61"/>
  <c r="G11" i="61"/>
  <c r="P18" i="39" s="1"/>
  <c r="G16" i="61"/>
  <c r="P19" i="39" s="1"/>
  <c r="N28" i="61"/>
  <c r="P35" i="39" s="1"/>
  <c r="G21" i="61"/>
  <c r="G24" i="61" s="1"/>
  <c r="P21" i="39" s="1"/>
  <c r="V50" i="61"/>
  <c r="G20" i="60"/>
  <c r="P20" i="37" s="1"/>
  <c r="V34" i="60"/>
  <c r="F11" i="37" s="1"/>
  <c r="I13" i="22" s="1"/>
  <c r="V44" i="60"/>
  <c r="G11" i="60"/>
  <c r="P18" i="37" s="1"/>
  <c r="G21" i="60"/>
  <c r="G24" i="60" s="1"/>
  <c r="P21" i="37" s="1"/>
  <c r="G7" i="60"/>
  <c r="P17" i="37" s="1"/>
  <c r="N20" i="60"/>
  <c r="P33" i="37" s="1"/>
  <c r="N24" i="60"/>
  <c r="P34" i="37" s="1"/>
  <c r="N28" i="60"/>
  <c r="P35" i="37" s="1"/>
  <c r="N31" i="60"/>
  <c r="N32" i="60" s="1"/>
  <c r="P36" i="37" s="1"/>
  <c r="V50" i="60"/>
  <c r="G21" i="59"/>
  <c r="G24" i="59" s="1"/>
  <c r="P21" i="45" s="1"/>
  <c r="N28" i="59"/>
  <c r="P35" i="45" s="1"/>
  <c r="N20" i="59"/>
  <c r="P33" i="45" s="1"/>
  <c r="V34" i="59"/>
  <c r="F11" i="45" s="1"/>
  <c r="H13" i="22" s="1"/>
  <c r="G7" i="59"/>
  <c r="P17" i="45" s="1"/>
  <c r="G11" i="59"/>
  <c r="P18" i="45" s="1"/>
  <c r="G20" i="59"/>
  <c r="P20" i="45" s="1"/>
  <c r="V44" i="59"/>
  <c r="V56" i="59"/>
  <c r="N32" i="59"/>
  <c r="P36" i="45" s="1"/>
  <c r="G16" i="60"/>
  <c r="P19" i="37" s="1"/>
  <c r="G16" i="59"/>
  <c r="P19" i="45" s="1"/>
  <c r="K12" i="61"/>
  <c r="N13" i="61"/>
  <c r="N16" i="61" s="1"/>
  <c r="P31" i="39" s="1"/>
  <c r="N21" i="61"/>
  <c r="N24" i="61" s="1"/>
  <c r="P34" i="39" s="1"/>
  <c r="K32" i="60"/>
  <c r="N13" i="60"/>
  <c r="N16" i="60" s="1"/>
  <c r="P31" i="37" s="1"/>
  <c r="N7" i="60"/>
  <c r="N12" i="60" s="1"/>
  <c r="P30" i="37" s="1"/>
  <c r="N12" i="59"/>
  <c r="P30" i="45" s="1"/>
  <c r="K12" i="59"/>
  <c r="N13" i="59"/>
  <c r="N16" i="59" s="1"/>
  <c r="P31" i="45" s="1"/>
  <c r="N21" i="59"/>
  <c r="N24" i="59" s="1"/>
  <c r="P34" i="45" s="1"/>
  <c r="V57" i="61" l="1"/>
  <c r="F35" i="39" s="1"/>
  <c r="V57" i="60"/>
  <c r="F35" i="37" s="1"/>
  <c r="I38" i="22" s="1"/>
  <c r="V57" i="59"/>
  <c r="F35" i="45" s="1"/>
  <c r="H38" i="22" s="1"/>
  <c r="K31" i="30" l="1"/>
  <c r="K30" i="30"/>
  <c r="K29" i="30"/>
  <c r="K27" i="30"/>
  <c r="K26" i="30"/>
  <c r="K25" i="30"/>
  <c r="K24" i="30"/>
  <c r="K23" i="30"/>
  <c r="K22" i="30"/>
  <c r="K20" i="30"/>
  <c r="K17" i="30"/>
  <c r="I5" i="30"/>
  <c r="J36" i="36"/>
  <c r="K36" i="60" l="1"/>
  <c r="N36" i="60" s="1"/>
  <c r="K36" i="59"/>
  <c r="N36" i="59" s="1"/>
  <c r="K36" i="61"/>
  <c r="N36" i="61" s="1"/>
  <c r="L22" i="30"/>
  <c r="N22" i="30" s="1"/>
  <c r="P22" i="30" s="1"/>
  <c r="K36" i="36"/>
  <c r="N36" i="36" s="1"/>
  <c r="F50" i="36" l="1"/>
  <c r="F55" i="36"/>
  <c r="F54" i="36"/>
  <c r="F40" i="36"/>
  <c r="F30" i="36"/>
  <c r="G30" i="36" s="1"/>
  <c r="F39" i="36"/>
  <c r="G39" i="36" s="1"/>
  <c r="F21" i="36" l="1"/>
  <c r="F28" i="36"/>
  <c r="G28" i="36" s="1"/>
  <c r="L26" i="30" l="1"/>
  <c r="L16" i="36"/>
  <c r="N14" i="36"/>
  <c r="N15" i="36"/>
  <c r="N26" i="30" l="1"/>
  <c r="P26" i="30" s="1"/>
  <c r="L7" i="36"/>
  <c r="L12" i="36" s="1"/>
  <c r="G55" i="36"/>
  <c r="G54" i="36"/>
  <c r="N11" i="36" l="1"/>
  <c r="L20" i="30" l="1"/>
  <c r="N20" i="30" s="1"/>
  <c r="K19" i="30"/>
  <c r="K18" i="30"/>
  <c r="P20" i="30" l="1"/>
  <c r="L18" i="30"/>
  <c r="N18" i="30" s="1"/>
  <c r="P18" i="30" s="1"/>
  <c r="L19" i="30"/>
  <c r="N19" i="30" s="1"/>
  <c r="P19" i="30" s="1"/>
  <c r="N21" i="30" l="1"/>
  <c r="P21" i="30" s="1"/>
  <c r="K16" i="30"/>
  <c r="F45" i="45" l="1"/>
  <c r="P14" i="45"/>
  <c r="P13" i="45"/>
  <c r="P11" i="45"/>
  <c r="N11" i="45"/>
  <c r="N10" i="45"/>
  <c r="R9" i="45"/>
  <c r="N9" i="45"/>
  <c r="R8" i="45"/>
  <c r="N8" i="45"/>
  <c r="R7" i="45"/>
  <c r="N7" i="45"/>
  <c r="R6" i="45"/>
  <c r="R5" i="45"/>
  <c r="J4" i="22"/>
  <c r="J3" i="22"/>
  <c r="I3" i="22"/>
  <c r="J45" i="22" l="1"/>
  <c r="J20" i="22"/>
  <c r="J46" i="22"/>
  <c r="J48" i="22"/>
  <c r="J41" i="22"/>
  <c r="J14" i="22"/>
  <c r="J47" i="22"/>
  <c r="J39" i="22"/>
  <c r="J6" i="22"/>
  <c r="F6" i="22" s="1"/>
  <c r="J31" i="22"/>
  <c r="J22" i="22"/>
  <c r="J21" i="22"/>
  <c r="J26" i="22"/>
  <c r="J25" i="22"/>
  <c r="J44" i="22"/>
  <c r="J24" i="22"/>
  <c r="J23" i="22"/>
  <c r="J13" i="22"/>
  <c r="J12" i="22"/>
  <c r="J38" i="22"/>
  <c r="P15" i="45"/>
  <c r="F6" i="45" s="1"/>
  <c r="H8" i="22" s="1"/>
  <c r="F20" i="22"/>
  <c r="F14" i="22"/>
  <c r="F29" i="45"/>
  <c r="H32" i="22" s="1"/>
  <c r="F27" i="45"/>
  <c r="H30" i="22" s="1"/>
  <c r="N6" i="45"/>
  <c r="N5" i="45"/>
  <c r="K12" i="36"/>
  <c r="N13" i="36"/>
  <c r="N16" i="36" s="1"/>
  <c r="K16" i="36"/>
  <c r="J49" i="22" l="1"/>
  <c r="R11" i="45"/>
  <c r="F4" i="45" s="1"/>
  <c r="H5" i="22" s="1"/>
  <c r="G42" i="36"/>
  <c r="G47" i="36"/>
  <c r="G32" i="36"/>
  <c r="G38" i="36" s="1"/>
  <c r="P24" i="35" s="1"/>
  <c r="L28" i="36"/>
  <c r="K28" i="36"/>
  <c r="N27" i="36"/>
  <c r="N26" i="36"/>
  <c r="N25" i="36"/>
  <c r="N30" i="36"/>
  <c r="N18" i="36"/>
  <c r="Q11" i="45" l="1"/>
  <c r="N28" i="36"/>
  <c r="P14" i="39"/>
  <c r="P13" i="39"/>
  <c r="P11" i="39"/>
  <c r="N11" i="39"/>
  <c r="N10" i="39"/>
  <c r="R9" i="39"/>
  <c r="N9" i="39"/>
  <c r="R8" i="39"/>
  <c r="N8" i="39"/>
  <c r="R7" i="39"/>
  <c r="N7" i="39"/>
  <c r="R6" i="39"/>
  <c r="N6" i="39"/>
  <c r="R5" i="39"/>
  <c r="N5" i="39"/>
  <c r="F39" i="22"/>
  <c r="F48" i="22"/>
  <c r="F47" i="22"/>
  <c r="F46" i="22"/>
  <c r="F23" i="22"/>
  <c r="F24" i="22"/>
  <c r="P14" i="37"/>
  <c r="P13" i="37"/>
  <c r="P11" i="37"/>
  <c r="N11" i="37"/>
  <c r="N10" i="37"/>
  <c r="R9" i="37"/>
  <c r="N9" i="37"/>
  <c r="R8" i="37"/>
  <c r="N8" i="37"/>
  <c r="R7" i="37"/>
  <c r="N7" i="37"/>
  <c r="R6" i="37"/>
  <c r="N6" i="37"/>
  <c r="R5" i="37"/>
  <c r="N5" i="37"/>
  <c r="V51" i="36"/>
  <c r="V45" i="36"/>
  <c r="G19" i="36"/>
  <c r="G18" i="36"/>
  <c r="N53" i="36"/>
  <c r="N54" i="36"/>
  <c r="F45" i="35"/>
  <c r="V25" i="36"/>
  <c r="L32" i="36"/>
  <c r="K32" i="36"/>
  <c r="L24" i="36"/>
  <c r="K24" i="36"/>
  <c r="L20" i="36"/>
  <c r="K20" i="36"/>
  <c r="N31" i="36"/>
  <c r="N29" i="36"/>
  <c r="N23" i="36"/>
  <c r="N22" i="36"/>
  <c r="N21" i="36"/>
  <c r="N19" i="36"/>
  <c r="N17" i="36"/>
  <c r="N7" i="36"/>
  <c r="N8" i="36"/>
  <c r="N9" i="36"/>
  <c r="N6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P11" i="35"/>
  <c r="F29" i="35" s="1"/>
  <c r="P14" i="35"/>
  <c r="G56" i="36"/>
  <c r="G52" i="36"/>
  <c r="G51" i="36"/>
  <c r="G50" i="36"/>
  <c r="G48" i="36"/>
  <c r="G41" i="36"/>
  <c r="G40" i="36"/>
  <c r="N7" i="35"/>
  <c r="N8" i="35"/>
  <c r="N9" i="35"/>
  <c r="N10" i="35"/>
  <c r="N11" i="35"/>
  <c r="R6" i="35"/>
  <c r="R7" i="35"/>
  <c r="R8" i="35"/>
  <c r="R9" i="35"/>
  <c r="N6" i="35"/>
  <c r="P13" i="35"/>
  <c r="R5" i="35"/>
  <c r="N5" i="35"/>
  <c r="L25" i="30"/>
  <c r="L24" i="30"/>
  <c r="L7" i="30"/>
  <c r="I6" i="30"/>
  <c r="G50" i="30"/>
  <c r="P49" i="30"/>
  <c r="I49" i="30"/>
  <c r="L49" i="30" s="1"/>
  <c r="N49" i="30" s="1"/>
  <c r="P48" i="30"/>
  <c r="I48" i="30"/>
  <c r="L48" i="30" s="1"/>
  <c r="N48" i="30" s="1"/>
  <c r="P47" i="30"/>
  <c r="I47" i="30"/>
  <c r="L47" i="30" s="1"/>
  <c r="N47" i="30" s="1"/>
  <c r="I46" i="30"/>
  <c r="G45" i="30"/>
  <c r="L31" i="30"/>
  <c r="L30" i="30"/>
  <c r="L28" i="30"/>
  <c r="N28" i="30" s="1"/>
  <c r="L27" i="30"/>
  <c r="N27" i="30" s="1"/>
  <c r="G15" i="30"/>
  <c r="L5" i="30"/>
  <c r="L6" i="30" l="1"/>
  <c r="L15" i="30" s="1"/>
  <c r="K37" i="59"/>
  <c r="N37" i="59" s="1"/>
  <c r="N42" i="59" s="1"/>
  <c r="K37" i="61"/>
  <c r="N37" i="61" s="1"/>
  <c r="N42" i="61" s="1"/>
  <c r="K37" i="60"/>
  <c r="N37" i="60" s="1"/>
  <c r="N42" i="60" s="1"/>
  <c r="K37" i="36"/>
  <c r="N37" i="36" s="1"/>
  <c r="N42" i="36" s="1"/>
  <c r="P28" i="30"/>
  <c r="P27" i="30"/>
  <c r="F29" i="37"/>
  <c r="I32" i="22" s="1"/>
  <c r="F27" i="37"/>
  <c r="I30" i="22" s="1"/>
  <c r="P15" i="37"/>
  <c r="F6" i="37" s="1"/>
  <c r="I8" i="22" s="1"/>
  <c r="G32" i="22"/>
  <c r="F27" i="35"/>
  <c r="G30" i="22" s="1"/>
  <c r="F27" i="39"/>
  <c r="J30" i="22" s="1"/>
  <c r="F29" i="39"/>
  <c r="J32" i="22" s="1"/>
  <c r="P15" i="39"/>
  <c r="L17" i="30"/>
  <c r="N52" i="36"/>
  <c r="N56" i="61"/>
  <c r="N56" i="59"/>
  <c r="N56" i="60"/>
  <c r="N51" i="36"/>
  <c r="N56" i="36" s="1"/>
  <c r="F44" i="22"/>
  <c r="F25" i="22"/>
  <c r="F26" i="22"/>
  <c r="F31" i="22"/>
  <c r="F22" i="22"/>
  <c r="F21" i="22"/>
  <c r="F6" i="35"/>
  <c r="G8" i="22" s="1"/>
  <c r="P15" i="35"/>
  <c r="G49" i="36"/>
  <c r="P25" i="35" s="1"/>
  <c r="N12" i="36"/>
  <c r="P35" i="35"/>
  <c r="I50" i="30"/>
  <c r="R11" i="37"/>
  <c r="Q11" i="37" s="1"/>
  <c r="F45" i="37"/>
  <c r="R11" i="39"/>
  <c r="Q11" i="39" s="1"/>
  <c r="F45" i="39"/>
  <c r="V50" i="36"/>
  <c r="G20" i="36"/>
  <c r="V56" i="36"/>
  <c r="V44" i="36"/>
  <c r="N50" i="36"/>
  <c r="N46" i="36"/>
  <c r="R11" i="35"/>
  <c r="F4" i="35" s="1"/>
  <c r="G5" i="22" s="1"/>
  <c r="V34" i="36"/>
  <c r="N32" i="36"/>
  <c r="N20" i="36"/>
  <c r="N24" i="36"/>
  <c r="G7" i="36"/>
  <c r="G11" i="36"/>
  <c r="G16" i="36"/>
  <c r="G24" i="36"/>
  <c r="G53" i="36"/>
  <c r="V21" i="36"/>
  <c r="G57" i="36"/>
  <c r="L23" i="30"/>
  <c r="L29" i="30"/>
  <c r="N31" i="30"/>
  <c r="P31" i="30" s="1"/>
  <c r="N24" i="30"/>
  <c r="P24" i="30" s="1"/>
  <c r="N25" i="30"/>
  <c r="P25" i="30" s="1"/>
  <c r="I45" i="30"/>
  <c r="G51" i="30"/>
  <c r="I15" i="30"/>
  <c r="N7" i="30"/>
  <c r="P7" i="30" s="1"/>
  <c r="N30" i="30"/>
  <c r="P30" i="30" s="1"/>
  <c r="N5" i="30"/>
  <c r="P5" i="30" s="1"/>
  <c r="L16" i="30"/>
  <c r="L46" i="30"/>
  <c r="N6" i="30" l="1"/>
  <c r="P6" i="30" s="1"/>
  <c r="F6" i="39"/>
  <c r="J8" i="22" s="1"/>
  <c r="N57" i="60"/>
  <c r="F37" i="37" s="1"/>
  <c r="I40" i="22" s="1"/>
  <c r="N57" i="59"/>
  <c r="F37" i="45" s="1"/>
  <c r="H40" i="22" s="1"/>
  <c r="N57" i="61"/>
  <c r="F37" i="39" s="1"/>
  <c r="N29" i="30"/>
  <c r="P29" i="30" s="1"/>
  <c r="F45" i="22"/>
  <c r="N23" i="30"/>
  <c r="P23" i="30" s="1"/>
  <c r="F4" i="37"/>
  <c r="I5" i="22" s="1"/>
  <c r="F13" i="39"/>
  <c r="J15" i="22" s="1"/>
  <c r="F13" i="37"/>
  <c r="I15" i="22" s="1"/>
  <c r="P34" i="35"/>
  <c r="P31" i="35"/>
  <c r="P33" i="35"/>
  <c r="P17" i="35"/>
  <c r="P36" i="35"/>
  <c r="P30" i="35"/>
  <c r="F11" i="35"/>
  <c r="F10" i="35"/>
  <c r="P21" i="35"/>
  <c r="P27" i="35"/>
  <c r="P26" i="35"/>
  <c r="P20" i="35"/>
  <c r="P18" i="35"/>
  <c r="P19" i="35"/>
  <c r="F13" i="35"/>
  <c r="G15" i="22" s="1"/>
  <c r="F13" i="45"/>
  <c r="H15" i="22" s="1"/>
  <c r="P22" i="39"/>
  <c r="F7" i="39" s="1"/>
  <c r="J9" i="22" s="1"/>
  <c r="P28" i="39"/>
  <c r="F8" i="39" s="1"/>
  <c r="J10" i="22" s="1"/>
  <c r="P32" i="39"/>
  <c r="P37" i="39" s="1"/>
  <c r="F9" i="39" s="1"/>
  <c r="J11" i="22" s="1"/>
  <c r="F4" i="39"/>
  <c r="J5" i="22" s="1"/>
  <c r="J7" i="22" s="1"/>
  <c r="P32" i="37"/>
  <c r="P37" i="37" s="1"/>
  <c r="F9" i="37" s="1"/>
  <c r="I11" i="22" s="1"/>
  <c r="P22" i="37"/>
  <c r="F7" i="37" s="1"/>
  <c r="I9" i="22" s="1"/>
  <c r="P28" i="37"/>
  <c r="F8" i="37" s="1"/>
  <c r="I10" i="22" s="1"/>
  <c r="V57" i="36"/>
  <c r="F35" i="35" s="1"/>
  <c r="G38" i="22" s="1"/>
  <c r="N57" i="36"/>
  <c r="F37" i="35" s="1"/>
  <c r="G40" i="22" s="1"/>
  <c r="Q11" i="35"/>
  <c r="I51" i="30"/>
  <c r="P15" i="30"/>
  <c r="L45" i="30"/>
  <c r="N16" i="30"/>
  <c r="P16" i="30" s="1"/>
  <c r="L50" i="30"/>
  <c r="N46" i="30"/>
  <c r="P46" i="30" s="1"/>
  <c r="P50" i="30" s="1"/>
  <c r="N17" i="30"/>
  <c r="P17" i="30" s="1"/>
  <c r="G13" i="22" l="1"/>
  <c r="F13" i="22" s="1"/>
  <c r="G12" i="22"/>
  <c r="F12" i="22" s="1"/>
  <c r="I42" i="22"/>
  <c r="J40" i="22"/>
  <c r="J42" i="22" s="1"/>
  <c r="H42" i="22"/>
  <c r="F38" i="22"/>
  <c r="F17" i="37"/>
  <c r="I19" i="22" s="1"/>
  <c r="F17" i="39"/>
  <c r="J19" i="22" s="1"/>
  <c r="F30" i="22"/>
  <c r="F32" i="22"/>
  <c r="F14" i="37"/>
  <c r="I16" i="22" s="1"/>
  <c r="F14" i="39"/>
  <c r="J16" i="22" s="1"/>
  <c r="I7" i="22"/>
  <c r="F5" i="22"/>
  <c r="F15" i="39"/>
  <c r="J17" i="22" s="1"/>
  <c r="F15" i="37"/>
  <c r="I17" i="22" s="1"/>
  <c r="P32" i="35"/>
  <c r="P37" i="35" s="1"/>
  <c r="F9" i="35" s="1"/>
  <c r="G11" i="22" s="1"/>
  <c r="P32" i="45"/>
  <c r="P37" i="45" s="1"/>
  <c r="F9" i="45" s="1"/>
  <c r="H11" i="22" s="1"/>
  <c r="F17" i="35"/>
  <c r="G19" i="22" s="1"/>
  <c r="F17" i="45"/>
  <c r="H19" i="22" s="1"/>
  <c r="P22" i="45"/>
  <c r="F7" i="45" s="1"/>
  <c r="H9" i="22" s="1"/>
  <c r="P22" i="35"/>
  <c r="F7" i="35" s="1"/>
  <c r="G9" i="22" s="1"/>
  <c r="F15" i="35"/>
  <c r="G17" i="22" s="1"/>
  <c r="F15" i="45"/>
  <c r="H17" i="22" s="1"/>
  <c r="F14" i="45"/>
  <c r="H16" i="22" s="1"/>
  <c r="F39" i="39"/>
  <c r="F39" i="37"/>
  <c r="L51" i="30"/>
  <c r="F14" i="35"/>
  <c r="G16" i="22" s="1"/>
  <c r="P45" i="30"/>
  <c r="H7" i="22" l="1"/>
  <c r="F7" i="22"/>
  <c r="F11" i="22"/>
  <c r="F9" i="22"/>
  <c r="F40" i="22"/>
  <c r="F8" i="22"/>
  <c r="F15" i="22"/>
  <c r="F19" i="22"/>
  <c r="F16" i="39"/>
  <c r="J18" i="22" s="1"/>
  <c r="F16" i="37"/>
  <c r="I18" i="22" s="1"/>
  <c r="F16" i="22"/>
  <c r="F39" i="45"/>
  <c r="F16" i="45"/>
  <c r="H18" i="22" s="1"/>
  <c r="P51" i="30"/>
  <c r="F16" i="35"/>
  <c r="G18" i="22" s="1"/>
  <c r="F39" i="35"/>
  <c r="G7" i="22"/>
  <c r="F17" i="22" l="1"/>
  <c r="F25" i="39"/>
  <c r="J27" i="22" s="1"/>
  <c r="J28" i="22" s="1"/>
  <c r="J29" i="22" s="1"/>
  <c r="J43" i="22" s="1"/>
  <c r="J50" i="22" s="1"/>
  <c r="F25" i="37"/>
  <c r="F26" i="37" l="1"/>
  <c r="I27" i="22"/>
  <c r="I28" i="22" s="1"/>
  <c r="I29" i="22" s="1"/>
  <c r="I43" i="22" s="1"/>
  <c r="I50" i="22" s="1"/>
  <c r="F18" i="22"/>
  <c r="F26" i="39"/>
  <c r="P28" i="45" l="1"/>
  <c r="F8" i="45" s="1"/>
  <c r="H10" i="22" s="1"/>
  <c r="P28" i="35"/>
  <c r="F8" i="35" s="1"/>
  <c r="G10" i="22" s="1"/>
  <c r="F10" i="22" l="1"/>
  <c r="F25" i="35"/>
  <c r="G27" i="22" s="1"/>
  <c r="F25" i="45"/>
  <c r="F26" i="45" l="1"/>
  <c r="H27" i="22"/>
  <c r="H28" i="22" s="1"/>
  <c r="H29" i="22" s="1"/>
  <c r="H43" i="22" s="1"/>
  <c r="H50" i="22" s="1"/>
  <c r="F26" i="35"/>
  <c r="G4" i="22"/>
  <c r="F27" i="22" l="1"/>
  <c r="F28" i="22" s="1"/>
  <c r="F29" i="22" s="1"/>
  <c r="G28" i="22"/>
  <c r="G49" i="22"/>
  <c r="F49" i="22" s="1"/>
  <c r="G42" i="22"/>
  <c r="G29" i="22" l="1"/>
  <c r="G43" i="22" l="1"/>
  <c r="G50" i="22" s="1"/>
  <c r="F50" i="22" l="1"/>
  <c r="F43" i="22"/>
  <c r="F42" i="22"/>
</calcChain>
</file>

<file path=xl/sharedStrings.xml><?xml version="1.0" encoding="utf-8"?>
<sst xmlns="http://schemas.openxmlformats.org/spreadsheetml/2006/main" count="1937" uniqueCount="501">
  <si>
    <t>交際費等 雑費</t>
    <rPh sb="0" eb="3">
      <t>コウサイヒ</t>
    </rPh>
    <rPh sb="3" eb="4">
      <t>トウ</t>
    </rPh>
    <rPh sb="5" eb="7">
      <t>ザッピ</t>
    </rPh>
    <phoneticPr fontId="4"/>
  </si>
  <si>
    <t>雑損失</t>
    <rPh sb="0" eb="2">
      <t>ザッソン</t>
    </rPh>
    <rPh sb="2" eb="3">
      <t>シツ</t>
    </rPh>
    <phoneticPr fontId="4"/>
  </si>
  <si>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</si>
  <si>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</si>
  <si>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</si>
  <si>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</si>
  <si>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</si>
  <si>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</si>
  <si>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</si>
  <si>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</si>
  <si>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水稲</t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</si>
  <si>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</si>
  <si>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</si>
  <si>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</si>
  <si>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</si>
  <si>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</si>
  <si>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</si>
  <si>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</si>
  <si>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</si>
  <si>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</si>
  <si>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</si>
  <si>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</si>
  <si>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</si>
  <si>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</si>
  <si>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</si>
  <si>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</si>
  <si>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</si>
  <si>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</si>
  <si>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</si>
  <si>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</si>
  <si>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</si>
  <si>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</si>
  <si>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</si>
  <si>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燃料費の</t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</si>
  <si>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</si>
  <si>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</si>
  <si>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</si>
  <si>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</si>
  <si>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</si>
  <si>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</si>
  <si>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</si>
  <si>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</si>
  <si>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</si>
  <si>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</si>
  <si>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</si>
  <si>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小　　計</t>
  </si>
  <si>
    <t>　　小　　計</t>
  </si>
  <si>
    <t>鉄パイプ</t>
  </si>
  <si>
    <t>ガソリン</t>
    <phoneticPr fontId="4"/>
  </si>
  <si>
    <t>軽油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</si>
  <si>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</si>
  <si>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</si>
  <si>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</si>
  <si>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</si>
  <si>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トラクター</t>
  </si>
  <si>
    <t>ドライブハロー</t>
  </si>
  <si>
    <t>コンバイン</t>
  </si>
  <si>
    <t>品種</t>
    <rPh sb="0" eb="2">
      <t>ヒンシュ</t>
    </rPh>
    <phoneticPr fontId="4"/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</si>
  <si>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</si>
  <si>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</si>
  <si>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</si>
  <si>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</si>
  <si>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</si>
  <si>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</si>
  <si>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</si>
  <si>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</si>
  <si>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</si>
  <si>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</si>
  <si>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</si>
  <si>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役員報酬</t>
    <rPh sb="0" eb="2">
      <t>ヤクイン</t>
    </rPh>
    <rPh sb="2" eb="4">
      <t>ホウシュウ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</si>
  <si>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</si>
  <si>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租税公課</t>
    <rPh sb="0" eb="2">
      <t>ソゼイ</t>
    </rPh>
    <rPh sb="2" eb="4">
      <t>コウカ</t>
    </rPh>
    <phoneticPr fontId="4"/>
  </si>
  <si>
    <t>雑収入</t>
    <rPh sb="0" eb="3">
      <t>ザッシュウニュウ</t>
    </rPh>
    <phoneticPr fontId="4"/>
  </si>
  <si>
    <t>営業外
収益</t>
    <rPh sb="0" eb="3">
      <t>エイギョウガイ</t>
    </rPh>
    <rPh sb="4" eb="6">
      <t>シュウエキ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</si>
  <si>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</si>
  <si>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</si>
  <si>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</si>
  <si>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</si>
  <si>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</si>
  <si>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</si>
  <si>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</si>
  <si>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</si>
  <si>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</si>
  <si>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</si>
  <si>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</si>
  <si>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</si>
  <si>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</si>
  <si>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</si>
  <si>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</si>
  <si>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</si>
  <si>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</si>
  <si>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営業損益</t>
    <rPh sb="0" eb="2">
      <t>エイギョウ</t>
    </rPh>
    <rPh sb="2" eb="4">
      <t>ソンエキ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</si>
  <si>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</si>
  <si>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</si>
  <si>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</si>
  <si>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</si>
  <si>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</si>
  <si>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</si>
  <si>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営業外損益</t>
    <rPh sb="0" eb="3">
      <t>エイギョウガイ</t>
    </rPh>
    <rPh sb="3" eb="5">
      <t>ソンエキ</t>
    </rPh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</si>
  <si>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</si>
  <si>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負担根拠</t>
    <rPh sb="0" eb="2">
      <t>フタン</t>
    </rPh>
    <rPh sb="2" eb="4">
      <t>コンキョ</t>
    </rPh>
    <phoneticPr fontId="4"/>
  </si>
  <si>
    <t>本作目
負担割合</t>
    <phoneticPr fontId="4"/>
  </si>
  <si>
    <t>（数値）</t>
    <rPh sb="1" eb="3">
      <t>スウチ</t>
    </rPh>
    <phoneticPr fontId="4"/>
  </si>
  <si>
    <t>　　合　　計</t>
    <phoneticPr fontId="4"/>
  </si>
  <si>
    <t>台</t>
    <rPh sb="0" eb="1">
      <t>ダイ</t>
    </rPh>
    <phoneticPr fontId="4"/>
  </si>
  <si>
    <t>鉄骨　スレート</t>
    <rPh sb="0" eb="2">
      <t>テッコツ</t>
    </rPh>
    <phoneticPr fontId="4"/>
  </si>
  <si>
    <t>㎡</t>
    <phoneticPr fontId="4"/>
  </si>
  <si>
    <t>４　経営収支</t>
    <rPh sb="2" eb="4">
      <t>ケイエイ</t>
    </rPh>
    <rPh sb="4" eb="6">
      <t>シュウシ</t>
    </rPh>
    <phoneticPr fontId="4"/>
  </si>
  <si>
    <t>７－１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</si>
  <si>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３－１　標準技術（水稲）</t>
    <rPh sb="4" eb="6">
      <t>ヒョウジュン</t>
    </rPh>
    <rPh sb="6" eb="8">
      <t>ギジュツ</t>
    </rPh>
    <rPh sb="9" eb="11">
      <t>スイトウ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</si>
  <si>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</si>
  <si>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</si>
  <si>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</si>
  <si>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</si>
  <si>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</si>
  <si>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</si>
  <si>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</si>
  <si>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</si>
  <si>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</si>
  <si>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</si>
  <si>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</si>
  <si>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</si>
  <si>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収穫 ：</t>
    <phoneticPr fontId="4"/>
  </si>
  <si>
    <t>２　前提条件</t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</si>
  <si>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</si>
  <si>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</si>
  <si>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法定福利費　等</t>
  </si>
  <si>
    <t>法定福利費　等</t>
    <phoneticPr fontId="4"/>
  </si>
  <si>
    <t>給料手当</t>
    <rPh sb="0" eb="2">
      <t>キュウリョウ</t>
    </rPh>
    <rPh sb="2" eb="4">
      <t>テアテ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</si>
  <si>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</si>
  <si>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</si>
  <si>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</si>
  <si>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</si>
  <si>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</si>
  <si>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</si>
  <si>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</si>
  <si>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５－１　作業別・旬別作業時間（水稲，1ha当たり）</t>
    <rPh sb="15" eb="17">
      <t>スイトウ</t>
    </rPh>
    <phoneticPr fontId="4"/>
  </si>
  <si>
    <t>形式・構造　等</t>
    <rPh sb="6" eb="7">
      <t>ナド</t>
    </rPh>
    <phoneticPr fontId="4"/>
  </si>
  <si>
    <t>区分</t>
    <rPh sb="0" eb="2">
      <t>クブン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</si>
  <si>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</si>
  <si>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</si>
  <si>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②（％）</t>
    <phoneticPr fontId="4"/>
  </si>
  <si>
    <t>①（円）</t>
    <phoneticPr fontId="4"/>
  </si>
  <si>
    <t>④ （％）</t>
    <phoneticPr fontId="4"/>
  </si>
  <si>
    <t>残存割合</t>
    <rPh sb="0" eb="2">
      <t>ザンゾン</t>
    </rPh>
    <rPh sb="2" eb="4">
      <t>ワリアイ</t>
    </rPh>
    <phoneticPr fontId="4"/>
  </si>
  <si>
    <t>⑥（％）</t>
    <phoneticPr fontId="4"/>
  </si>
  <si>
    <t>⑧（年）</t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</si>
  <si>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</si>
  <si>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</si>
  <si>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⑤=③×④（円/ha）</t>
    <phoneticPr fontId="4"/>
  </si>
  <si>
    <t>⑦＝⑤×⑥（円/ha）</t>
    <rPh sb="6" eb="7">
      <t>エン</t>
    </rPh>
    <phoneticPr fontId="4"/>
  </si>
  <si>
    <t>⑨＝（⑤－⑦）÷⑧（円/ha）</t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</si>
  <si>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</si>
  <si>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</si>
  <si>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</si>
  <si>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</si>
  <si>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</si>
  <si>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</si>
  <si>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</si>
  <si>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</si>
  <si>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小計</t>
  </si>
  <si>
    <t>（kg）</t>
    <phoneticPr fontId="4"/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</si>
  <si>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</si>
  <si>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</si>
  <si>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</si>
  <si>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</si>
  <si>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</si>
  <si>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</si>
  <si>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</si>
  <si>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</si>
  <si>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</si>
  <si>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</si>
  <si>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</si>
  <si>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</si>
  <si>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</si>
  <si>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</si>
  <si>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</si>
  <si>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</si>
  <si>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</si>
  <si>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</si>
  <si>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t</t>
    <phoneticPr fontId="4"/>
  </si>
  <si>
    <t>肥料名</t>
    <rPh sb="0" eb="2">
      <t>ヒリョウ</t>
    </rPh>
    <rPh sb="2" eb="3">
      <t>メイ</t>
    </rPh>
    <phoneticPr fontId="4"/>
  </si>
  <si>
    <t>1ha機械</t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</si>
  <si>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</si>
  <si>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</si>
  <si>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</si>
  <si>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</si>
  <si>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</si>
  <si>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</si>
  <si>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</si>
  <si>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</si>
  <si>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</si>
  <si>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</si>
  <si>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</si>
  <si>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</si>
  <si>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負担面積（ha）</t>
    <rPh sb="0" eb="2">
      <t>フタン</t>
    </rPh>
    <rPh sb="2" eb="4">
      <t>メンセキ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</si>
  <si>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</si>
  <si>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</si>
  <si>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</si>
  <si>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</si>
  <si>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</si>
  <si>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</si>
  <si>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</si>
  <si>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</si>
  <si>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</si>
  <si>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</si>
  <si>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売上総利益　③=①-②</t>
    <rPh sb="0" eb="2">
      <t>ウリアゲ</t>
    </rPh>
    <rPh sb="2" eb="5">
      <t>ソウリエキ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</si>
  <si>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</si>
  <si>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</t>
    <rPh sb="0" eb="2">
      <t>ウリアゲ</t>
    </rPh>
    <rPh sb="2" eb="4">
      <t>ゲンカ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</si>
  <si>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</si>
  <si>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</si>
  <si>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</si>
  <si>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営業外費用　⑦</t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</si>
  <si>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</si>
  <si>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</si>
  <si>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</si>
  <si>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</si>
  <si>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</si>
  <si>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営業外
費用</t>
    <phoneticPr fontId="4"/>
  </si>
  <si>
    <t>営業外</t>
    <rPh sb="0" eb="3">
      <t>エイギョウガイ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</si>
  <si>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</si>
  <si>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</si>
  <si>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</si>
  <si>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</si>
  <si>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</si>
  <si>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</si>
  <si>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水稲共済</t>
    <rPh sb="0" eb="2">
      <t>スイトウ</t>
    </rPh>
    <rPh sb="2" eb="4">
      <t>キョウサイ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</si>
  <si>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</si>
  <si>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</si>
  <si>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</si>
  <si>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</si>
  <si>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</si>
  <si>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</si>
  <si>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</si>
  <si>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</si>
  <si>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</si>
  <si>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</si>
  <si>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</si>
  <si>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</si>
  <si>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</si>
  <si>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</si>
  <si>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</si>
  <si>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</si>
  <si>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</si>
  <si>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</si>
  <si>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本</t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</si>
  <si>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</si>
  <si>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</si>
  <si>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</si>
  <si>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</si>
  <si>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</si>
  <si>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</si>
  <si>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</si>
  <si>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普通トラック</t>
    <phoneticPr fontId="4"/>
  </si>
  <si>
    <t>普通トラック</t>
    <phoneticPr fontId="4"/>
  </si>
  <si>
    <t>自賠責保険</t>
    <rPh sb="0" eb="3">
      <t>ジバイセキ</t>
    </rPh>
    <rPh sb="3" eb="5">
      <t>ホケン</t>
    </rPh>
    <phoneticPr fontId="4"/>
  </si>
  <si>
    <t>普通トラック</t>
    <rPh sb="0" eb="2">
      <t>フツウ</t>
    </rPh>
    <phoneticPr fontId="4"/>
  </si>
  <si>
    <t>任意保険</t>
    <rPh sb="0" eb="2">
      <t>ニンイ</t>
    </rPh>
    <rPh sb="2" eb="4">
      <t>ホケン</t>
    </rPh>
    <phoneticPr fontId="4"/>
  </si>
  <si>
    <t>毎年更新</t>
    <rPh sb="0" eb="2">
      <t>マイトシ</t>
    </rPh>
    <rPh sb="2" eb="4">
      <t>コウシン</t>
    </rPh>
    <phoneticPr fontId="4"/>
  </si>
  <si>
    <t>作目：</t>
  </si>
  <si>
    <t>作型：</t>
  </si>
  <si>
    <t>水稲</t>
    <rPh sb="0" eb="2">
      <t>スイトウ</t>
    </rPh>
    <phoneticPr fontId="4"/>
  </si>
  <si>
    <t>普通</t>
    <rPh sb="0" eb="2">
      <t>フツウ</t>
    </rPh>
    <phoneticPr fontId="4"/>
  </si>
  <si>
    <t>数量</t>
    <phoneticPr fontId="4"/>
  </si>
  <si>
    <t>販売量</t>
    <phoneticPr fontId="4"/>
  </si>
  <si>
    <t>販売量</t>
    <phoneticPr fontId="4"/>
  </si>
  <si>
    <t>月</t>
    <rPh sb="0" eb="1">
      <t>ツキ</t>
    </rPh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</si>
  <si>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</si>
  <si>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</si>
  <si>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労務費Ⅰ</t>
    <rPh sb="0" eb="3">
      <t>ロウムヒ</t>
    </rPh>
    <phoneticPr fontId="4"/>
  </si>
  <si>
    <t>労務費Ⅱ</t>
    <rPh sb="0" eb="3">
      <t>ロウムヒ</t>
    </rPh>
    <phoneticPr fontId="4"/>
  </si>
  <si>
    <t>営業外費用Ⅰ</t>
    <rPh sb="0" eb="3">
      <t>エイギョウガイ</t>
    </rPh>
    <rPh sb="3" eb="5">
      <t>ヒヨウ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</si>
  <si>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</si>
  <si>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</si>
  <si>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合　　　　計</t>
    <rPh sb="0" eb="1">
      <t>ア</t>
    </rPh>
    <rPh sb="5" eb="6">
      <t>ケイ</t>
    </rPh>
    <phoneticPr fontId="4"/>
  </si>
  <si>
    <t>育苗ハウス</t>
    <rPh sb="0" eb="2">
      <t>イクビョウ</t>
    </rPh>
    <phoneticPr fontId="4"/>
  </si>
  <si>
    <t>台</t>
    <rPh sb="0" eb="1">
      <t>ダイ</t>
    </rPh>
    <phoneticPr fontId="4"/>
  </si>
  <si>
    <t>乗用田植機</t>
    <rPh sb="0" eb="2">
      <t>ジョウヨウ</t>
    </rPh>
    <rPh sb="2" eb="4">
      <t>タウエ</t>
    </rPh>
    <rPh sb="4" eb="5">
      <t>キ</t>
    </rPh>
    <phoneticPr fontId="4"/>
  </si>
  <si>
    <r>
      <t>2.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m幅</t>
    </r>
    <phoneticPr fontId="4"/>
  </si>
  <si>
    <r>
      <t>2.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m幅</t>
    </r>
    <phoneticPr fontId="4"/>
  </si>
  <si>
    <t>１種類</t>
    <phoneticPr fontId="4"/>
  </si>
  <si>
    <t>フレコン</t>
    <phoneticPr fontId="4"/>
  </si>
  <si>
    <t>トラクター</t>
    <phoneticPr fontId="4"/>
  </si>
  <si>
    <t>台</t>
    <rPh sb="0" eb="1">
      <t>ダイ</t>
    </rPh>
    <phoneticPr fontId="4"/>
  </si>
  <si>
    <t>乗用管理機</t>
    <rPh sb="0" eb="2">
      <t>ジョウヨウ</t>
    </rPh>
    <rPh sb="2" eb="4">
      <t>カンリ</t>
    </rPh>
    <rPh sb="4" eb="5">
      <t>キ</t>
    </rPh>
    <phoneticPr fontId="4"/>
  </si>
  <si>
    <t>飼料用米</t>
    <rPh sb="0" eb="3">
      <t>シリョウヨウ</t>
    </rPh>
    <rPh sb="3" eb="4">
      <t>マイ</t>
    </rPh>
    <phoneticPr fontId="4"/>
  </si>
  <si>
    <t>㎏</t>
    <phoneticPr fontId="4"/>
  </si>
  <si>
    <t>催芽機</t>
    <rPh sb="0" eb="1">
      <t>サイ</t>
    </rPh>
    <rPh sb="1" eb="2">
      <t>ガ</t>
    </rPh>
    <rPh sb="2" eb="3">
      <t>キ</t>
    </rPh>
    <phoneticPr fontId="4"/>
  </si>
  <si>
    <t>播種覆土一連機械</t>
    <rPh sb="0" eb="2">
      <t>ハシュ</t>
    </rPh>
    <rPh sb="2" eb="4">
      <t>フクド</t>
    </rPh>
    <rPh sb="4" eb="6">
      <t>イチレン</t>
    </rPh>
    <rPh sb="6" eb="8">
      <t>キカイ</t>
    </rPh>
    <phoneticPr fontId="4"/>
  </si>
  <si>
    <t>育苗器</t>
    <rPh sb="0" eb="2">
      <t>イクビョウ</t>
    </rPh>
    <rPh sb="2" eb="3">
      <t>キ</t>
    </rPh>
    <phoneticPr fontId="4"/>
  </si>
  <si>
    <t>代かき</t>
    <rPh sb="0" eb="1">
      <t>シロ</t>
    </rPh>
    <phoneticPr fontId="4"/>
  </si>
  <si>
    <t>散布巾10ｍ</t>
    <rPh sb="0" eb="2">
      <t>サンプ</t>
    </rPh>
    <rPh sb="2" eb="3">
      <t>ハバ</t>
    </rPh>
    <phoneticPr fontId="4"/>
  </si>
  <si>
    <t>ｍｌ</t>
    <phoneticPr fontId="4"/>
  </si>
  <si>
    <t>㎏</t>
  </si>
  <si>
    <t>㎏</t>
    <phoneticPr fontId="4"/>
  </si>
  <si>
    <t>㎏</t>
    <phoneticPr fontId="4"/>
  </si>
  <si>
    <t>耕起作業（トラクター）</t>
    <rPh sb="0" eb="2">
      <t>コウキ</t>
    </rPh>
    <rPh sb="2" eb="4">
      <t>サギョウ</t>
    </rPh>
    <phoneticPr fontId="4"/>
  </si>
  <si>
    <t>代かき作業（トラクター）</t>
    <rPh sb="0" eb="1">
      <t>シロ</t>
    </rPh>
    <rPh sb="3" eb="5">
      <t>サギョウ</t>
    </rPh>
    <phoneticPr fontId="4"/>
  </si>
  <si>
    <t>田植作業（田植機）</t>
    <rPh sb="0" eb="2">
      <t>タウエ</t>
    </rPh>
    <rPh sb="2" eb="4">
      <t>サギョウ</t>
    </rPh>
    <rPh sb="5" eb="7">
      <t>タウ</t>
    </rPh>
    <rPh sb="7" eb="8">
      <t>キ</t>
    </rPh>
    <phoneticPr fontId="4"/>
  </si>
  <si>
    <t>ℓ・kw／時</t>
    <rPh sb="5" eb="6">
      <t>ジ</t>
    </rPh>
    <phoneticPr fontId="4"/>
  </si>
  <si>
    <t>収穫作業（コンバイン）</t>
    <rPh sb="0" eb="2">
      <t>シュウカク</t>
    </rPh>
    <rPh sb="2" eb="4">
      <t>サギョウ</t>
    </rPh>
    <phoneticPr fontId="4"/>
  </si>
  <si>
    <t>乾燥作業（乾燥機）</t>
    <rPh sb="0" eb="2">
      <t>カンソウ</t>
    </rPh>
    <rPh sb="2" eb="4">
      <t>サギョウ</t>
    </rPh>
    <rPh sb="5" eb="8">
      <t>カンソウキ</t>
    </rPh>
    <phoneticPr fontId="4"/>
  </si>
  <si>
    <t>防除作業（管理ビーグル）</t>
    <rPh sb="0" eb="2">
      <t>ボウジョ</t>
    </rPh>
    <rPh sb="2" eb="4">
      <t>サギョウ</t>
    </rPh>
    <rPh sb="5" eb="7">
      <t>カンリ</t>
    </rPh>
    <phoneticPr fontId="4"/>
  </si>
  <si>
    <t>調製作業（籾摺機）</t>
    <rPh sb="0" eb="2">
      <t>チョウセイ</t>
    </rPh>
    <rPh sb="2" eb="4">
      <t>サギョウ</t>
    </rPh>
    <rPh sb="5" eb="6">
      <t>モミ</t>
    </rPh>
    <rPh sb="6" eb="7">
      <t>スリ</t>
    </rPh>
    <rPh sb="7" eb="8">
      <t>キ</t>
    </rPh>
    <phoneticPr fontId="4"/>
  </si>
  <si>
    <t>育苗作業（育苗関連機器）</t>
    <rPh sb="0" eb="2">
      <t>イクビョウ</t>
    </rPh>
    <rPh sb="2" eb="4">
      <t>サギョウ</t>
    </rPh>
    <rPh sb="5" eb="7">
      <t>イクビョウ</t>
    </rPh>
    <rPh sb="7" eb="9">
      <t>カンレン</t>
    </rPh>
    <rPh sb="9" eb="11">
      <t>キキ</t>
    </rPh>
    <phoneticPr fontId="4"/>
  </si>
  <si>
    <t>改良資材散布（トラクター，ｺﾝﾎﾟｷｬｽﾀｰ）</t>
    <rPh sb="0" eb="2">
      <t>カイリョウ</t>
    </rPh>
    <rPh sb="2" eb="4">
      <t>シザイ</t>
    </rPh>
    <rPh sb="4" eb="6">
      <t>サンプ</t>
    </rPh>
    <phoneticPr fontId="4"/>
  </si>
  <si>
    <t>堆肥散布作業（ﾏﾆｭｱｽﾌﾟﾚｯﾀﾞ）</t>
    <rPh sb="0" eb="2">
      <t>タイヒ</t>
    </rPh>
    <rPh sb="2" eb="4">
      <t>サンプ</t>
    </rPh>
    <rPh sb="4" eb="6">
      <t>サギョウ</t>
    </rPh>
    <phoneticPr fontId="4"/>
  </si>
  <si>
    <t>ｍｌ</t>
  </si>
  <si>
    <t>ﾌｫｰｸﾘﾌﾄ</t>
  </si>
  <si>
    <t>乾燥調製施設</t>
  </si>
  <si>
    <t>農機具庫</t>
    <rPh sb="3" eb="4">
      <t>コ</t>
    </rPh>
    <phoneticPr fontId="4"/>
  </si>
  <si>
    <t>2ｔﾄﾗｯｸ</t>
    <phoneticPr fontId="4"/>
  </si>
  <si>
    <t>種子予措</t>
    <rPh sb="0" eb="2">
      <t>シュシ</t>
    </rPh>
    <rPh sb="2" eb="3">
      <t>ヨ</t>
    </rPh>
    <rPh sb="3" eb="4">
      <t>ソ</t>
    </rPh>
    <phoneticPr fontId="4"/>
  </si>
  <si>
    <t>育苗管理</t>
    <rPh sb="0" eb="2">
      <t>イクビョウ</t>
    </rPh>
    <rPh sb="2" eb="4">
      <t>カンリ</t>
    </rPh>
    <phoneticPr fontId="4"/>
  </si>
  <si>
    <t>耕起</t>
    <rPh sb="0" eb="2">
      <t>コウキ</t>
    </rPh>
    <phoneticPr fontId="4"/>
  </si>
  <si>
    <t>田植</t>
    <rPh sb="0" eb="2">
      <t>タウエ</t>
    </rPh>
    <phoneticPr fontId="4"/>
  </si>
  <si>
    <t>除草</t>
    <rPh sb="0" eb="2">
      <t>ジョソウ</t>
    </rPh>
    <phoneticPr fontId="4"/>
  </si>
  <si>
    <t>追肥</t>
    <rPh sb="0" eb="2">
      <t>ツイヒ</t>
    </rPh>
    <phoneticPr fontId="4"/>
  </si>
  <si>
    <t>防除</t>
    <rPh sb="0" eb="2">
      <t>ボウジョ</t>
    </rPh>
    <phoneticPr fontId="4"/>
  </si>
  <si>
    <t>刈取，脱穀</t>
    <rPh sb="0" eb="2">
      <t>カリト</t>
    </rPh>
    <rPh sb="3" eb="5">
      <t>ダッコク</t>
    </rPh>
    <phoneticPr fontId="4"/>
  </si>
  <si>
    <t>乾燥調製出荷</t>
    <rPh sb="0" eb="2">
      <t>カンソウ</t>
    </rPh>
    <rPh sb="2" eb="4">
      <t>チョウセイ</t>
    </rPh>
    <rPh sb="4" eb="6">
      <t>シュッカ</t>
    </rPh>
    <phoneticPr fontId="4"/>
  </si>
  <si>
    <t>堆肥，改良資材散布</t>
    <rPh sb="0" eb="2">
      <t>タイヒ</t>
    </rPh>
    <rPh sb="3" eb="5">
      <t>カイリョウ</t>
    </rPh>
    <rPh sb="5" eb="7">
      <t>シザイ</t>
    </rPh>
    <rPh sb="7" eb="9">
      <t>サンプ</t>
    </rPh>
    <phoneticPr fontId="4"/>
  </si>
  <si>
    <t>収穫</t>
    <rPh sb="0" eb="2">
      <t>シュウカク</t>
    </rPh>
    <phoneticPr fontId="4"/>
  </si>
  <si>
    <t>46psキャビン付（ﾛｰﾀﾘｰ）</t>
    <phoneticPr fontId="4"/>
  </si>
  <si>
    <t>32ｐｓ（ﾛｰﾀﾘｰ）</t>
    <phoneticPr fontId="4"/>
  </si>
  <si>
    <t>１種類</t>
  </si>
  <si>
    <t>混合剤</t>
    <rPh sb="0" eb="3">
      <t>コンゴウザイ</t>
    </rPh>
    <phoneticPr fontId="4"/>
  </si>
  <si>
    <t>3種類</t>
  </si>
  <si>
    <t>3種類</t>
    <phoneticPr fontId="4"/>
  </si>
  <si>
    <t>殺虫剤</t>
    <rPh sb="0" eb="3">
      <t>サッチュウザイ</t>
    </rPh>
    <phoneticPr fontId="4"/>
  </si>
  <si>
    <t>2種類</t>
  </si>
  <si>
    <t>2種類</t>
    <phoneticPr fontId="4"/>
  </si>
  <si>
    <t>6作業</t>
    <rPh sb="1" eb="3">
      <t>サギョウ</t>
    </rPh>
    <phoneticPr fontId="4"/>
  </si>
  <si>
    <t>1作業</t>
    <rPh sb="1" eb="3">
      <t>サギョウ</t>
    </rPh>
    <phoneticPr fontId="4"/>
  </si>
  <si>
    <t>3作業</t>
    <rPh sb="1" eb="3">
      <t>サギョウ</t>
    </rPh>
    <phoneticPr fontId="4"/>
  </si>
  <si>
    <t>ha</t>
  </si>
  <si>
    <t>ha</t>
    <phoneticPr fontId="3"/>
  </si>
  <si>
    <t>円/10a</t>
    <rPh sb="0" eb="1">
      <t>エン</t>
    </rPh>
    <phoneticPr fontId="4"/>
  </si>
  <si>
    <t>オペ労賃</t>
    <phoneticPr fontId="6"/>
  </si>
  <si>
    <t>補助労務賃金</t>
    <phoneticPr fontId="6"/>
  </si>
  <si>
    <t>オペ</t>
    <phoneticPr fontId="4"/>
  </si>
  <si>
    <t>補助</t>
    <rPh sb="0" eb="2">
      <t>ホジョ</t>
    </rPh>
    <phoneticPr fontId="4"/>
  </si>
  <si>
    <t>合計</t>
    <rPh sb="0" eb="2">
      <t>ゴウケイ</t>
    </rPh>
    <phoneticPr fontId="4"/>
  </si>
  <si>
    <t>食用米（普通コシヒカリ）</t>
    <rPh sb="0" eb="2">
      <t>ショクヨウ</t>
    </rPh>
    <rPh sb="2" eb="3">
      <t>マイ</t>
    </rPh>
    <rPh sb="4" eb="6">
      <t>フツウ</t>
    </rPh>
    <phoneticPr fontId="3"/>
  </si>
  <si>
    <t>食用米（あきろまん）</t>
    <rPh sb="0" eb="2">
      <t>ショクヨウ</t>
    </rPh>
    <rPh sb="2" eb="3">
      <t>マイ</t>
    </rPh>
    <phoneticPr fontId="3"/>
  </si>
  <si>
    <t>米袋</t>
    <rPh sb="0" eb="1">
      <t>コメ</t>
    </rPh>
    <rPh sb="1" eb="2">
      <t>フクロ</t>
    </rPh>
    <phoneticPr fontId="4"/>
  </si>
  <si>
    <t>検査手数料</t>
    <rPh sb="0" eb="2">
      <t>ケンサ</t>
    </rPh>
    <rPh sb="2" eb="5">
      <t>テスウリョウ</t>
    </rPh>
    <phoneticPr fontId="4"/>
  </si>
  <si>
    <t>部門面積</t>
    <rPh sb="0" eb="2">
      <t>ブモン</t>
    </rPh>
    <rPh sb="2" eb="4">
      <t>メンセキ</t>
    </rPh>
    <phoneticPr fontId="4"/>
  </si>
  <si>
    <t>倒伏しやすい品種</t>
    <rPh sb="0" eb="2">
      <t>トウフク</t>
    </rPh>
    <rPh sb="6" eb="8">
      <t>ヒンシュ</t>
    </rPh>
    <phoneticPr fontId="4"/>
  </si>
  <si>
    <t>倒伏しにくい品種</t>
    <rPh sb="0" eb="2">
      <t>トウフク</t>
    </rPh>
    <rPh sb="6" eb="8">
      <t>ヒンシュ</t>
    </rPh>
    <phoneticPr fontId="4"/>
  </si>
  <si>
    <t>加工多収</t>
    <rPh sb="0" eb="2">
      <t>カコウ</t>
    </rPh>
    <rPh sb="2" eb="4">
      <t>タシュウ</t>
    </rPh>
    <phoneticPr fontId="4"/>
  </si>
  <si>
    <t>米粉飼料</t>
    <rPh sb="0" eb="1">
      <t>コメ</t>
    </rPh>
    <rPh sb="1" eb="2">
      <t>コ</t>
    </rPh>
    <rPh sb="2" eb="4">
      <t>シリョウ</t>
    </rPh>
    <phoneticPr fontId="4"/>
  </si>
  <si>
    <t>ＷＣＳ</t>
    <phoneticPr fontId="4"/>
  </si>
  <si>
    <t>大豆</t>
    <rPh sb="0" eb="2">
      <t>ダイズ</t>
    </rPh>
    <phoneticPr fontId="4"/>
  </si>
  <si>
    <t>麦</t>
    <rPh sb="0" eb="1">
      <t>ムギ</t>
    </rPh>
    <phoneticPr fontId="4"/>
  </si>
  <si>
    <t>○○</t>
    <phoneticPr fontId="4"/>
  </si>
  <si>
    <t>１ha当り償却額</t>
    <rPh sb="3" eb="4">
      <t>アタ</t>
    </rPh>
    <rPh sb="5" eb="8">
      <t>ショウキャクガク</t>
    </rPh>
    <phoneticPr fontId="4"/>
  </si>
  <si>
    <t>恋の予感</t>
    <rPh sb="0" eb="1">
      <t>コイ</t>
    </rPh>
    <rPh sb="2" eb="4">
      <t>ヨカン</t>
    </rPh>
    <phoneticPr fontId="4"/>
  </si>
  <si>
    <t>乾燥調製一式</t>
    <rPh sb="0" eb="2">
      <t>カンソウ</t>
    </rPh>
    <rPh sb="2" eb="4">
      <t>チョウセイ</t>
    </rPh>
    <rPh sb="4" eb="6">
      <t>イッシキ</t>
    </rPh>
    <phoneticPr fontId="4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</si>
  <si>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/>
  </si>
  <si>
    <t>一式</t>
    <rPh sb="0" eb="2">
      <t>イッシキ</t>
    </rPh>
    <phoneticPr fontId="4"/>
  </si>
  <si>
    <t>普通　　（中部）</t>
    <rPh sb="0" eb="2">
      <t>フツウ</t>
    </rPh>
    <rPh sb="5" eb="6">
      <t>ナカ</t>
    </rPh>
    <phoneticPr fontId="4"/>
  </si>
  <si>
    <t>育苗</t>
    <rPh sb="0" eb="2">
      <t>イクビョウ</t>
    </rPh>
    <phoneticPr fontId="4"/>
  </si>
  <si>
    <t>本田準備</t>
    <rPh sb="0" eb="2">
      <t>ホンデン</t>
    </rPh>
    <rPh sb="2" eb="4">
      <t>ジュンビ</t>
    </rPh>
    <phoneticPr fontId="4"/>
  </si>
  <si>
    <t>収穫・調製</t>
    <rPh sb="0" eb="2">
      <t>シュウカク</t>
    </rPh>
    <rPh sb="3" eb="5">
      <t>チョウセイ</t>
    </rPh>
    <phoneticPr fontId="4"/>
  </si>
  <si>
    <t>土づくり</t>
    <rPh sb="0" eb="1">
      <t>ツチ</t>
    </rPh>
    <phoneticPr fontId="4"/>
  </si>
  <si>
    <t>塩水選-種子消毒-浸種-催芽（鳩胸）
土入れ（床土）-は種-床土の消毒-覆土-育苗器で加温
出芽-緑化-硬化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シンシュ</t>
    </rPh>
    <rPh sb="12" eb="13">
      <t>サイ</t>
    </rPh>
    <rPh sb="13" eb="14">
      <t>メ</t>
    </rPh>
    <rPh sb="15" eb="17">
      <t>ハトムネ</t>
    </rPh>
    <rPh sb="19" eb="20">
      <t>ツチ</t>
    </rPh>
    <rPh sb="20" eb="21">
      <t>イ</t>
    </rPh>
    <rPh sb="23" eb="24">
      <t>トコ</t>
    </rPh>
    <rPh sb="24" eb="25">
      <t>ツチ</t>
    </rPh>
    <rPh sb="28" eb="29">
      <t>シュ</t>
    </rPh>
    <rPh sb="30" eb="31">
      <t>トコ</t>
    </rPh>
    <rPh sb="31" eb="32">
      <t>ツチ</t>
    </rPh>
    <rPh sb="33" eb="35">
      <t>ショウドク</t>
    </rPh>
    <rPh sb="36" eb="38">
      <t>フクド</t>
    </rPh>
    <rPh sb="39" eb="41">
      <t>イクビョウ</t>
    </rPh>
    <rPh sb="41" eb="42">
      <t>キ</t>
    </rPh>
    <rPh sb="43" eb="45">
      <t>カオン</t>
    </rPh>
    <rPh sb="46" eb="48">
      <t>シュツガ</t>
    </rPh>
    <rPh sb="49" eb="51">
      <t>リョッカ</t>
    </rPh>
    <rPh sb="52" eb="54">
      <t>コウカ</t>
    </rPh>
    <phoneticPr fontId="4"/>
  </si>
  <si>
    <t>活着するまで深水管理
初期生育期から最高分げつ期まで間断かんがい
無効分げつ期頃中干し
幼穂形成期以降間断かんがい
出穂後２５日から３０日頃落水</t>
    <rPh sb="0" eb="1">
      <t>カツ</t>
    </rPh>
    <rPh sb="1" eb="2">
      <t>チャク</t>
    </rPh>
    <rPh sb="6" eb="7">
      <t>フカ</t>
    </rPh>
    <rPh sb="7" eb="8">
      <t>ミズ</t>
    </rPh>
    <rPh sb="8" eb="10">
      <t>カンリ</t>
    </rPh>
    <rPh sb="11" eb="13">
      <t>ショキ</t>
    </rPh>
    <rPh sb="13" eb="15">
      <t>セイイク</t>
    </rPh>
    <rPh sb="15" eb="16">
      <t>キ</t>
    </rPh>
    <rPh sb="18" eb="20">
      <t>サイコウ</t>
    </rPh>
    <rPh sb="20" eb="21">
      <t>ブン</t>
    </rPh>
    <rPh sb="23" eb="24">
      <t>キ</t>
    </rPh>
    <rPh sb="26" eb="28">
      <t>カンダン</t>
    </rPh>
    <rPh sb="33" eb="35">
      <t>ムコウ</t>
    </rPh>
    <rPh sb="35" eb="36">
      <t>ブン</t>
    </rPh>
    <rPh sb="38" eb="39">
      <t>キ</t>
    </rPh>
    <rPh sb="39" eb="40">
      <t>コロ</t>
    </rPh>
    <rPh sb="40" eb="41">
      <t>ナカ</t>
    </rPh>
    <rPh sb="41" eb="42">
      <t>ホ</t>
    </rPh>
    <rPh sb="44" eb="45">
      <t>ヨウ</t>
    </rPh>
    <rPh sb="45" eb="46">
      <t>ホ</t>
    </rPh>
    <rPh sb="46" eb="49">
      <t>ケイセイキ</t>
    </rPh>
    <rPh sb="49" eb="51">
      <t>イコウ</t>
    </rPh>
    <rPh sb="51" eb="53">
      <t>カンダン</t>
    </rPh>
    <rPh sb="58" eb="59">
      <t>デ</t>
    </rPh>
    <rPh sb="59" eb="60">
      <t>ホ</t>
    </rPh>
    <rPh sb="60" eb="61">
      <t>ゴ</t>
    </rPh>
    <rPh sb="63" eb="64">
      <t>ヒ</t>
    </rPh>
    <rPh sb="68" eb="69">
      <t>ヒ</t>
    </rPh>
    <rPh sb="69" eb="70">
      <t>コロ</t>
    </rPh>
    <rPh sb="70" eb="72">
      <t>ラクスイ</t>
    </rPh>
    <phoneticPr fontId="4"/>
  </si>
  <si>
    <t>いもち病
紋枯病
セジロウンカ
トビイロウンカ
カメムシ類
等病害虫防除</t>
    <rPh sb="3" eb="4">
      <t>ビョウ</t>
    </rPh>
    <rPh sb="5" eb="6">
      <t>モン</t>
    </rPh>
    <rPh sb="6" eb="7">
      <t>ガ</t>
    </rPh>
    <rPh sb="7" eb="8">
      <t>ビョウ</t>
    </rPh>
    <rPh sb="28" eb="29">
      <t>ルイ</t>
    </rPh>
    <phoneticPr fontId="4"/>
  </si>
  <si>
    <t>コンバインによる収穫
乾燥機による生籾乾燥
籾摺り、石抜き、色彩選別機による調製</t>
    <rPh sb="8" eb="10">
      <t>シュウカク</t>
    </rPh>
    <rPh sb="11" eb="14">
      <t>カンソウキ</t>
    </rPh>
    <rPh sb="17" eb="18">
      <t>ナマ</t>
    </rPh>
    <rPh sb="18" eb="19">
      <t>モミ</t>
    </rPh>
    <rPh sb="19" eb="21">
      <t>カンソウ</t>
    </rPh>
    <rPh sb="22" eb="24">
      <t>モミス</t>
    </rPh>
    <rPh sb="26" eb="27">
      <t>イシ</t>
    </rPh>
    <rPh sb="27" eb="28">
      <t>ヌ</t>
    </rPh>
    <rPh sb="30" eb="32">
      <t>シキサイ</t>
    </rPh>
    <rPh sb="32" eb="34">
      <t>センベツ</t>
    </rPh>
    <rPh sb="34" eb="35">
      <t>キ</t>
    </rPh>
    <rPh sb="38" eb="40">
      <t>チョウセイ</t>
    </rPh>
    <phoneticPr fontId="4"/>
  </si>
  <si>
    <t>コンバイン
乾燥機
籾摺り
石抜き
色彩選別機</t>
    <rPh sb="6" eb="9">
      <t>カンソウキ</t>
    </rPh>
    <phoneticPr fontId="4"/>
  </si>
  <si>
    <t>2月～5月</t>
    <rPh sb="1" eb="2">
      <t>ガツ</t>
    </rPh>
    <rPh sb="4" eb="5">
      <t>ガツ</t>
    </rPh>
    <phoneticPr fontId="2"/>
  </si>
  <si>
    <t>全期間</t>
    <rPh sb="0" eb="3">
      <t>ゼンキカン</t>
    </rPh>
    <phoneticPr fontId="2"/>
  </si>
  <si>
    <t>（除草）</t>
    <rPh sb="1" eb="3">
      <t>ジョソウ</t>
    </rPh>
    <phoneticPr fontId="4"/>
  </si>
  <si>
    <t>その他</t>
    <rPh sb="2" eb="3">
      <t>タ</t>
    </rPh>
    <phoneticPr fontId="2"/>
  </si>
  <si>
    <t>育苗箱</t>
    <rPh sb="0" eb="2">
      <t>イクビョウ</t>
    </rPh>
    <rPh sb="2" eb="3">
      <t>バコ</t>
    </rPh>
    <phoneticPr fontId="4"/>
  </si>
  <si>
    <t>450円/箱</t>
    <rPh sb="3" eb="4">
      <t>エン</t>
    </rPh>
    <rPh sb="5" eb="6">
      <t>ハコ</t>
    </rPh>
    <phoneticPr fontId="4"/>
  </si>
  <si>
    <t>200ｋｇ/回</t>
    <rPh sb="6" eb="7">
      <t>カイ</t>
    </rPh>
    <phoneticPr fontId="4"/>
  </si>
  <si>
    <t>750箱／回，フォークリフト</t>
    <phoneticPr fontId="4"/>
  </si>
  <si>
    <t>箱</t>
    <rPh sb="0" eb="1">
      <t>ハコ</t>
    </rPh>
    <phoneticPr fontId="4"/>
  </si>
  <si>
    <t>（260箱/時間）</t>
    <rPh sb="4" eb="5">
      <t>ハコ</t>
    </rPh>
    <rPh sb="6" eb="8">
      <t>ジカン</t>
    </rPh>
    <phoneticPr fontId="4"/>
  </si>
  <si>
    <t>中部</t>
    <rPh sb="0" eb="1">
      <t>チュウブ</t>
    </rPh>
    <phoneticPr fontId="3"/>
  </si>
  <si>
    <t>集落法人</t>
    <rPh sb="0" eb="2">
      <t>シュウラク</t>
    </rPh>
    <rPh sb="2" eb="4">
      <t>ホウジン</t>
    </rPh>
    <phoneticPr fontId="3"/>
  </si>
  <si>
    <t>○</t>
    <phoneticPr fontId="3"/>
  </si>
  <si>
    <t>☓</t>
    <phoneticPr fontId="3"/>
  </si>
  <si>
    <t>30ha（借地30ha）</t>
    <phoneticPr fontId="4"/>
  </si>
  <si>
    <t>系統利用（一部構成員へ販売）</t>
    <rPh sb="0" eb="2">
      <t>ケイトウ</t>
    </rPh>
    <rPh sb="2" eb="4">
      <t>リヨウ</t>
    </rPh>
    <rPh sb="5" eb="7">
      <t>イチブ</t>
    </rPh>
    <rPh sb="7" eb="10">
      <t>コウセイイン</t>
    </rPh>
    <rPh sb="11" eb="13">
      <t>ハンバイ</t>
    </rPh>
    <phoneticPr fontId="3"/>
  </si>
  <si>
    <t>３－２　標準技術（水稲）</t>
    <rPh sb="4" eb="6">
      <t>ヒョウジュン</t>
    </rPh>
    <rPh sb="6" eb="8">
      <t>ギジュツ</t>
    </rPh>
    <rPh sb="9" eb="11">
      <t>スイトウ</t>
    </rPh>
    <phoneticPr fontId="4"/>
  </si>
  <si>
    <t>７－２　経営収支（水稲部門，1ha当たり）</t>
    <rPh sb="9" eb="11">
      <t>スイトウ</t>
    </rPh>
    <rPh sb="11" eb="13">
      <t>ブモン</t>
    </rPh>
    <rPh sb="17" eb="18">
      <t>ア</t>
    </rPh>
    <phoneticPr fontId="4"/>
  </si>
  <si>
    <t>8条側条施肥機付き</t>
    <rPh sb="1" eb="2">
      <t>ジョウ</t>
    </rPh>
    <rPh sb="2" eb="3">
      <t>ソク</t>
    </rPh>
    <rPh sb="3" eb="4">
      <t>ジョウ</t>
    </rPh>
    <rPh sb="4" eb="6">
      <t>セヒ</t>
    </rPh>
    <rPh sb="6" eb="7">
      <t>キ</t>
    </rPh>
    <rPh sb="7" eb="8">
      <t>ツ</t>
    </rPh>
    <phoneticPr fontId="4"/>
  </si>
  <si>
    <t>ほ場整備完了水田，平均30a規模</t>
    <rPh sb="1" eb="2">
      <t>ジョウ</t>
    </rPh>
    <rPh sb="2" eb="4">
      <t>セイビ</t>
    </rPh>
    <rPh sb="4" eb="6">
      <t>カンリョウ</t>
    </rPh>
    <rPh sb="6" eb="8">
      <t>スイデン</t>
    </rPh>
    <rPh sb="9" eb="11">
      <t>ヘイキン</t>
    </rPh>
    <rPh sb="14" eb="16">
      <t>キボ</t>
    </rPh>
    <phoneticPr fontId="3"/>
  </si>
  <si>
    <t>組織経営体構成員</t>
    <rPh sb="0" eb="2">
      <t>ソシキ</t>
    </rPh>
    <rPh sb="2" eb="5">
      <t>ケイエイタイ</t>
    </rPh>
    <rPh sb="5" eb="8">
      <t>コウセイイン</t>
    </rPh>
    <phoneticPr fontId="3"/>
  </si>
  <si>
    <t>大型機械化体系
畦畔管理作業，水管理作業は，他へ委託する</t>
    <rPh sb="0" eb="2">
      <t>オオガタ</t>
    </rPh>
    <rPh sb="2" eb="5">
      <t>キカイカ</t>
    </rPh>
    <rPh sb="5" eb="7">
      <t>タイケイ</t>
    </rPh>
    <rPh sb="8" eb="10">
      <t>ケイハン</t>
    </rPh>
    <rPh sb="10" eb="12">
      <t>カンリ</t>
    </rPh>
    <rPh sb="12" eb="14">
      <t>サギョウ</t>
    </rPh>
    <rPh sb="15" eb="16">
      <t>ミズ</t>
    </rPh>
    <rPh sb="16" eb="18">
      <t>カンリ</t>
    </rPh>
    <rPh sb="18" eb="20">
      <t>サギョウ</t>
    </rPh>
    <rPh sb="22" eb="23">
      <t>タ</t>
    </rPh>
    <rPh sb="24" eb="26">
      <t>イタク</t>
    </rPh>
    <phoneticPr fontId="3"/>
  </si>
  <si>
    <t>稚苗疎植移植体系</t>
    <rPh sb="0" eb="2">
      <t>チビョウ</t>
    </rPh>
    <rPh sb="2" eb="3">
      <t>ソ</t>
    </rPh>
    <rPh sb="3" eb="4">
      <t>ショク</t>
    </rPh>
    <rPh sb="4" eb="6">
      <t>イショク</t>
    </rPh>
    <rPh sb="6" eb="8">
      <t>タイケイ</t>
    </rPh>
    <phoneticPr fontId="3"/>
  </si>
  <si>
    <t>機械時間（1ha当たり）</t>
    <rPh sb="0" eb="2">
      <t>キカイ</t>
    </rPh>
    <rPh sb="2" eb="4">
      <t>ジカン</t>
    </rPh>
    <phoneticPr fontId="4"/>
  </si>
  <si>
    <t>人力時間（1ha当たり）</t>
    <rPh sb="0" eb="2">
      <t>ジンリキ</t>
    </rPh>
    <rPh sb="2" eb="4">
      <t>ジカン</t>
    </rPh>
    <phoneticPr fontId="4"/>
  </si>
  <si>
    <t>田植機（肥料、育苗箱施用剤、除草剤散布機付）</t>
    <rPh sb="7" eb="9">
      <t>イクビョウ</t>
    </rPh>
    <phoneticPr fontId="4"/>
  </si>
  <si>
    <t>使用資材
（１ha当たり）</t>
    <rPh sb="0" eb="2">
      <t>シヨウ</t>
    </rPh>
    <rPh sb="2" eb="4">
      <t>シザイ</t>
    </rPh>
    <rPh sb="9" eb="10">
      <t>ア</t>
    </rPh>
    <phoneticPr fontId="4"/>
  </si>
  <si>
    <t>シート他</t>
    <rPh sb="3" eb="4">
      <t>ホカ</t>
    </rPh>
    <phoneticPr fontId="4"/>
  </si>
  <si>
    <t>鎌他</t>
    <rPh sb="0" eb="1">
      <t>カマ</t>
    </rPh>
    <rPh sb="1" eb="2">
      <t>ホカ</t>
    </rPh>
    <phoneticPr fontId="4"/>
  </si>
  <si>
    <t>改良資材散布（トラクター，ブロードｷｬｽﾀｰ）</t>
    <rPh sb="0" eb="2">
      <t>カイリョウ</t>
    </rPh>
    <rPh sb="2" eb="4">
      <t>シザイ</t>
    </rPh>
    <rPh sb="4" eb="6">
      <t>サンプ</t>
    </rPh>
    <phoneticPr fontId="4"/>
  </si>
  <si>
    <t>飼料用米（夢あおば）</t>
    <rPh sb="0" eb="3">
      <t>シリョウヨウ</t>
    </rPh>
    <rPh sb="3" eb="4">
      <t>マイ</t>
    </rPh>
    <rPh sb="5" eb="6">
      <t>ユメ</t>
    </rPh>
    <phoneticPr fontId="3"/>
  </si>
  <si>
    <t>食用米（こいもみじ）</t>
    <rPh sb="0" eb="2">
      <t>ショクヨウ</t>
    </rPh>
    <rPh sb="2" eb="3">
      <t>マイ</t>
    </rPh>
    <phoneticPr fontId="3"/>
  </si>
  <si>
    <t>水稲（飼料用米）</t>
    <rPh sb="0" eb="2">
      <t>スイトウ</t>
    </rPh>
    <rPh sb="3" eb="5">
      <t>シリョウ</t>
    </rPh>
    <rPh sb="5" eb="6">
      <t>ヨウ</t>
    </rPh>
    <rPh sb="6" eb="7">
      <t>コメ</t>
    </rPh>
    <phoneticPr fontId="3"/>
  </si>
  <si>
    <t>水稲(こいもみじ）</t>
    <phoneticPr fontId="4"/>
  </si>
  <si>
    <t>水稲(コシヒカリ）</t>
    <phoneticPr fontId="4"/>
  </si>
  <si>
    <t>○</t>
  </si>
  <si>
    <t>☓</t>
  </si>
  <si>
    <t>○</t>
    <phoneticPr fontId="3"/>
  </si>
  <si>
    <t>こいもみじ</t>
    <phoneticPr fontId="4"/>
  </si>
  <si>
    <t>コシヒカリ</t>
    <phoneticPr fontId="4"/>
  </si>
  <si>
    <t>飼料用米</t>
    <rPh sb="0" eb="2">
      <t>シリョウ</t>
    </rPh>
    <rPh sb="2" eb="3">
      <t>ヨウ</t>
    </rPh>
    <rPh sb="3" eb="4">
      <t>マイ</t>
    </rPh>
    <phoneticPr fontId="4"/>
  </si>
  <si>
    <t>水稲（コシヒカリ）</t>
    <rPh sb="0" eb="2">
      <t>スイトウ</t>
    </rPh>
    <phoneticPr fontId="4"/>
  </si>
  <si>
    <t>水稲（こいもみじ）</t>
    <rPh sb="0" eb="2">
      <t>スイトウ</t>
    </rPh>
    <phoneticPr fontId="4"/>
  </si>
  <si>
    <t>堆肥</t>
    <rPh sb="0" eb="2">
      <t>タイヒ</t>
    </rPh>
    <phoneticPr fontId="4"/>
  </si>
  <si>
    <t>5条刈</t>
    <rPh sb="1" eb="2">
      <t>ジョウ</t>
    </rPh>
    <rPh sb="2" eb="3">
      <t>ガ</t>
    </rPh>
    <phoneticPr fontId="4"/>
  </si>
  <si>
    <t>種籾　　　35ｋｇ
種子消毒剤
土壌消毒剤
育苗培土</t>
    <rPh sb="0" eb="1">
      <t>タネ</t>
    </rPh>
    <rPh sb="1" eb="2">
      <t>モミ</t>
    </rPh>
    <rPh sb="10" eb="12">
      <t>シュシ</t>
    </rPh>
    <rPh sb="12" eb="14">
      <t>ショウドク</t>
    </rPh>
    <rPh sb="14" eb="15">
      <t>ザイ</t>
    </rPh>
    <rPh sb="16" eb="18">
      <t>ドジョウ</t>
    </rPh>
    <rPh sb="18" eb="20">
      <t>ショウドク</t>
    </rPh>
    <rPh sb="20" eb="21">
      <t>ザイ</t>
    </rPh>
    <phoneticPr fontId="4"/>
  </si>
  <si>
    <t>土づくり肥料</t>
    <rPh sb="0" eb="1">
      <t>ツチ</t>
    </rPh>
    <rPh sb="4" eb="6">
      <t>ヒリョウ</t>
    </rPh>
    <phoneticPr fontId="4"/>
  </si>
  <si>
    <t>殺虫剤，殺菌剤
　または殺虫殺菌剤（混合剤）</t>
    <rPh sb="0" eb="2">
      <t>サッチュウ</t>
    </rPh>
    <rPh sb="2" eb="3">
      <t>ザイ</t>
    </rPh>
    <rPh sb="4" eb="7">
      <t>サッキンザイ</t>
    </rPh>
    <rPh sb="12" eb="14">
      <t>サッチュウ</t>
    </rPh>
    <rPh sb="14" eb="16">
      <t>サッキン</t>
    </rPh>
    <rPh sb="16" eb="17">
      <t>ザイ</t>
    </rPh>
    <rPh sb="18" eb="21">
      <t>コンゴウザイ</t>
    </rPh>
    <phoneticPr fontId="4"/>
  </si>
  <si>
    <t>牛ふん堆肥</t>
    <rPh sb="0" eb="1">
      <t>ギュウ</t>
    </rPh>
    <rPh sb="3" eb="5">
      <t>タイヒ</t>
    </rPh>
    <phoneticPr fontId="4"/>
  </si>
  <si>
    <t>3月下旬～4月下旬</t>
    <rPh sb="1" eb="2">
      <t>ガツ</t>
    </rPh>
    <rPh sb="2" eb="3">
      <t>シタ</t>
    </rPh>
    <rPh sb="6" eb="7">
      <t>ガツ</t>
    </rPh>
    <rPh sb="7" eb="8">
      <t>ゲ</t>
    </rPh>
    <phoneticPr fontId="2"/>
  </si>
  <si>
    <t>7月上旬～8月上旬</t>
    <rPh sb="1" eb="2">
      <t>ガツ</t>
    </rPh>
    <rPh sb="2" eb="4">
      <t>ジョウジュン</t>
    </rPh>
    <rPh sb="6" eb="7">
      <t>ガツ</t>
    </rPh>
    <rPh sb="7" eb="8">
      <t>ジョウ</t>
    </rPh>
    <rPh sb="8" eb="9">
      <t>ジュン</t>
    </rPh>
    <phoneticPr fontId="2"/>
  </si>
  <si>
    <t>8月下旬～9月上旬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</si>
  <si>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11月～12月</t>
    <rPh sb="2" eb="3">
      <t>ガツ</t>
    </rPh>
    <rPh sb="6" eb="7">
      <t>ガツ</t>
    </rPh>
    <phoneticPr fontId="2"/>
  </si>
  <si>
    <t>4月上旬～5月上旬</t>
    <rPh sb="1" eb="2">
      <t>ガツ</t>
    </rPh>
    <rPh sb="2" eb="3">
      <t>ウエ</t>
    </rPh>
    <rPh sb="6" eb="7">
      <t>ガツ</t>
    </rPh>
    <rPh sb="7" eb="8">
      <t>ウエ</t>
    </rPh>
    <phoneticPr fontId="2"/>
  </si>
  <si>
    <t>5月上旬～5月中旬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2"/>
  </si>
  <si>
    <t>7月中旬～8月上旬</t>
    <rPh sb="1" eb="2">
      <t>ガツ</t>
    </rPh>
    <rPh sb="2" eb="4">
      <t>チュウジュン</t>
    </rPh>
    <rPh sb="6" eb="7">
      <t>ガツ</t>
    </rPh>
    <rPh sb="7" eb="8">
      <t>ジョウ</t>
    </rPh>
    <rPh sb="8" eb="9">
      <t>ジュン</t>
    </rPh>
    <phoneticPr fontId="2"/>
  </si>
  <si>
    <t>9月上旬～9月中旬</t>
    <rPh sb="1" eb="2">
      <t>ガツ</t>
    </rPh>
    <rPh sb="2" eb="4">
      <t>ジョウジュン</t>
    </rPh>
    <rPh sb="6" eb="7">
      <t>ガツ</t>
    </rPh>
    <rPh sb="7" eb="9">
      <t>チュウジュン</t>
    </rPh>
    <phoneticPr fontId="2"/>
  </si>
  <si>
    <t>4月中旬～5月中旬</t>
    <rPh sb="1" eb="2">
      <t>ガツ</t>
    </rPh>
    <rPh sb="2" eb="3">
      <t>チュウ</t>
    </rPh>
    <rPh sb="6" eb="7">
      <t>ガツ</t>
    </rPh>
    <rPh sb="7" eb="8">
      <t>チュウ</t>
    </rPh>
    <phoneticPr fontId="2"/>
  </si>
  <si>
    <t>7月中旬～8月中旬</t>
    <rPh sb="1" eb="2">
      <t>ガツ</t>
    </rPh>
    <rPh sb="2" eb="4">
      <t>チュウジュン</t>
    </rPh>
    <rPh sb="6" eb="7">
      <t>ガツ</t>
    </rPh>
    <rPh sb="7" eb="8">
      <t>チュウ</t>
    </rPh>
    <rPh sb="8" eb="9">
      <t>ジュン</t>
    </rPh>
    <phoneticPr fontId="2"/>
  </si>
  <si>
    <t>9月下旬～10月上旬</t>
    <rPh sb="1" eb="2">
      <t>ガツ</t>
    </rPh>
    <rPh sb="2" eb="4">
      <t>ゲジュン</t>
    </rPh>
    <rPh sb="7" eb="8">
      <t>ガツ</t>
    </rPh>
    <rPh sb="8" eb="10">
      <t>ジョウジュン</t>
    </rPh>
    <phoneticPr fontId="2"/>
  </si>
  <si>
    <t>4月下旬～5月下旬</t>
    <rPh sb="1" eb="2">
      <t>ガツ</t>
    </rPh>
    <rPh sb="2" eb="3">
      <t>シタ</t>
    </rPh>
    <rPh sb="6" eb="7">
      <t>ガツ</t>
    </rPh>
    <rPh sb="7" eb="8">
      <t>シタ</t>
    </rPh>
    <phoneticPr fontId="2"/>
  </si>
  <si>
    <t>4月下旬</t>
    <rPh sb="1" eb="2">
      <t>ガツ</t>
    </rPh>
    <rPh sb="2" eb="4">
      <t>ゲジュン</t>
    </rPh>
    <phoneticPr fontId="2"/>
  </si>
  <si>
    <t>8月上旬～8月下旬</t>
    <rPh sb="1" eb="2">
      <t>ガツ</t>
    </rPh>
    <rPh sb="2" eb="4">
      <t>ジョウジュン</t>
    </rPh>
    <rPh sb="6" eb="7">
      <t>ガツ</t>
    </rPh>
    <rPh sb="7" eb="8">
      <t>ゲ</t>
    </rPh>
    <rPh sb="8" eb="9">
      <t>ジュン</t>
    </rPh>
    <phoneticPr fontId="2"/>
  </si>
  <si>
    <t>10月上旬～10月中旬</t>
    <rPh sb="2" eb="3">
      <t>ガツ</t>
    </rPh>
    <rPh sb="3" eb="5">
      <t>ジョウジュン</t>
    </rPh>
    <rPh sb="8" eb="9">
      <t>ガツ</t>
    </rPh>
    <rPh sb="9" eb="10">
      <t>チュウ</t>
    </rPh>
    <rPh sb="10" eb="11">
      <t>ジュン</t>
    </rPh>
    <phoneticPr fontId="2"/>
  </si>
  <si>
    <t>5月中旬</t>
    <rPh sb="1" eb="2">
      <t>ガツ</t>
    </rPh>
    <rPh sb="2" eb="4">
      <t>チュウジュン</t>
    </rPh>
    <phoneticPr fontId="2"/>
  </si>
  <si>
    <t>5月中旬～5月下旬</t>
    <rPh sb="1" eb="2">
      <t>ガツ</t>
    </rPh>
    <rPh sb="2" eb="3">
      <t>チュウ</t>
    </rPh>
    <rPh sb="3" eb="4">
      <t>ジュン</t>
    </rPh>
    <rPh sb="6" eb="7">
      <t>ガツ</t>
    </rPh>
    <rPh sb="7" eb="9">
      <t>ゲジュン</t>
    </rPh>
    <phoneticPr fontId="2"/>
  </si>
  <si>
    <t>田植</t>
    <rPh sb="0" eb="2">
      <t>タウエ</t>
    </rPh>
    <phoneticPr fontId="4"/>
  </si>
  <si>
    <t>収穫</t>
    <rPh sb="0" eb="2">
      <t>シュウカク</t>
    </rPh>
    <phoneticPr fontId="4"/>
  </si>
  <si>
    <t>水稲（飼料用米）</t>
    <rPh sb="0" eb="2">
      <t>スイトウ</t>
    </rPh>
    <rPh sb="3" eb="6">
      <t>シリョウヨウ</t>
    </rPh>
    <rPh sb="6" eb="7">
      <t>マイ</t>
    </rPh>
    <phoneticPr fontId="4"/>
  </si>
  <si>
    <t>８－１　経費の算出基礎（水稲（こいもみじ），1ha当たり）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25" eb="26">
      <t>ア</t>
    </rPh>
    <phoneticPr fontId="4"/>
  </si>
  <si>
    <t>８－２　経費の算出基礎（水稲（コシヒカリ，1ha当たり）</t>
    <rPh sb="4" eb="6">
      <t>ケイヒ</t>
    </rPh>
    <rPh sb="7" eb="9">
      <t>サンシュツ</t>
    </rPh>
    <rPh sb="9" eb="11">
      <t>キソ</t>
    </rPh>
    <rPh sb="12" eb="14">
      <t>スイトウ</t>
    </rPh>
    <rPh sb="24" eb="25">
      <t>ア</t>
    </rPh>
    <phoneticPr fontId="4"/>
  </si>
  <si>
    <t>８－４　経費の算出基礎（水稲（飼料用米），1ha当たり）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15" eb="18">
      <t>シリョウヨウ</t>
    </rPh>
    <rPh sb="18" eb="19">
      <t>マイ</t>
    </rPh>
    <rPh sb="24" eb="25">
      <t>ア</t>
    </rPh>
    <phoneticPr fontId="4"/>
  </si>
  <si>
    <t>水稲(あきろまん）</t>
    <phoneticPr fontId="3"/>
  </si>
  <si>
    <t>水稲（あきろまん）</t>
    <rPh sb="0" eb="2">
      <t>スイトウ</t>
    </rPh>
    <phoneticPr fontId="4"/>
  </si>
  <si>
    <t>８－３　経費の算出基礎（水稲（あきろまん），1ha当たり）</t>
    <rPh sb="4" eb="6">
      <t>ケイヒ</t>
    </rPh>
    <rPh sb="7" eb="9">
      <t>サンシュツ</t>
    </rPh>
    <rPh sb="9" eb="11">
      <t>キソ</t>
    </rPh>
    <rPh sb="12" eb="14">
      <t>スイトウ</t>
    </rPh>
    <rPh sb="25" eb="26">
      <t>ア</t>
    </rPh>
    <phoneticPr fontId="4"/>
  </si>
  <si>
    <t>７－３　経営収支（水稲（あきろまん）部門，1ha当たり）</t>
    <rPh sb="9" eb="11">
      <t>スイトウ</t>
    </rPh>
    <rPh sb="18" eb="20">
      <t>ブモン</t>
    </rPh>
    <rPh sb="24" eb="25">
      <t>ア</t>
    </rPh>
    <phoneticPr fontId="4"/>
  </si>
  <si>
    <t>コンバイン</t>
    <phoneticPr fontId="4"/>
  </si>
  <si>
    <t>立毛乾燥後コンバインによる収穫
籾による出荷</t>
    <rPh sb="0" eb="1">
      <t>リツ</t>
    </rPh>
    <rPh sb="1" eb="2">
      <t>ケ</t>
    </rPh>
    <rPh sb="2" eb="4">
      <t>カンソウ</t>
    </rPh>
    <rPh sb="4" eb="5">
      <t>ゴ</t>
    </rPh>
    <rPh sb="13" eb="15">
      <t>シュウカク</t>
    </rPh>
    <rPh sb="16" eb="17">
      <t>モミ</t>
    </rPh>
    <rPh sb="20" eb="22">
      <t>シュッカ</t>
    </rPh>
    <phoneticPr fontId="4"/>
  </si>
  <si>
    <t>セジロウンカ
トビイロウンカ
等病害虫防除</t>
    <phoneticPr fontId="4"/>
  </si>
  <si>
    <t>○：播種　△：仮植　×：定植　□：出穂</t>
    <rPh sb="17" eb="19">
      <t>シュッスイ</t>
    </rPh>
    <phoneticPr fontId="4"/>
  </si>
  <si>
    <t>□</t>
    <phoneticPr fontId="3"/>
  </si>
  <si>
    <t>□</t>
    <phoneticPr fontId="3"/>
  </si>
  <si>
    <t>□</t>
    <phoneticPr fontId="3"/>
  </si>
  <si>
    <t>あきろまん</t>
    <phoneticPr fontId="4"/>
  </si>
  <si>
    <t>７－４　経営収支（水稲（飼料用米），1ha当たり）</t>
    <rPh sb="9" eb="11">
      <t>スイトウ</t>
    </rPh>
    <rPh sb="12" eb="15">
      <t>シリョウヨウ</t>
    </rPh>
    <rPh sb="15" eb="16">
      <t>マイ</t>
    </rPh>
    <rPh sb="21" eb="22">
      <t>ア</t>
    </rPh>
    <phoneticPr fontId="4"/>
  </si>
  <si>
    <t>フォークリフト</t>
    <phoneticPr fontId="4"/>
  </si>
  <si>
    <t>トラクター
ブロードキャスター</t>
    <phoneticPr fontId="4"/>
  </si>
  <si>
    <t>㎡</t>
    <phoneticPr fontId="4"/>
  </si>
  <si>
    <t>3年間</t>
    <rPh sb="1" eb="3">
      <t>ネンカン</t>
    </rPh>
    <phoneticPr fontId="4"/>
  </si>
  <si>
    <t>耕起
入水後代かきを2回</t>
    <rPh sb="0" eb="2">
      <t>コウキ</t>
    </rPh>
    <rPh sb="3" eb="5">
      <t>ニュウスイ</t>
    </rPh>
    <rPh sb="5" eb="6">
      <t>ゴ</t>
    </rPh>
    <rPh sb="6" eb="7">
      <t>シロ</t>
    </rPh>
    <rPh sb="11" eb="12">
      <t>カイ</t>
    </rPh>
    <phoneticPr fontId="4"/>
  </si>
  <si>
    <t>田植機（肥料、箱施用剤、除草剤散布機付）で移植</t>
    <rPh sb="0" eb="2">
      <t>タウエ</t>
    </rPh>
    <rPh sb="2" eb="3">
      <t>キ</t>
    </rPh>
    <rPh sb="4" eb="6">
      <t>ヒリョウ</t>
    </rPh>
    <rPh sb="7" eb="8">
      <t>ハコ</t>
    </rPh>
    <rPh sb="8" eb="10">
      <t>セヨウ</t>
    </rPh>
    <rPh sb="10" eb="11">
      <t>ザイ</t>
    </rPh>
    <rPh sb="12" eb="14">
      <t>ジョソウ</t>
    </rPh>
    <rPh sb="14" eb="15">
      <t>ザイ</t>
    </rPh>
    <rPh sb="15" eb="17">
      <t>サンプ</t>
    </rPh>
    <rPh sb="17" eb="18">
      <t>キ</t>
    </rPh>
    <rPh sb="18" eb="19">
      <t>ツキ</t>
    </rPh>
    <rPh sb="21" eb="23">
      <t>イショク</t>
    </rPh>
    <phoneticPr fontId="4"/>
  </si>
  <si>
    <t>雑草が多い場合は、水稲生育期に除草剤を散布</t>
    <rPh sb="0" eb="2">
      <t>ザッソウ</t>
    </rPh>
    <rPh sb="3" eb="4">
      <t>オオ</t>
    </rPh>
    <rPh sb="5" eb="7">
      <t>バアイ</t>
    </rPh>
    <rPh sb="9" eb="11">
      <t>スイトウ</t>
    </rPh>
    <rPh sb="11" eb="13">
      <t>セイイク</t>
    </rPh>
    <rPh sb="13" eb="14">
      <t>キ</t>
    </rPh>
    <rPh sb="15" eb="18">
      <t>ジョソウザイ</t>
    </rPh>
    <rPh sb="19" eb="21">
      <t>サンプ</t>
    </rPh>
    <phoneticPr fontId="4"/>
  </si>
  <si>
    <t>土づくり肥料を散布して耕起</t>
    <rPh sb="0" eb="1">
      <t>ツチ</t>
    </rPh>
    <rPh sb="1" eb="2">
      <t>コウド</t>
    </rPh>
    <rPh sb="4" eb="6">
      <t>ヒリョウ</t>
    </rPh>
    <rPh sb="7" eb="9">
      <t>サンプ</t>
    </rPh>
    <rPh sb="11" eb="13">
      <t>コウキ</t>
    </rPh>
    <phoneticPr fontId="4"/>
  </si>
  <si>
    <t>肥料
　基肥一発型緩効性肥料　350kg～550kg
箱施用剤
除草剤</t>
    <rPh sb="0" eb="2">
      <t>ヒリョウ</t>
    </rPh>
    <rPh sb="4" eb="6">
      <t>モトゴエ</t>
    </rPh>
    <rPh sb="6" eb="8">
      <t>イッパツ</t>
    </rPh>
    <rPh sb="8" eb="9">
      <t>カタ</t>
    </rPh>
    <rPh sb="9" eb="12">
      <t>カンコウセイ</t>
    </rPh>
    <rPh sb="12" eb="14">
      <t>ヒリョウ</t>
    </rPh>
    <rPh sb="27" eb="28">
      <t>ハコ</t>
    </rPh>
    <rPh sb="28" eb="30">
      <t>セヨウ</t>
    </rPh>
    <rPh sb="30" eb="31">
      <t>ザイ</t>
    </rPh>
    <rPh sb="32" eb="35">
      <t>ジョソウザイ</t>
    </rPh>
    <phoneticPr fontId="4"/>
  </si>
  <si>
    <t>塩水選、種子消毒の実施
適正な温度管理
は種量の適正化</t>
    <rPh sb="0" eb="1">
      <t>シオ</t>
    </rPh>
    <rPh sb="1" eb="2">
      <t>ミズ</t>
    </rPh>
    <rPh sb="2" eb="3">
      <t>セン</t>
    </rPh>
    <rPh sb="4" eb="6">
      <t>シュシ</t>
    </rPh>
    <rPh sb="6" eb="8">
      <t>ショウドク</t>
    </rPh>
    <rPh sb="9" eb="11">
      <t>ジッシ</t>
    </rPh>
    <rPh sb="12" eb="14">
      <t>テキセイ</t>
    </rPh>
    <rPh sb="15" eb="17">
      <t>オンド</t>
    </rPh>
    <rPh sb="17" eb="19">
      <t>カンリ</t>
    </rPh>
    <rPh sb="21" eb="22">
      <t>シュ</t>
    </rPh>
    <rPh sb="22" eb="23">
      <t>リョウ</t>
    </rPh>
    <rPh sb="24" eb="26">
      <t>テキセイ</t>
    </rPh>
    <rPh sb="26" eb="27">
      <t>カ</t>
    </rPh>
    <phoneticPr fontId="4"/>
  </si>
  <si>
    <t>田面の均平化</t>
    <rPh sb="0" eb="1">
      <t>タ</t>
    </rPh>
    <rPh sb="1" eb="2">
      <t>メン</t>
    </rPh>
    <rPh sb="3" eb="4">
      <t>ヒトシ</t>
    </rPh>
    <rPh sb="4" eb="5">
      <t>ヘイ</t>
    </rPh>
    <rPh sb="5" eb="6">
      <t>カ</t>
    </rPh>
    <phoneticPr fontId="4"/>
  </si>
  <si>
    <t>適期田植
適正な栽植密度</t>
    <rPh sb="0" eb="2">
      <t>テッキ</t>
    </rPh>
    <rPh sb="2" eb="4">
      <t>タウ</t>
    </rPh>
    <rPh sb="5" eb="7">
      <t>テキセイ</t>
    </rPh>
    <rPh sb="8" eb="10">
      <t>サイショク</t>
    </rPh>
    <rPh sb="10" eb="12">
      <t>ミツド</t>
    </rPh>
    <phoneticPr fontId="4"/>
  </si>
  <si>
    <t>適正な水管理
使用薬量を均一に散布</t>
    <rPh sb="0" eb="2">
      <t>テキセイ</t>
    </rPh>
    <rPh sb="3" eb="4">
      <t>ミズ</t>
    </rPh>
    <rPh sb="4" eb="6">
      <t>カンリ</t>
    </rPh>
    <rPh sb="7" eb="9">
      <t>シヨウ</t>
    </rPh>
    <rPh sb="9" eb="10">
      <t>ヤク</t>
    </rPh>
    <rPh sb="10" eb="11">
      <t>リョウ</t>
    </rPh>
    <rPh sb="12" eb="14">
      <t>キンイツ</t>
    </rPh>
    <rPh sb="15" eb="17">
      <t>サンプ</t>
    </rPh>
    <phoneticPr fontId="4"/>
  </si>
  <si>
    <t>間断かんがい
中干しの実施
適期落水の実施</t>
    <rPh sb="0" eb="2">
      <t>カンダン</t>
    </rPh>
    <rPh sb="7" eb="8">
      <t>ナカ</t>
    </rPh>
    <rPh sb="8" eb="9">
      <t>ホ</t>
    </rPh>
    <rPh sb="11" eb="13">
      <t>ジッシ</t>
    </rPh>
    <rPh sb="14" eb="16">
      <t>テッキ</t>
    </rPh>
    <rPh sb="16" eb="18">
      <t>ラクスイ</t>
    </rPh>
    <rPh sb="19" eb="21">
      <t>ジッシ</t>
    </rPh>
    <phoneticPr fontId="4"/>
  </si>
  <si>
    <t>適期防除</t>
    <rPh sb="0" eb="2">
      <t>テッキ</t>
    </rPh>
    <rPh sb="2" eb="4">
      <t>ボウジョ</t>
    </rPh>
    <phoneticPr fontId="4"/>
  </si>
  <si>
    <t>適期刈取
適正な乾燥調製</t>
    <rPh sb="0" eb="2">
      <t>テッキ</t>
    </rPh>
    <rPh sb="2" eb="4">
      <t>カリト</t>
    </rPh>
    <rPh sb="5" eb="7">
      <t>テキセイ</t>
    </rPh>
    <rPh sb="8" eb="10">
      <t>カンソウ</t>
    </rPh>
    <rPh sb="10" eb="12">
      <t>チョウセイ</t>
    </rPh>
    <phoneticPr fontId="4"/>
  </si>
  <si>
    <t>稲わらの早期鋤き込み
土づくりの実施</t>
    <rPh sb="0" eb="1">
      <t>イネ</t>
    </rPh>
    <rPh sb="4" eb="6">
      <t>ソウキ</t>
    </rPh>
    <rPh sb="6" eb="7">
      <t>ス</t>
    </rPh>
    <rPh sb="8" eb="9">
      <t>コ</t>
    </rPh>
    <rPh sb="11" eb="12">
      <t>ツチ</t>
    </rPh>
    <rPh sb="16" eb="18">
      <t>ジッシ</t>
    </rPh>
    <phoneticPr fontId="4"/>
  </si>
  <si>
    <t>土づくり肥料等を散布して耕起
入水後代かき</t>
    <rPh sb="0" eb="1">
      <t>ツチ</t>
    </rPh>
    <rPh sb="4" eb="6">
      <t>ヒリョウ</t>
    </rPh>
    <rPh sb="6" eb="7">
      <t>トウ</t>
    </rPh>
    <rPh sb="8" eb="10">
      <t>サンプ</t>
    </rPh>
    <rPh sb="12" eb="14">
      <t>コウキ</t>
    </rPh>
    <rPh sb="15" eb="17">
      <t>ニュウスイ</t>
    </rPh>
    <rPh sb="17" eb="18">
      <t>ゴ</t>
    </rPh>
    <rPh sb="18" eb="19">
      <t>シロ</t>
    </rPh>
    <phoneticPr fontId="4"/>
  </si>
  <si>
    <t xml:space="preserve">堆肥散布して耕起
</t>
    <rPh sb="0" eb="2">
      <t>タイヒ</t>
    </rPh>
    <rPh sb="2" eb="4">
      <t>サンプ</t>
    </rPh>
    <rPh sb="6" eb="8">
      <t>コウキ</t>
    </rPh>
    <phoneticPr fontId="4"/>
  </si>
  <si>
    <t>品種の組み合わせで，機械の効率的利用を図る</t>
    <rPh sb="0" eb="2">
      <t>ヒンシュ</t>
    </rPh>
    <rPh sb="3" eb="4">
      <t>ク</t>
    </rPh>
    <rPh sb="5" eb="6">
      <t>ア</t>
    </rPh>
    <rPh sb="10" eb="12">
      <t>キカイ</t>
    </rPh>
    <rPh sb="13" eb="15">
      <t>コウリツ</t>
    </rPh>
    <rPh sb="15" eb="16">
      <t>テキ</t>
    </rPh>
    <rPh sb="16" eb="18">
      <t>リヨウ</t>
    </rPh>
    <rPh sb="19" eb="20">
      <t>ハカ</t>
    </rPh>
    <phoneticPr fontId="4"/>
  </si>
  <si>
    <t>水稲20ha＋飼料用米10ha</t>
    <rPh sb="7" eb="9">
      <t>シリョウ</t>
    </rPh>
    <rPh sb="9" eb="10">
      <t>ヨウ</t>
    </rPh>
    <phoneticPr fontId="3"/>
  </si>
  <si>
    <t>コンポキャスター</t>
    <phoneticPr fontId="4"/>
  </si>
  <si>
    <t>350リットル</t>
    <phoneticPr fontId="4"/>
  </si>
  <si>
    <t>トラクター
コンポキャスター</t>
    <phoneticPr fontId="4"/>
  </si>
  <si>
    <t>トラクター
コンポキャスター</t>
    <phoneticPr fontId="4"/>
  </si>
  <si>
    <t>３－３　標準技術（水稲）</t>
    <rPh sb="4" eb="6">
      <t>ヒョウジュン</t>
    </rPh>
    <rPh sb="6" eb="8">
      <t>ギジュツ</t>
    </rPh>
    <rPh sb="9" eb="11">
      <t>スイトウ</t>
    </rPh>
    <phoneticPr fontId="4"/>
  </si>
  <si>
    <t>３－４　標準技術（水稲）</t>
    <rPh sb="4" eb="6">
      <t>ヒョウジュン</t>
    </rPh>
    <rPh sb="6" eb="8">
      <t>ギジュツ</t>
    </rPh>
    <rPh sb="9" eb="11">
      <t>スイトウ</t>
    </rPh>
    <phoneticPr fontId="4"/>
  </si>
  <si>
    <t>右表（イ）　</t>
    <phoneticPr fontId="4"/>
  </si>
  <si>
    <t>右表（ウ）　</t>
    <phoneticPr fontId="4"/>
  </si>
  <si>
    <t>右表（エ）　</t>
    <phoneticPr fontId="4"/>
  </si>
  <si>
    <t>水稲　：　食用米（こいもみじ）</t>
    <rPh sb="0" eb="2">
      <t>スイトウ</t>
    </rPh>
    <rPh sb="5" eb="7">
      <t>ショクヨウ</t>
    </rPh>
    <rPh sb="7" eb="8">
      <t>コメ</t>
    </rPh>
    <phoneticPr fontId="4"/>
  </si>
  <si>
    <t>水稲　：　食用米（コシヒカリ）</t>
    <rPh sb="0" eb="2">
      <t>スイトウ</t>
    </rPh>
    <rPh sb="5" eb="7">
      <t>ショクヨウ</t>
    </rPh>
    <rPh sb="7" eb="8">
      <t>コメ</t>
    </rPh>
    <phoneticPr fontId="4"/>
  </si>
  <si>
    <t>水稲　：　食用米（あきろまん）</t>
    <rPh sb="0" eb="2">
      <t>スイトウ</t>
    </rPh>
    <rPh sb="5" eb="7">
      <t>ショクヨウ</t>
    </rPh>
    <rPh sb="7" eb="8">
      <t>コメ</t>
    </rPh>
    <phoneticPr fontId="4"/>
  </si>
  <si>
    <t>水稲　：　飼料用米（夢あおば）</t>
    <rPh sb="0" eb="2">
      <t>スイトウ</t>
    </rPh>
    <rPh sb="5" eb="7">
      <t>シリョウ</t>
    </rPh>
    <rPh sb="7" eb="8">
      <t>ヨウ</t>
    </rPh>
    <rPh sb="8" eb="9">
      <t>コメ</t>
    </rPh>
    <rPh sb="10" eb="11">
      <t>ユメ</t>
    </rPh>
    <phoneticPr fontId="4"/>
  </si>
  <si>
    <t>水田利用の直接支払交付金</t>
    <rPh sb="0" eb="2">
      <t>スイデン</t>
    </rPh>
    <rPh sb="2" eb="4">
      <t>リヨウ</t>
    </rPh>
    <rPh sb="5" eb="7">
      <t>チョクセツ</t>
    </rPh>
    <rPh sb="7" eb="9">
      <t>シハライ</t>
    </rPh>
    <rPh sb="9" eb="12">
      <t>コウフキン</t>
    </rPh>
    <phoneticPr fontId="4"/>
  </si>
  <si>
    <t>水田利用の直接支払交付金</t>
    <rPh sb="2" eb="3">
      <t>リ</t>
    </rPh>
    <phoneticPr fontId="4"/>
  </si>
  <si>
    <t>緩効性肥料</t>
    <rPh sb="0" eb="3">
      <t>カンコウセイ</t>
    </rPh>
    <rPh sb="3" eb="5">
      <t>ヒリョウ</t>
    </rPh>
    <phoneticPr fontId="4"/>
  </si>
  <si>
    <t>育苗培土</t>
    <rPh sb="0" eb="2">
      <t>イクビョウ</t>
    </rPh>
    <rPh sb="2" eb="3">
      <t>バイ</t>
    </rPh>
    <rPh sb="3" eb="4">
      <t>ド</t>
    </rPh>
    <phoneticPr fontId="4"/>
  </si>
  <si>
    <t>種子消毒剤（殺菌剤）</t>
    <rPh sb="0" eb="2">
      <t>シュシ</t>
    </rPh>
    <rPh sb="2" eb="4">
      <t>ショウドク</t>
    </rPh>
    <rPh sb="4" eb="5">
      <t>ザイ</t>
    </rPh>
    <rPh sb="6" eb="9">
      <t>サッキンザイ</t>
    </rPh>
    <phoneticPr fontId="4"/>
  </si>
  <si>
    <t>育苗用殺菌剤</t>
    <rPh sb="0" eb="2">
      <t>イクビョウ</t>
    </rPh>
    <rPh sb="2" eb="3">
      <t>ヨウ</t>
    </rPh>
    <rPh sb="3" eb="6">
      <t>サッキンザイ</t>
    </rPh>
    <phoneticPr fontId="4"/>
  </si>
  <si>
    <t>種子消毒剤（殺虫剤）</t>
    <rPh sb="0" eb="2">
      <t>シュシ</t>
    </rPh>
    <rPh sb="2" eb="4">
      <t>ショウドク</t>
    </rPh>
    <rPh sb="4" eb="5">
      <t>ザイ</t>
    </rPh>
    <rPh sb="6" eb="9">
      <t>サッチュウザイ</t>
    </rPh>
    <phoneticPr fontId="4"/>
  </si>
  <si>
    <t>初中期一発剤</t>
    <rPh sb="0" eb="1">
      <t>ショ</t>
    </rPh>
    <rPh sb="1" eb="3">
      <t>チュウキ</t>
    </rPh>
    <rPh sb="3" eb="5">
      <t>イッパツ</t>
    </rPh>
    <rPh sb="5" eb="6">
      <t>ザイ</t>
    </rPh>
    <phoneticPr fontId="4"/>
  </si>
  <si>
    <t>箱施用剤</t>
    <rPh sb="0" eb="1">
      <t>ハコ</t>
    </rPh>
    <rPh sb="1" eb="3">
      <t>セヨウ</t>
    </rPh>
    <rPh sb="3" eb="4">
      <t>ザイ</t>
    </rPh>
    <phoneticPr fontId="4"/>
  </si>
  <si>
    <t>殺虫殺菌剤</t>
    <rPh sb="0" eb="2">
      <t>サッチュウ</t>
    </rPh>
    <rPh sb="2" eb="5">
      <t>サッキンザイ</t>
    </rPh>
    <phoneticPr fontId="4"/>
  </si>
  <si>
    <t>６　固定資本装備と減価償却費（水稲，1ha当たり・1年当たり）</t>
    <rPh sb="15" eb="17">
      <t>スイトウ</t>
    </rPh>
    <rPh sb="21" eb="22">
      <t>ア</t>
    </rPh>
    <rPh sb="26" eb="27">
      <t>ネン</t>
    </rPh>
    <rPh sb="27" eb="28">
      <t>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</si>
</sst>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0&quot;ha&quot;"/>
    <numFmt numFmtId="185" formatCode="0_);[Red]\(0\)"/>
    <numFmt numFmtId="186" formatCode="#,##0.00_);[Red]\(#,##0.00\)"/>
    <numFmt numFmtId="187" formatCode="&quot;水&quot;&quot;稲&quot;#,##0.0&quot;ha&quot;"/>
    <numFmt numFmtId="188" formatCode="0&quot;円/時&quot;"/>
    <numFmt numFmtId="189" formatCode="0&quot;円/袋&quot;"/>
    <numFmt numFmtId="190" formatCode="0&quot;円/10a&quot;"/>
    <numFmt numFmtId="191" formatCode="0.0_);\(0.0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239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7" fontId="14" fillId="0" borderId="0"/>
    <xf numFmtId="0" fontId="13" fillId="0" borderId="0"/>
    <xf numFmtId="0" fontId="1" fillId="0" borderId="0"/>
    <xf numFmtId="0" fontId="16" fillId="0" borderId="0"/>
  </cellStyleXfs>
  <cellXfs count="873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Alignment="1">
      <alignment vertical="center"/>
    </xf>
    <xf numFmtId="176" fontId="9" fillId="0" borderId="1" xfId="0" applyNumberFormat="1" applyFont="1" applyBorder="1" applyAlignment="1">
      <alignment vertical="center" shrinkToFit="1"/>
    </xf>
    <xf numFmtId="179" fontId="9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6" fontId="0" fillId="0" borderId="72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9" fontId="1" fillId="0" borderId="72" xfId="0" applyNumberFormat="1" applyFont="1" applyBorder="1" applyAlignment="1">
      <alignment horizontal="center" vertical="center" shrinkToFit="1"/>
    </xf>
    <xf numFmtId="176" fontId="5" fillId="0" borderId="89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9" fontId="9" fillId="0" borderId="1" xfId="0" applyNumberFormat="1" applyFont="1" applyBorder="1" applyAlignment="1">
      <alignment vertical="center" shrinkToFit="1"/>
    </xf>
    <xf numFmtId="176" fontId="9" fillId="2" borderId="1" xfId="0" applyNumberFormat="1" applyFont="1" applyFill="1" applyBorder="1" applyAlignment="1">
      <alignment vertical="center" shrinkToFit="1"/>
    </xf>
    <xf numFmtId="176" fontId="9" fillId="2" borderId="1" xfId="0" applyNumberFormat="1" applyFont="1" applyFill="1" applyBorder="1" applyAlignment="1">
      <alignment horizontal="left" vertical="center" shrinkToFit="1"/>
    </xf>
    <xf numFmtId="179" fontId="9" fillId="2" borderId="1" xfId="0" applyNumberFormat="1" applyFont="1" applyFill="1" applyBorder="1" applyAlignment="1">
      <alignment vertical="center" shrinkToFit="1"/>
    </xf>
    <xf numFmtId="176" fontId="9" fillId="0" borderId="1" xfId="0" applyNumberFormat="1" applyFont="1" applyFill="1" applyBorder="1" applyAlignment="1">
      <alignment vertical="center" shrinkToFit="1"/>
    </xf>
    <xf numFmtId="176" fontId="9" fillId="2" borderId="10" xfId="0" applyNumberFormat="1" applyFont="1" applyFill="1" applyBorder="1" applyAlignment="1">
      <alignment vertical="center" shrinkToFit="1"/>
    </xf>
    <xf numFmtId="176" fontId="9" fillId="0" borderId="84" xfId="0" applyNumberFormat="1" applyFont="1" applyBorder="1" applyAlignment="1">
      <alignment horizontal="center" vertical="center" shrinkToFit="1"/>
    </xf>
    <xf numFmtId="176" fontId="9" fillId="0" borderId="85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vertical="center" shrinkToFit="1"/>
    </xf>
    <xf numFmtId="176" fontId="9" fillId="0" borderId="19" xfId="0" applyNumberFormat="1" applyFont="1" applyFill="1" applyBorder="1" applyAlignment="1">
      <alignment horizontal="left" vertical="center" shrinkToFit="1"/>
    </xf>
    <xf numFmtId="179" fontId="9" fillId="0" borderId="19" xfId="0" applyNumberFormat="1" applyFont="1" applyFill="1" applyBorder="1" applyAlignment="1">
      <alignment vertical="center" shrinkToFit="1"/>
    </xf>
    <xf numFmtId="9" fontId="9" fillId="0" borderId="1" xfId="0" applyNumberFormat="1" applyFont="1" applyFill="1" applyBorder="1" applyAlignment="1">
      <alignment vertical="center" shrinkToFit="1"/>
    </xf>
    <xf numFmtId="9" fontId="9" fillId="0" borderId="1" xfId="4" applyFont="1" applyBorder="1" applyAlignment="1">
      <alignment vertical="center" shrinkToFit="1"/>
    </xf>
    <xf numFmtId="182" fontId="9" fillId="0" borderId="1" xfId="4" applyNumberFormat="1" applyFont="1" applyBorder="1" applyAlignment="1">
      <alignment vertical="center" shrinkToFit="1"/>
    </xf>
    <xf numFmtId="176" fontId="9" fillId="0" borderId="89" xfId="0" applyNumberFormat="1" applyFont="1" applyBorder="1" applyAlignment="1">
      <alignment vertical="center" shrinkToFit="1"/>
    </xf>
    <xf numFmtId="182" fontId="9" fillId="0" borderId="89" xfId="4" applyNumberFormat="1" applyFont="1" applyBorder="1" applyAlignment="1">
      <alignment vertical="center" shrinkToFit="1"/>
    </xf>
    <xf numFmtId="176" fontId="0" fillId="0" borderId="89" xfId="0" applyNumberFormat="1" applyBorder="1" applyAlignment="1">
      <alignment vertical="center" shrinkToFit="1"/>
    </xf>
    <xf numFmtId="176" fontId="9" fillId="2" borderId="89" xfId="0" applyNumberFormat="1" applyFont="1" applyFill="1" applyBorder="1" applyAlignment="1">
      <alignment vertical="center" shrinkToFit="1"/>
    </xf>
    <xf numFmtId="176" fontId="9" fillId="2" borderId="89" xfId="0" applyNumberFormat="1" applyFont="1" applyFill="1" applyBorder="1" applyAlignment="1">
      <alignment horizontal="left" vertical="center" shrinkToFit="1"/>
    </xf>
    <xf numFmtId="179" fontId="9" fillId="2" borderId="89" xfId="0" applyNumberFormat="1" applyFont="1" applyFill="1" applyBorder="1" applyAlignment="1">
      <alignment vertical="center" shrinkToFit="1"/>
    </xf>
    <xf numFmtId="9" fontId="9" fillId="0" borderId="89" xfId="4" applyFon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38" fontId="0" fillId="0" borderId="59" xfId="1" applyFont="1" applyBorder="1" applyAlignment="1">
      <alignment vertical="center" shrinkToFit="1"/>
    </xf>
    <xf numFmtId="0" fontId="0" fillId="0" borderId="34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181" fontId="0" fillId="0" borderId="39" xfId="0" applyNumberFormat="1" applyFont="1" applyBorder="1" applyAlignment="1">
      <alignment horizontal="right" vertical="center"/>
    </xf>
    <xf numFmtId="38" fontId="0" fillId="0" borderId="60" xfId="1" applyFont="1" applyBorder="1" applyAlignment="1">
      <alignment vertical="center" shrinkToFit="1"/>
    </xf>
    <xf numFmtId="181" fontId="0" fillId="3" borderId="39" xfId="0" applyNumberFormat="1" applyFont="1" applyFill="1" applyBorder="1" applyAlignment="1">
      <alignment horizontal="right" vertical="center"/>
    </xf>
    <xf numFmtId="181" fontId="0" fillId="3" borderId="41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0" fontId="0" fillId="0" borderId="24" xfId="0" applyFont="1" applyBorder="1" applyAlignment="1">
      <alignment vertical="center"/>
    </xf>
    <xf numFmtId="181" fontId="0" fillId="4" borderId="39" xfId="0" applyNumberFormat="1" applyFont="1" applyFill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0" fontId="10" fillId="0" borderId="39" xfId="0" applyFont="1" applyBorder="1" applyAlignment="1">
      <alignment vertical="center"/>
    </xf>
    <xf numFmtId="181" fontId="0" fillId="4" borderId="61" xfId="0" applyNumberFormat="1" applyFont="1" applyFill="1" applyBorder="1" applyAlignment="1">
      <alignment horizontal="right" vertical="center"/>
    </xf>
    <xf numFmtId="38" fontId="0" fillId="0" borderId="62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0" fontId="0" fillId="0" borderId="120" xfId="0" applyFont="1" applyBorder="1" applyAlignment="1">
      <alignment vertical="center"/>
    </xf>
    <xf numFmtId="0" fontId="0" fillId="0" borderId="124" xfId="0" applyFont="1" applyBorder="1" applyAlignment="1">
      <alignment vertical="center"/>
    </xf>
    <xf numFmtId="181" fontId="0" fillId="0" borderId="77" xfId="1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6" xfId="1" applyFont="1" applyBorder="1" applyAlignment="1">
      <alignment vertical="center" shrinkToFit="1"/>
    </xf>
    <xf numFmtId="0" fontId="0" fillId="0" borderId="34" xfId="0" applyFont="1" applyFill="1" applyBorder="1" applyAlignment="1">
      <alignment vertical="center"/>
    </xf>
    <xf numFmtId="0" fontId="0" fillId="0" borderId="39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181" fontId="0" fillId="0" borderId="40" xfId="1" applyNumberFormat="1" applyFont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7" xfId="0" applyNumberFormat="1" applyFont="1" applyBorder="1" applyAlignment="1">
      <alignment vertical="center"/>
    </xf>
    <xf numFmtId="176" fontId="0" fillId="0" borderId="7" xfId="0" applyNumberFormat="1" applyFont="1" applyBorder="1" applyAlignment="1">
      <alignment horizontal="left" vertical="center" indent="1"/>
    </xf>
    <xf numFmtId="179" fontId="0" fillId="0" borderId="68" xfId="0" applyNumberFormat="1" applyFont="1" applyBorder="1" applyAlignment="1">
      <alignment vertical="center" shrinkToFit="1"/>
    </xf>
    <xf numFmtId="176" fontId="0" fillId="0" borderId="7" xfId="0" applyNumberFormat="1" applyFont="1" applyBorder="1" applyAlignment="1">
      <alignment horizontal="center" vertical="center"/>
    </xf>
    <xf numFmtId="179" fontId="0" fillId="0" borderId="69" xfId="0" applyNumberFormat="1" applyFont="1" applyBorder="1" applyAlignment="1">
      <alignment vertical="center" shrinkToFit="1"/>
    </xf>
    <xf numFmtId="176" fontId="0" fillId="0" borderId="70" xfId="0" applyNumberFormat="1" applyFont="1" applyBorder="1" applyAlignment="1">
      <alignment horizontal="center" vertical="center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71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5" xfId="2" applyFont="1" applyBorder="1" applyAlignment="1">
      <alignment horizontal="center" vertical="center" wrapText="1"/>
    </xf>
    <xf numFmtId="0" fontId="12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8" fillId="0" borderId="74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21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49" xfId="2" applyFont="1" applyBorder="1" applyAlignment="1">
      <alignment horizontal="center" vertical="center" wrapText="1"/>
    </xf>
    <xf numFmtId="0" fontId="1" fillId="0" borderId="125" xfId="2" applyFont="1" applyBorder="1" applyAlignment="1">
      <alignment horizontal="center" vertical="center" wrapText="1"/>
    </xf>
    <xf numFmtId="0" fontId="1" fillId="0" borderId="12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23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7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4" xfId="0" applyNumberFormat="1" applyFont="1" applyBorder="1" applyAlignment="1">
      <alignment vertical="center"/>
    </xf>
    <xf numFmtId="177" fontId="0" fillId="0" borderId="5" xfId="0" applyNumberFormat="1" applyFont="1" applyBorder="1" applyAlignment="1">
      <alignment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14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14" xfId="3" applyNumberFormat="1" applyFont="1" applyBorder="1" applyAlignment="1">
      <alignment vertical="center" shrinkToFit="1"/>
    </xf>
    <xf numFmtId="177" fontId="0" fillId="0" borderId="14" xfId="0" applyNumberFormat="1" applyFont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horizontal="left" vertical="center"/>
    </xf>
    <xf numFmtId="177" fontId="0" fillId="0" borderId="15" xfId="0" applyNumberFormat="1" applyFont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7" fontId="0" fillId="0" borderId="38" xfId="3" applyNumberFormat="1" applyFont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6" fontId="0" fillId="0" borderId="0" xfId="0" applyNumberFormat="1" applyFont="1" applyBorder="1" applyAlignment="1">
      <alignment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89" xfId="0" applyNumberFormat="1" applyFont="1" applyBorder="1" applyAlignment="1">
      <alignment vertical="center" shrinkToFit="1"/>
    </xf>
    <xf numFmtId="177" fontId="0" fillId="0" borderId="13" xfId="0" applyNumberFormat="1" applyFont="1" applyBorder="1" applyAlignment="1">
      <alignment vertical="center" shrinkToFit="1"/>
    </xf>
    <xf numFmtId="176" fontId="0" fillId="0" borderId="116" xfId="0" applyNumberFormat="1" applyFont="1" applyBorder="1" applyAlignment="1">
      <alignment horizontal="center" vertical="center" shrinkToFit="1"/>
    </xf>
    <xf numFmtId="176" fontId="0" fillId="0" borderId="76" xfId="0" applyNumberFormat="1" applyFont="1" applyBorder="1" applyAlignment="1">
      <alignment vertical="center" shrinkToFit="1"/>
    </xf>
    <xf numFmtId="176" fontId="0" fillId="0" borderId="2" xfId="0" applyNumberFormat="1" applyFont="1" applyBorder="1" applyAlignment="1">
      <alignment vertical="center" shrinkToFit="1"/>
    </xf>
    <xf numFmtId="176" fontId="0" fillId="2" borderId="114" xfId="0" applyNumberFormat="1" applyFont="1" applyFill="1" applyBorder="1" applyAlignment="1">
      <alignment vertical="center" shrinkToFit="1"/>
    </xf>
    <xf numFmtId="176" fontId="0" fillId="2" borderId="129" xfId="0" applyNumberFormat="1" applyFont="1" applyFill="1" applyBorder="1" applyAlignment="1">
      <alignment vertical="center" shrinkToFit="1"/>
    </xf>
    <xf numFmtId="176" fontId="0" fillId="2" borderId="11" xfId="0" applyNumberFormat="1" applyFont="1" applyFill="1" applyBorder="1" applyAlignment="1">
      <alignment horizontal="center" vertical="center" shrinkToFit="1"/>
    </xf>
    <xf numFmtId="176" fontId="0" fillId="2" borderId="11" xfId="0" applyNumberFormat="1" applyFont="1" applyFill="1" applyBorder="1" applyAlignment="1">
      <alignment vertical="center" shrinkToFit="1"/>
    </xf>
    <xf numFmtId="176" fontId="0" fillId="2" borderId="130" xfId="0" applyNumberFormat="1" applyFont="1" applyFill="1" applyBorder="1" applyAlignment="1">
      <alignment vertical="center" shrinkToFit="1"/>
    </xf>
    <xf numFmtId="176" fontId="0" fillId="2" borderId="19" xfId="0" applyNumberFormat="1" applyFont="1" applyFill="1" applyBorder="1" applyAlignment="1">
      <alignment horizontal="center" vertical="center" shrinkToFit="1"/>
    </xf>
    <xf numFmtId="176" fontId="0" fillId="2" borderId="19" xfId="0" applyNumberFormat="1" applyFont="1" applyFill="1" applyBorder="1" applyAlignment="1">
      <alignment vertical="center" shrinkToFit="1"/>
    </xf>
    <xf numFmtId="176" fontId="0" fillId="2" borderId="71" xfId="0" applyNumberFormat="1" applyFont="1" applyFill="1" applyBorder="1" applyAlignment="1">
      <alignment vertical="center" shrinkToFit="1"/>
    </xf>
    <xf numFmtId="176" fontId="0" fillId="0" borderId="24" xfId="0" applyNumberFormat="1" applyFont="1" applyBorder="1" applyAlignment="1">
      <alignment vertical="center" shrinkToFit="1"/>
    </xf>
    <xf numFmtId="176" fontId="0" fillId="0" borderId="55" xfId="0" applyNumberFormat="1" applyFont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left" vertical="center"/>
    </xf>
    <xf numFmtId="176" fontId="0" fillId="6" borderId="19" xfId="0" applyNumberFormat="1" applyFont="1" applyFill="1" applyBorder="1" applyAlignment="1">
      <alignment vertical="center" shrinkToFit="1"/>
    </xf>
    <xf numFmtId="183" fontId="0" fillId="6" borderId="114" xfId="0" applyNumberFormat="1" applyFont="1" applyFill="1" applyBorder="1" applyAlignment="1">
      <alignment vertical="center" shrinkToFit="1"/>
    </xf>
    <xf numFmtId="183" fontId="0" fillId="6" borderId="52" xfId="0" applyNumberFormat="1" applyFont="1" applyFill="1" applyBorder="1" applyAlignment="1">
      <alignment vertical="center" shrinkToFit="1"/>
    </xf>
    <xf numFmtId="183" fontId="0" fillId="6" borderId="22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76" xfId="0" applyNumberFormat="1" applyFont="1" applyBorder="1" applyAlignment="1">
      <alignment vertical="center" shrinkToFit="1"/>
    </xf>
    <xf numFmtId="177" fontId="0" fillId="2" borderId="138" xfId="0" applyNumberFormat="1" applyFont="1" applyFill="1" applyBorder="1" applyAlignment="1">
      <alignment vertical="center" shrinkToFit="1"/>
    </xf>
    <xf numFmtId="177" fontId="0" fillId="2" borderId="117" xfId="0" applyNumberFormat="1" applyFont="1" applyFill="1" applyBorder="1" applyAlignment="1">
      <alignment vertical="center" shrinkToFit="1"/>
    </xf>
    <xf numFmtId="177" fontId="0" fillId="2" borderId="118" xfId="0" applyNumberFormat="1" applyFont="1" applyFill="1" applyBorder="1" applyAlignment="1">
      <alignment vertical="center" shrinkToFit="1"/>
    </xf>
    <xf numFmtId="177" fontId="0" fillId="2" borderId="131" xfId="0" applyNumberFormat="1" applyFont="1" applyFill="1" applyBorder="1" applyAlignment="1">
      <alignment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81" fontId="0" fillId="0" borderId="34" xfId="1" applyNumberFormat="1" applyFont="1" applyFill="1" applyBorder="1" applyAlignment="1">
      <alignment vertical="center"/>
    </xf>
    <xf numFmtId="181" fontId="0" fillId="6" borderId="47" xfId="1" applyNumberFormat="1" applyFon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45" xfId="1" applyNumberFormat="1" applyFont="1" applyFill="1" applyBorder="1" applyAlignment="1">
      <alignment vertical="center"/>
    </xf>
    <xf numFmtId="177" fontId="0" fillId="0" borderId="146" xfId="0" applyNumberFormat="1" applyFill="1" applyBorder="1" applyAlignment="1">
      <alignment vertical="center"/>
    </xf>
    <xf numFmtId="177" fontId="0" fillId="0" borderId="147" xfId="3" applyNumberFormat="1" applyFont="1" applyBorder="1" applyAlignment="1">
      <alignment vertical="center"/>
    </xf>
    <xf numFmtId="177" fontId="0" fillId="6" borderId="148" xfId="0" applyNumberFormat="1" applyFont="1" applyFill="1" applyBorder="1" applyAlignment="1">
      <alignment vertical="center" shrinkToFit="1"/>
    </xf>
    <xf numFmtId="177" fontId="0" fillId="0" borderId="148" xfId="3" applyNumberFormat="1" applyFont="1" applyBorder="1" applyAlignment="1">
      <alignment vertical="center"/>
    </xf>
    <xf numFmtId="177" fontId="0" fillId="0" borderId="110" xfId="3" applyNumberFormat="1" applyFont="1" applyBorder="1" applyAlignment="1">
      <alignment horizontal="right" vertical="center"/>
    </xf>
    <xf numFmtId="177" fontId="0" fillId="0" borderId="110" xfId="3" applyNumberFormat="1" applyFont="1" applyBorder="1" applyAlignment="1">
      <alignment horizontal="left" vertical="center" shrinkToFit="1"/>
    </xf>
    <xf numFmtId="177" fontId="0" fillId="0" borderId="149" xfId="0" applyNumberFormat="1" applyFont="1" applyBorder="1" applyAlignment="1">
      <alignment vertical="center"/>
    </xf>
    <xf numFmtId="177" fontId="0" fillId="0" borderId="150" xfId="0" applyNumberFormat="1" applyFont="1" applyBorder="1" applyAlignment="1">
      <alignment vertical="center"/>
    </xf>
    <xf numFmtId="177" fontId="0" fillId="0" borderId="151" xfId="0" applyNumberFormat="1" applyFont="1" applyBorder="1" applyAlignment="1">
      <alignment vertical="center"/>
    </xf>
    <xf numFmtId="177" fontId="0" fillId="0" borderId="146" xfId="0" applyNumberFormat="1" applyFont="1" applyBorder="1" applyAlignment="1">
      <alignment vertical="center"/>
    </xf>
    <xf numFmtId="178" fontId="0" fillId="0" borderId="15" xfId="0" applyNumberFormat="1" applyFont="1" applyBorder="1" applyAlignment="1">
      <alignment horizontal="left" vertical="center"/>
    </xf>
    <xf numFmtId="178" fontId="0" fillId="0" borderId="150" xfId="0" applyNumberFormat="1" applyFont="1" applyBorder="1" applyAlignment="1">
      <alignment horizontal="left" vertical="center"/>
    </xf>
    <xf numFmtId="177" fontId="0" fillId="0" borderId="150" xfId="3" applyNumberFormat="1" applyFont="1" applyBorder="1" applyAlignment="1">
      <alignment vertical="center" shrinkToFit="1"/>
    </xf>
    <xf numFmtId="177" fontId="0" fillId="0" borderId="153" xfId="3" applyNumberFormat="1" applyFont="1" applyBorder="1" applyAlignment="1">
      <alignment vertical="center"/>
    </xf>
    <xf numFmtId="177" fontId="0" fillId="0" borderId="154" xfId="3" applyNumberFormat="1" applyFont="1" applyBorder="1" applyAlignment="1">
      <alignment vertical="center"/>
    </xf>
    <xf numFmtId="177" fontId="0" fillId="0" borderId="150" xfId="0" applyNumberFormat="1" applyFont="1" applyFill="1" applyBorder="1" applyAlignment="1">
      <alignment vertical="center"/>
    </xf>
    <xf numFmtId="177" fontId="0" fillId="0" borderId="146" xfId="0" applyNumberFormat="1" applyFont="1" applyFill="1" applyBorder="1" applyAlignment="1">
      <alignment horizontal="center" vertical="center"/>
    </xf>
    <xf numFmtId="177" fontId="0" fillId="0" borderId="146" xfId="0" applyNumberFormat="1" applyFont="1" applyFill="1" applyBorder="1" applyAlignment="1">
      <alignment vertical="center"/>
    </xf>
    <xf numFmtId="177" fontId="0" fillId="0" borderId="150" xfId="0" applyNumberFormat="1" applyFill="1" applyBorder="1" applyAlignment="1">
      <alignment vertical="center"/>
    </xf>
    <xf numFmtId="178" fontId="0" fillId="0" borderId="146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9" fontId="0" fillId="0" borderId="14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32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49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7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50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3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49" xfId="0" applyNumberFormat="1" applyFont="1" applyFill="1" applyBorder="1" applyAlignment="1">
      <alignment vertical="center" shrinkToFit="1"/>
    </xf>
    <xf numFmtId="177" fontId="0" fillId="0" borderId="8" xfId="0" applyNumberFormat="1" applyFont="1" applyFill="1" applyBorder="1" applyAlignment="1">
      <alignment vertical="center"/>
    </xf>
    <xf numFmtId="177" fontId="0" fillId="0" borderId="8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/>
    </xf>
    <xf numFmtId="177" fontId="0" fillId="0" borderId="151" xfId="0" applyNumberFormat="1" applyFont="1" applyFill="1" applyBorder="1" applyAlignment="1">
      <alignment vertical="center"/>
    </xf>
    <xf numFmtId="177" fontId="0" fillId="0" borderId="13" xfId="0" applyNumberFormat="1" applyFill="1" applyBorder="1" applyAlignment="1">
      <alignment vertical="center" shrinkToFit="1"/>
    </xf>
    <xf numFmtId="177" fontId="0" fillId="0" borderId="1" xfId="0" applyNumberForma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6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5" xfId="0" applyNumberFormat="1" applyFont="1" applyFill="1" applyBorder="1" applyAlignment="1">
      <alignment horizontal="left" vertical="center"/>
    </xf>
    <xf numFmtId="0" fontId="0" fillId="0" borderId="14" xfId="3" applyFont="1" applyFill="1" applyBorder="1" applyAlignment="1">
      <alignment vertical="center"/>
    </xf>
    <xf numFmtId="0" fontId="0" fillId="0" borderId="15" xfId="3" applyFont="1" applyFill="1" applyBorder="1" applyAlignment="1">
      <alignment vertical="center"/>
    </xf>
    <xf numFmtId="177" fontId="0" fillId="0" borderId="14" xfId="3" applyNumberFormat="1" applyFont="1" applyFill="1" applyBorder="1" applyAlignment="1">
      <alignment vertical="center"/>
    </xf>
    <xf numFmtId="177" fontId="0" fillId="0" borderId="15" xfId="3" applyNumberFormat="1" applyFont="1" applyFill="1" applyBorder="1" applyAlignment="1">
      <alignment vertical="center"/>
    </xf>
    <xf numFmtId="178" fontId="0" fillId="0" borderId="14" xfId="0" applyNumberFormat="1" applyFont="1" applyFill="1" applyBorder="1" applyAlignment="1">
      <alignment horizontal="left" vertical="center"/>
    </xf>
    <xf numFmtId="177" fontId="0" fillId="0" borderId="14" xfId="3" applyNumberFormat="1" applyFont="1" applyFill="1" applyBorder="1" applyAlignment="1">
      <alignment vertical="center" shrinkToFit="1"/>
    </xf>
    <xf numFmtId="178" fontId="0" fillId="0" borderId="150" xfId="0" applyNumberFormat="1" applyFont="1" applyFill="1" applyBorder="1" applyAlignment="1">
      <alignment horizontal="left" vertical="center"/>
    </xf>
    <xf numFmtId="177" fontId="0" fillId="0" borderId="150" xfId="3" applyNumberFormat="1" applyFont="1" applyFill="1" applyBorder="1" applyAlignment="1">
      <alignment vertical="center" shrinkToFit="1"/>
    </xf>
    <xf numFmtId="178" fontId="0" fillId="0" borderId="151" xfId="0" applyNumberFormat="1" applyFont="1" applyFill="1" applyBorder="1" applyAlignment="1">
      <alignment horizontal="left" vertical="center"/>
    </xf>
    <xf numFmtId="177" fontId="0" fillId="0" borderId="1" xfId="3" applyNumberFormat="1" applyFont="1" applyFill="1" applyBorder="1" applyAlignment="1">
      <alignment vertical="center" shrinkToFit="1"/>
    </xf>
    <xf numFmtId="182" fontId="0" fillId="0" borderId="14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156" xfId="3" applyNumberFormat="1" applyFont="1" applyBorder="1" applyAlignment="1">
      <alignment horizontal="center" vertical="center" shrinkToFit="1"/>
    </xf>
    <xf numFmtId="177" fontId="0" fillId="0" borderId="77" xfId="3" applyNumberFormat="1" applyFont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horizontal="center" vertical="center" shrinkToFit="1"/>
    </xf>
    <xf numFmtId="177" fontId="0" fillId="2" borderId="50" xfId="0" applyNumberFormat="1" applyFont="1" applyFill="1" applyBorder="1" applyAlignment="1">
      <alignment vertical="center" shrinkToFit="1"/>
    </xf>
    <xf numFmtId="177" fontId="0" fillId="0" borderId="161" xfId="3" applyNumberFormat="1" applyFont="1" applyBorder="1" applyAlignment="1">
      <alignment vertical="center" shrinkToFit="1"/>
    </xf>
    <xf numFmtId="176" fontId="0" fillId="0" borderId="161" xfId="0" applyNumberFormat="1" applyFont="1" applyBorder="1" applyAlignment="1">
      <alignment vertical="center"/>
    </xf>
    <xf numFmtId="177" fontId="0" fillId="0" borderId="24" xfId="3" applyNumberFormat="1" applyFont="1" applyBorder="1" applyAlignment="1">
      <alignment vertical="center" shrinkToFit="1"/>
    </xf>
    <xf numFmtId="177" fontId="0" fillId="0" borderId="24" xfId="3" applyNumberFormat="1" applyFont="1" applyFill="1" applyBorder="1" applyAlignment="1">
      <alignment vertical="center" shrinkToFit="1"/>
    </xf>
    <xf numFmtId="176" fontId="0" fillId="2" borderId="40" xfId="0" applyNumberFormat="1" applyFont="1" applyFill="1" applyBorder="1" applyAlignment="1">
      <alignment horizontal="center" vertical="center" shrinkToFit="1"/>
    </xf>
    <xf numFmtId="177" fontId="0" fillId="2" borderId="40" xfId="0" applyNumberFormat="1" applyFont="1" applyFill="1" applyBorder="1" applyAlignment="1">
      <alignment vertical="center" shrinkToFit="1"/>
    </xf>
    <xf numFmtId="0" fontId="8" fillId="0" borderId="75" xfId="0" applyFont="1" applyBorder="1" applyAlignment="1">
      <alignment horizontal="center" vertical="center" shrinkToFit="1"/>
    </xf>
    <xf numFmtId="176" fontId="0" fillId="2" borderId="159" xfId="0" applyNumberFormat="1" applyFont="1" applyFill="1" applyBorder="1" applyAlignment="1">
      <alignment vertical="center" shrinkToFit="1"/>
    </xf>
    <xf numFmtId="176" fontId="0" fillId="2" borderId="65" xfId="0" applyNumberFormat="1" applyFont="1" applyFill="1" applyBorder="1" applyAlignment="1">
      <alignment vertical="center" shrinkToFit="1"/>
    </xf>
    <xf numFmtId="176" fontId="0" fillId="2" borderId="118" xfId="0" applyNumberFormat="1" applyFont="1" applyFill="1" applyBorder="1" applyAlignment="1">
      <alignment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76" fontId="0" fillId="0" borderId="60" xfId="0" applyNumberFormat="1" applyFont="1" applyBorder="1" applyAlignment="1">
      <alignment vertical="center"/>
    </xf>
    <xf numFmtId="177" fontId="0" fillId="2" borderId="50" xfId="3" applyNumberFormat="1" applyFont="1" applyFill="1" applyBorder="1" applyAlignment="1">
      <alignment horizontal="center" vertical="center" shrinkToFit="1"/>
    </xf>
    <xf numFmtId="177" fontId="0" fillId="2" borderId="50" xfId="3" applyNumberFormat="1" applyFont="1" applyFill="1" applyBorder="1" applyAlignment="1">
      <alignment vertical="center" shrinkToFit="1"/>
    </xf>
    <xf numFmtId="176" fontId="0" fillId="6" borderId="159" xfId="0" applyNumberFormat="1" applyFont="1" applyFill="1" applyBorder="1" applyAlignment="1">
      <alignment vertical="center"/>
    </xf>
    <xf numFmtId="176" fontId="0" fillId="0" borderId="24" xfId="3" applyNumberFormat="1" applyFont="1" applyFill="1" applyBorder="1" applyAlignment="1">
      <alignment vertical="center" shrinkToFit="1"/>
    </xf>
    <xf numFmtId="176" fontId="0" fillId="0" borderId="115" xfId="0" applyNumberFormat="1" applyFont="1" applyBorder="1" applyAlignment="1">
      <alignment vertical="center" shrinkToFit="1"/>
    </xf>
    <xf numFmtId="177" fontId="0" fillId="0" borderId="115" xfId="0" applyNumberFormat="1" applyFont="1" applyBorder="1" applyAlignment="1">
      <alignment horizontal="center" vertical="center" shrinkToFit="1"/>
    </xf>
    <xf numFmtId="177" fontId="0" fillId="0" borderId="55" xfId="0" applyNumberFormat="1" applyFont="1" applyBorder="1" applyAlignment="1">
      <alignment horizontal="center" vertical="center" shrinkToFit="1"/>
    </xf>
    <xf numFmtId="177" fontId="0" fillId="0" borderId="116" xfId="0" applyNumberFormat="1" applyFont="1" applyBorder="1" applyAlignment="1">
      <alignment horizontal="center" vertical="center" shrinkToFit="1"/>
    </xf>
    <xf numFmtId="177" fontId="0" fillId="0" borderId="88" xfId="0" applyNumberFormat="1" applyFont="1" applyBorder="1" applyAlignment="1">
      <alignment vertical="center" shrinkToFit="1"/>
    </xf>
    <xf numFmtId="176" fontId="0" fillId="6" borderId="114" xfId="0" applyNumberFormat="1" applyFont="1" applyFill="1" applyBorder="1" applyAlignment="1">
      <alignment horizontal="center" vertical="center" shrinkToFit="1"/>
    </xf>
    <xf numFmtId="177" fontId="0" fillId="0" borderId="77" xfId="0" applyNumberFormat="1" applyFont="1" applyBorder="1" applyAlignment="1">
      <alignment horizontal="center" vertical="center" shrinkToFit="1"/>
    </xf>
    <xf numFmtId="177" fontId="0" fillId="0" borderId="111" xfId="0" applyNumberFormat="1" applyFont="1" applyBorder="1" applyAlignment="1">
      <alignment horizontal="center" vertical="center" shrinkToFit="1"/>
    </xf>
    <xf numFmtId="177" fontId="0" fillId="2" borderId="138" xfId="0" applyNumberFormat="1" applyFont="1" applyFill="1" applyBorder="1" applyAlignment="1">
      <alignment horizontal="center" vertical="center" shrinkToFit="1"/>
    </xf>
    <xf numFmtId="177" fontId="0" fillId="0" borderId="37" xfId="0" applyNumberFormat="1" applyFont="1" applyBorder="1" applyAlignment="1">
      <alignment horizontal="center" vertical="center" shrinkToFit="1"/>
    </xf>
    <xf numFmtId="177" fontId="0" fillId="0" borderId="59" xfId="0" applyNumberFormat="1" applyFont="1" applyBorder="1" applyAlignment="1">
      <alignment horizontal="center" vertical="center" shrinkToFit="1"/>
    </xf>
    <xf numFmtId="176" fontId="0" fillId="0" borderId="162" xfId="0" applyNumberFormat="1" applyFont="1" applyBorder="1" applyAlignment="1">
      <alignment vertical="center"/>
    </xf>
    <xf numFmtId="176" fontId="0" fillId="0" borderId="165" xfId="0" applyNumberFormat="1" applyFont="1" applyBorder="1" applyAlignment="1">
      <alignment vertical="center"/>
    </xf>
    <xf numFmtId="176" fontId="0" fillId="0" borderId="136" xfId="0" applyNumberFormat="1" applyFont="1" applyBorder="1" applyAlignment="1">
      <alignment vertical="center"/>
    </xf>
    <xf numFmtId="179" fontId="0" fillId="0" borderId="24" xfId="0" applyNumberFormat="1" applyFont="1" applyFill="1" applyBorder="1" applyAlignment="1">
      <alignment vertical="center"/>
    </xf>
    <xf numFmtId="9" fontId="0" fillId="0" borderId="24" xfId="3" applyNumberFormat="1" applyFont="1" applyFill="1" applyBorder="1" applyAlignment="1">
      <alignment vertical="center" shrinkToFit="1"/>
    </xf>
    <xf numFmtId="179" fontId="0" fillId="0" borderId="161" xfId="0" applyNumberFormat="1" applyBorder="1" applyAlignment="1">
      <alignment vertical="center" shrinkToFit="1"/>
    </xf>
    <xf numFmtId="9" fontId="0" fillId="0" borderId="161" xfId="3" applyNumberFormat="1" applyFont="1" applyFill="1" applyBorder="1" applyAlignment="1">
      <alignment vertical="center" shrinkToFit="1"/>
    </xf>
    <xf numFmtId="3" fontId="0" fillId="0" borderId="24" xfId="5" applyNumberFormat="1" applyFont="1" applyFill="1" applyBorder="1" applyAlignment="1">
      <alignment vertical="center" shrinkToFit="1"/>
    </xf>
    <xf numFmtId="176" fontId="0" fillId="0" borderId="60" xfId="0" applyNumberFormat="1" applyFont="1" applyBorder="1" applyAlignment="1">
      <alignment vertical="center" shrinkToFit="1"/>
    </xf>
    <xf numFmtId="177" fontId="0" fillId="2" borderId="170" xfId="0" applyNumberFormat="1" applyFont="1" applyFill="1" applyBorder="1" applyAlignment="1">
      <alignment vertical="center" shrinkToFit="1"/>
    </xf>
    <xf numFmtId="176" fontId="0" fillId="2" borderId="171" xfId="0" applyNumberFormat="1" applyFont="1" applyFill="1" applyBorder="1" applyAlignment="1">
      <alignment vertical="center" shrinkToFit="1"/>
    </xf>
    <xf numFmtId="177" fontId="0" fillId="2" borderId="167" xfId="3" applyNumberFormat="1" applyFont="1" applyFill="1" applyBorder="1" applyAlignment="1">
      <alignment horizontal="center" vertical="center" shrinkToFit="1"/>
    </xf>
    <xf numFmtId="177" fontId="0" fillId="2" borderId="167" xfId="3" applyNumberFormat="1" applyFont="1" applyFill="1" applyBorder="1" applyAlignment="1">
      <alignment vertical="center" shrinkToFit="1"/>
    </xf>
    <xf numFmtId="176" fontId="0" fillId="6" borderId="172" xfId="0" applyNumberFormat="1" applyFont="1" applyFill="1" applyBorder="1" applyAlignment="1">
      <alignment vertical="center"/>
    </xf>
    <xf numFmtId="177" fontId="0" fillId="0" borderId="175" xfId="0" applyNumberFormat="1" applyFont="1" applyFill="1" applyBorder="1" applyAlignment="1">
      <alignment vertical="center" shrinkToFit="1"/>
    </xf>
    <xf numFmtId="177" fontId="0" fillId="0" borderId="176" xfId="0" applyNumberFormat="1" applyFont="1" applyFill="1" applyBorder="1" applyAlignment="1">
      <alignment vertical="center" shrinkToFit="1"/>
    </xf>
    <xf numFmtId="177" fontId="0" fillId="0" borderId="168" xfId="0" applyNumberFormat="1" applyFill="1" applyBorder="1" applyAlignment="1">
      <alignment vertical="center"/>
    </xf>
    <xf numFmtId="181" fontId="0" fillId="0" borderId="135" xfId="0" applyNumberFormat="1" applyFont="1" applyBorder="1" applyAlignment="1">
      <alignment horizontal="right" vertical="center"/>
    </xf>
    <xf numFmtId="181" fontId="0" fillId="3" borderId="96" xfId="1" applyNumberFormat="1" applyFont="1" applyFill="1" applyBorder="1" applyAlignment="1">
      <alignment horizontal="right" vertical="center"/>
    </xf>
    <xf numFmtId="177" fontId="0" fillId="0" borderId="7" xfId="0" applyNumberFormat="1" applyFill="1" applyBorder="1" applyAlignment="1">
      <alignment vertical="center" shrinkToFit="1"/>
    </xf>
    <xf numFmtId="181" fontId="0" fillId="0" borderId="134" xfId="0" applyNumberFormat="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1" fillId="0" borderId="0" xfId="2" applyFont="1" applyAlignment="1">
      <alignment horizontal="right" vertical="center"/>
    </xf>
    <xf numFmtId="177" fontId="0" fillId="0" borderId="1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vertical="center" shrinkToFit="1"/>
    </xf>
    <xf numFmtId="176" fontId="0" fillId="0" borderId="146" xfId="0" applyNumberFormat="1" applyFont="1" applyBorder="1" applyAlignment="1">
      <alignment vertical="center" shrinkToFit="1"/>
    </xf>
    <xf numFmtId="0" fontId="0" fillId="0" borderId="24" xfId="0" applyFont="1" applyFill="1" applyBorder="1" applyAlignment="1">
      <alignment vertical="center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/>
    </xf>
    <xf numFmtId="177" fontId="0" fillId="0" borderId="5" xfId="0" applyNumberFormat="1" applyFont="1" applyBorder="1" applyAlignment="1">
      <alignment horizontal="center" vertical="center" shrinkToFit="1"/>
    </xf>
    <xf numFmtId="176" fontId="1" fillId="0" borderId="180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9" fillId="0" borderId="2" xfId="0" applyNumberFormat="1" applyFont="1" applyBorder="1" applyAlignment="1">
      <alignment vertical="center" shrinkToFit="1"/>
    </xf>
    <xf numFmtId="176" fontId="9" fillId="2" borderId="2" xfId="0" applyNumberFormat="1" applyFont="1" applyFill="1" applyBorder="1" applyAlignment="1">
      <alignment vertical="center" shrinkToFit="1"/>
    </xf>
    <xf numFmtId="176" fontId="9" fillId="0" borderId="71" xfId="0" applyNumberFormat="1" applyFont="1" applyFill="1" applyBorder="1" applyAlignment="1">
      <alignment vertical="center" shrinkToFit="1"/>
    </xf>
    <xf numFmtId="184" fontId="1" fillId="0" borderId="16" xfId="2" applyNumberFormat="1" applyFont="1" applyBorder="1" applyAlignment="1">
      <alignment vertical="center" wrapText="1"/>
    </xf>
    <xf numFmtId="0" fontId="8" fillId="0" borderId="175" xfId="2" applyFont="1" applyBorder="1" applyAlignment="1">
      <alignment vertical="center" wrapText="1"/>
    </xf>
    <xf numFmtId="0" fontId="8" fillId="0" borderId="49" xfId="2" applyFont="1" applyBorder="1" applyAlignment="1">
      <alignment vertical="center" wrapText="1"/>
    </xf>
    <xf numFmtId="0" fontId="1" fillId="0" borderId="175" xfId="2" applyFont="1" applyBorder="1" applyAlignment="1">
      <alignment vertical="center" wrapText="1"/>
    </xf>
    <xf numFmtId="0" fontId="1" fillId="0" borderId="49" xfId="2" applyFont="1" applyBorder="1" applyAlignment="1">
      <alignment vertical="center" wrapText="1"/>
    </xf>
    <xf numFmtId="0" fontId="8" fillId="0" borderId="168" xfId="2" applyFont="1" applyBorder="1" applyAlignment="1">
      <alignment horizontal="left" vertical="center"/>
    </xf>
    <xf numFmtId="0" fontId="8" fillId="0" borderId="168" xfId="2" applyFont="1" applyBorder="1" applyAlignment="1">
      <alignment vertical="center"/>
    </xf>
    <xf numFmtId="0" fontId="0" fillId="0" borderId="168" xfId="2" applyFont="1" applyBorder="1" applyAlignment="1">
      <alignment vertical="center"/>
    </xf>
    <xf numFmtId="0" fontId="0" fillId="0" borderId="134" xfId="0" applyFont="1" applyBorder="1" applyAlignment="1">
      <alignment horizontal="center" vertical="center"/>
    </xf>
    <xf numFmtId="181" fontId="0" fillId="0" borderId="182" xfId="0" applyNumberFormat="1" applyFont="1" applyBorder="1" applyAlignment="1">
      <alignment horizontal="right" vertical="center"/>
    </xf>
    <xf numFmtId="181" fontId="0" fillId="3" borderId="135" xfId="1" applyNumberFormat="1" applyFont="1" applyFill="1" applyBorder="1" applyAlignment="1">
      <alignment horizontal="right" vertical="center"/>
    </xf>
    <xf numFmtId="176" fontId="9" fillId="0" borderId="185" xfId="0" applyNumberFormat="1" applyFont="1" applyBorder="1" applyAlignment="1">
      <alignment vertical="center" shrinkToFit="1"/>
    </xf>
    <xf numFmtId="3" fontId="6" fillId="0" borderId="186" xfId="0" applyNumberFormat="1" applyFont="1" applyFill="1" applyBorder="1" applyAlignment="1"/>
    <xf numFmtId="177" fontId="0" fillId="0" borderId="49" xfId="0" applyNumberFormat="1" applyFont="1" applyBorder="1" applyAlignment="1">
      <alignment horizontal="center" vertical="center" shrinkToFit="1"/>
    </xf>
    <xf numFmtId="176" fontId="0" fillId="6" borderId="11" xfId="0" applyNumberFormat="1" applyFont="1" applyFill="1" applyBorder="1" applyAlignment="1">
      <alignment horizontal="center" vertical="center" shrinkToFit="1"/>
    </xf>
    <xf numFmtId="183" fontId="0" fillId="6" borderId="11" xfId="0" applyNumberFormat="1" applyFont="1" applyFill="1" applyBorder="1" applyAlignment="1">
      <alignment vertical="center" shrinkToFit="1"/>
    </xf>
    <xf numFmtId="179" fontId="0" fillId="0" borderId="187" xfId="0" applyNumberFormat="1" applyFont="1" applyBorder="1" applyAlignment="1">
      <alignment horizontal="center" vertical="center" shrinkToFit="1"/>
    </xf>
    <xf numFmtId="179" fontId="0" fillId="0" borderId="184" xfId="0" applyNumberFormat="1" applyFont="1" applyBorder="1" applyAlignment="1">
      <alignment horizontal="center" vertical="center" shrinkToFit="1"/>
    </xf>
    <xf numFmtId="183" fontId="0" fillId="0" borderId="146" xfId="0" applyNumberFormat="1" applyFont="1" applyBorder="1" applyAlignment="1">
      <alignment vertical="center" shrinkToFit="1"/>
    </xf>
    <xf numFmtId="176" fontId="0" fillId="0" borderId="191" xfId="0" applyNumberFormat="1" applyFont="1" applyBorder="1" applyAlignment="1">
      <alignment vertical="center" shrinkToFit="1"/>
    </xf>
    <xf numFmtId="176" fontId="0" fillId="6" borderId="195" xfId="0" applyNumberFormat="1" applyFont="1" applyFill="1" applyBorder="1" applyAlignment="1">
      <alignment vertical="center" shrinkToFit="1"/>
    </xf>
    <xf numFmtId="176" fontId="0" fillId="6" borderId="197" xfId="0" applyNumberFormat="1" applyFont="1" applyFill="1" applyBorder="1" applyAlignment="1">
      <alignment vertical="center" shrinkToFit="1"/>
    </xf>
    <xf numFmtId="176" fontId="0" fillId="6" borderId="199" xfId="0" applyNumberFormat="1" applyFont="1" applyFill="1" applyBorder="1" applyAlignment="1">
      <alignment horizontal="center" vertical="center" shrinkToFit="1"/>
    </xf>
    <xf numFmtId="183" fontId="0" fillId="6" borderId="199" xfId="0" applyNumberFormat="1" applyFont="1" applyFill="1" applyBorder="1" applyAlignment="1">
      <alignment vertical="center" shrinkToFit="1"/>
    </xf>
    <xf numFmtId="183" fontId="0" fillId="6" borderId="200" xfId="0" applyNumberFormat="1" applyFont="1" applyFill="1" applyBorder="1" applyAlignment="1">
      <alignment vertical="center" shrinkToFit="1"/>
    </xf>
    <xf numFmtId="183" fontId="0" fillId="6" borderId="201" xfId="0" applyNumberFormat="1" applyFont="1" applyFill="1" applyBorder="1" applyAlignment="1">
      <alignment vertical="center" shrinkToFit="1"/>
    </xf>
    <xf numFmtId="176" fontId="0" fillId="6" borderId="202" xfId="0" applyNumberFormat="1" applyFont="1" applyFill="1" applyBorder="1" applyAlignment="1">
      <alignment vertical="center" shrinkToFit="1"/>
    </xf>
    <xf numFmtId="176" fontId="0" fillId="0" borderId="140" xfId="0" applyNumberFormat="1" applyFont="1" applyBorder="1" applyAlignment="1">
      <alignment vertical="center" shrinkToFit="1"/>
    </xf>
    <xf numFmtId="183" fontId="0" fillId="0" borderId="140" xfId="0" applyNumberFormat="1" applyFont="1" applyBorder="1" applyAlignment="1">
      <alignment vertical="center" shrinkToFit="1"/>
    </xf>
    <xf numFmtId="176" fontId="0" fillId="0" borderId="20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vertical="center" shrinkToFit="1"/>
    </xf>
    <xf numFmtId="177" fontId="0" fillId="0" borderId="185" xfId="0" applyNumberFormat="1" applyFont="1" applyBorder="1" applyAlignment="1">
      <alignment horizontal="center" vertical="center" shrinkToFit="1"/>
    </xf>
    <xf numFmtId="177" fontId="0" fillId="0" borderId="168" xfId="0" applyNumberFormat="1" applyFont="1" applyBorder="1" applyAlignment="1">
      <alignment horizontal="center" vertical="center" shrinkToFit="1"/>
    </xf>
    <xf numFmtId="176" fontId="0" fillId="0" borderId="207" xfId="0" applyNumberFormat="1" applyFont="1" applyBorder="1" applyAlignment="1">
      <alignment vertical="center" shrinkToFit="1"/>
    </xf>
    <xf numFmtId="183" fontId="0" fillId="0" borderId="207" xfId="0" applyNumberFormat="1" applyFont="1" applyBorder="1" applyAlignment="1">
      <alignment vertical="center" shrinkToFit="1"/>
    </xf>
    <xf numFmtId="176" fontId="0" fillId="0" borderId="206" xfId="0" applyNumberFormat="1" applyFont="1" applyBorder="1" applyAlignment="1">
      <alignment vertical="center" shrinkToFit="1"/>
    </xf>
    <xf numFmtId="176" fontId="0" fillId="0" borderId="209" xfId="0" applyNumberFormat="1" applyFont="1" applyBorder="1" applyAlignment="1">
      <alignment vertical="center" shrinkToFit="1"/>
    </xf>
    <xf numFmtId="183" fontId="0" fillId="0" borderId="209" xfId="0" applyNumberFormat="1" applyFont="1" applyBorder="1" applyAlignment="1">
      <alignment vertical="center" shrinkToFit="1"/>
    </xf>
    <xf numFmtId="176" fontId="0" fillId="0" borderId="208" xfId="0" applyNumberFormat="1" applyFont="1" applyBorder="1" applyAlignment="1">
      <alignment vertical="center" shrinkToFit="1"/>
    </xf>
    <xf numFmtId="176" fontId="0" fillId="0" borderId="55" xfId="0" applyNumberFormat="1" applyFont="1" applyFill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37" xfId="3" applyNumberFormat="1" applyFont="1" applyBorder="1" applyAlignment="1">
      <alignment horizontal="center" vertical="center" shrinkToFit="1"/>
    </xf>
    <xf numFmtId="186" fontId="0" fillId="0" borderId="1" xfId="0" applyNumberFormat="1" applyFont="1" applyBorder="1" applyAlignment="1">
      <alignment vertical="center" shrinkToFit="1"/>
    </xf>
    <xf numFmtId="3" fontId="6" fillId="0" borderId="212" xfId="0" applyNumberFormat="1" applyFont="1" applyFill="1" applyBorder="1" applyAlignment="1"/>
    <xf numFmtId="183" fontId="0" fillId="0" borderId="146" xfId="0" applyNumberFormat="1" applyFont="1" applyFill="1" applyBorder="1" applyAlignment="1">
      <alignment vertical="center" shrinkToFit="1"/>
    </xf>
    <xf numFmtId="38" fontId="0" fillId="0" borderId="1" xfId="1" applyFont="1" applyFill="1" applyBorder="1" applyAlignment="1">
      <alignment vertical="center" shrinkToFit="1"/>
    </xf>
    <xf numFmtId="181" fontId="0" fillId="0" borderId="213" xfId="0" applyNumberFormat="1" applyFont="1" applyBorder="1" applyAlignment="1">
      <alignment horizontal="right" vertical="center"/>
    </xf>
    <xf numFmtId="184" fontId="0" fillId="0" borderId="78" xfId="0" applyNumberFormat="1" applyFont="1" applyBorder="1" applyAlignment="1">
      <alignment horizontal="center" vertical="center"/>
    </xf>
    <xf numFmtId="188" fontId="0" fillId="0" borderId="151" xfId="0" applyNumberFormat="1" applyFont="1" applyBorder="1" applyAlignment="1">
      <alignment vertical="center"/>
    </xf>
    <xf numFmtId="189" fontId="0" fillId="0" borderId="151" xfId="0" applyNumberFormat="1" applyFont="1" applyFill="1" applyBorder="1" applyAlignment="1">
      <alignment vertical="center"/>
    </xf>
    <xf numFmtId="189" fontId="0" fillId="0" borderId="15" xfId="0" applyNumberFormat="1" applyFont="1" applyFill="1" applyBorder="1" applyAlignment="1">
      <alignment vertical="center"/>
    </xf>
    <xf numFmtId="190" fontId="0" fillId="0" borderId="152" xfId="3" applyNumberFormat="1" applyFont="1" applyBorder="1" applyAlignment="1">
      <alignment vertical="center"/>
    </xf>
    <xf numFmtId="177" fontId="0" fillId="0" borderId="224" xfId="0" applyNumberFormat="1" applyFont="1" applyFill="1" applyBorder="1" applyAlignment="1">
      <alignment vertical="center" shrinkToFit="1"/>
    </xf>
    <xf numFmtId="177" fontId="0" fillId="0" borderId="225" xfId="0" applyNumberFormat="1" applyFont="1" applyFill="1" applyBorder="1" applyAlignment="1">
      <alignment vertical="center" shrinkToFit="1"/>
    </xf>
    <xf numFmtId="177" fontId="0" fillId="0" borderId="226" xfId="0" applyNumberFormat="1" applyFill="1" applyBorder="1" applyAlignment="1">
      <alignment vertical="center" shrinkToFit="1"/>
    </xf>
    <xf numFmtId="9" fontId="9" fillId="0" borderId="227" xfId="0" applyNumberFormat="1" applyFont="1" applyBorder="1" applyAlignment="1">
      <alignment vertical="center" shrinkToFit="1"/>
    </xf>
    <xf numFmtId="176" fontId="9" fillId="0" borderId="227" xfId="0" applyNumberFormat="1" applyFont="1" applyBorder="1" applyAlignment="1">
      <alignment vertical="center" shrinkToFit="1"/>
    </xf>
    <xf numFmtId="184" fontId="8" fillId="0" borderId="23" xfId="2" applyNumberFormat="1" applyFont="1" applyFill="1" applyBorder="1" applyAlignment="1">
      <alignment vertical="center" wrapText="1"/>
    </xf>
    <xf numFmtId="184" fontId="8" fillId="0" borderId="89" xfId="2" applyNumberFormat="1" applyFont="1" applyFill="1" applyBorder="1" applyAlignment="1">
      <alignment vertical="center" wrapText="1"/>
    </xf>
    <xf numFmtId="176" fontId="1" fillId="0" borderId="7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176" fontId="0" fillId="0" borderId="72" xfId="0" applyNumberForma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vertical="center"/>
    </xf>
    <xf numFmtId="176" fontId="0" fillId="0" borderId="161" xfId="0" applyNumberFormat="1" applyFont="1" applyBorder="1" applyAlignment="1">
      <alignment vertical="center"/>
    </xf>
    <xf numFmtId="179" fontId="0" fillId="5" borderId="24" xfId="0" applyNumberFormat="1" applyFont="1" applyFill="1" applyBorder="1" applyAlignment="1">
      <alignment vertical="center"/>
    </xf>
    <xf numFmtId="179" fontId="0" fillId="0" borderId="24" xfId="0" applyNumberFormat="1" applyFont="1" applyBorder="1" applyAlignment="1">
      <alignment vertical="center"/>
    </xf>
    <xf numFmtId="176" fontId="0" fillId="0" borderId="229" xfId="0" applyNumberFormat="1" applyFont="1" applyBorder="1" applyAlignment="1">
      <alignment vertical="center"/>
    </xf>
    <xf numFmtId="177" fontId="0" fillId="0" borderId="89" xfId="0" applyNumberFormat="1" applyFont="1" applyFill="1" applyBorder="1" applyAlignment="1">
      <alignment vertical="center"/>
    </xf>
    <xf numFmtId="0" fontId="8" fillId="0" borderId="185" xfId="2" applyFont="1" applyBorder="1" applyAlignment="1">
      <alignment vertical="center" wrapText="1"/>
    </xf>
    <xf numFmtId="0" fontId="1" fillId="0" borderId="185" xfId="2" applyFont="1" applyBorder="1" applyAlignment="1">
      <alignment horizontal="left" vertical="center" wrapText="1"/>
    </xf>
    <xf numFmtId="176" fontId="0" fillId="0" borderId="89" xfId="0" applyNumberFormat="1" applyFont="1" applyFill="1" applyBorder="1" applyAlignment="1">
      <alignment vertical="center" shrinkToFit="1"/>
    </xf>
    <xf numFmtId="0" fontId="1" fillId="0" borderId="218" xfId="2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3" xfId="2" applyFont="1" applyFill="1" applyBorder="1" applyAlignment="1">
      <alignment vertical="center" wrapText="1"/>
    </xf>
    <xf numFmtId="0" fontId="0" fillId="0" borderId="27" xfId="2" applyFont="1" applyBorder="1" applyAlignment="1">
      <alignment horizontal="center" vertical="center" wrapText="1"/>
    </xf>
    <xf numFmtId="0" fontId="0" fillId="0" borderId="28" xfId="2" applyFont="1" applyBorder="1" applyAlignment="1">
      <alignment horizontal="center" vertical="center" wrapText="1"/>
    </xf>
    <xf numFmtId="0" fontId="0" fillId="0" borderId="121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center" vertical="center" wrapText="1"/>
    </xf>
    <xf numFmtId="0" fontId="8" fillId="0" borderId="210" xfId="2" applyFont="1" applyBorder="1" applyAlignment="1">
      <alignment horizontal="center" vertical="center" wrapText="1"/>
    </xf>
    <xf numFmtId="0" fontId="8" fillId="0" borderId="185" xfId="2" applyFont="1" applyBorder="1" applyAlignment="1">
      <alignment horizontal="center" vertical="center" wrapText="1"/>
    </xf>
    <xf numFmtId="0" fontId="8" fillId="0" borderId="211" xfId="2" applyFont="1" applyBorder="1" applyAlignment="1">
      <alignment vertical="center" wrapText="1"/>
    </xf>
    <xf numFmtId="0" fontId="1" fillId="0" borderId="211" xfId="2" applyFont="1" applyBorder="1" applyAlignment="1">
      <alignment horizontal="center" vertical="center" shrinkToFit="1"/>
    </xf>
    <xf numFmtId="0" fontId="8" fillId="0" borderId="211" xfId="2" applyFont="1" applyBorder="1" applyAlignment="1">
      <alignment horizontal="center" vertical="center" wrapText="1"/>
    </xf>
    <xf numFmtId="0" fontId="1" fillId="0" borderId="211" xfId="2" applyFont="1" applyBorder="1" applyAlignment="1">
      <alignment horizontal="center" vertical="center" wrapText="1"/>
    </xf>
    <xf numFmtId="0" fontId="1" fillId="0" borderId="200" xfId="2" applyFont="1" applyBorder="1" applyAlignment="1">
      <alignment horizontal="center" vertical="center" wrapText="1"/>
    </xf>
    <xf numFmtId="0" fontId="1" fillId="0" borderId="202" xfId="2" applyFont="1" applyBorder="1" applyAlignment="1">
      <alignment horizontal="center" vertical="center" wrapText="1"/>
    </xf>
    <xf numFmtId="0" fontId="1" fillId="0" borderId="211" xfId="2" applyFont="1" applyBorder="1" applyAlignment="1">
      <alignment horizontal="left" vertical="center" wrapText="1"/>
    </xf>
    <xf numFmtId="0" fontId="1" fillId="0" borderId="200" xfId="2" applyFont="1" applyBorder="1" applyAlignment="1">
      <alignment horizontal="left" vertical="center" wrapText="1"/>
    </xf>
    <xf numFmtId="0" fontId="1" fillId="0" borderId="202" xfId="2" applyFont="1" applyBorder="1" applyAlignment="1">
      <alignment horizontal="left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0" fontId="8" fillId="0" borderId="185" xfId="2" applyFont="1" applyFill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179" fontId="0" fillId="0" borderId="227" xfId="0" applyNumberFormat="1" applyFont="1" applyBorder="1" applyAlignment="1">
      <alignment vertical="center" shrinkToFit="1"/>
    </xf>
    <xf numFmtId="179" fontId="0" fillId="0" borderId="228" xfId="0" applyNumberFormat="1" applyFont="1" applyBorder="1" applyAlignment="1">
      <alignment vertical="center" shrinkToFit="1"/>
    </xf>
    <xf numFmtId="179" fontId="0" fillId="0" borderId="150" xfId="0" applyNumberFormat="1" applyFont="1" applyBorder="1" applyAlignment="1">
      <alignment vertical="center" shrinkToFi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center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vertical="center"/>
    </xf>
    <xf numFmtId="0" fontId="1" fillId="0" borderId="175" xfId="2" applyFont="1" applyBorder="1" applyAlignment="1">
      <alignment horizontal="center" vertical="center" wrapText="1"/>
    </xf>
    <xf numFmtId="0" fontId="8" fillId="0" borderId="185" xfId="2" applyFont="1" applyFill="1" applyBorder="1" applyAlignment="1">
      <alignment vertical="center" wrapText="1"/>
    </xf>
    <xf numFmtId="0" fontId="0" fillId="0" borderId="185" xfId="2" applyFont="1" applyFill="1" applyBorder="1" applyAlignment="1">
      <alignment horizontal="center" vertical="center" shrinkToFit="1"/>
    </xf>
    <xf numFmtId="0" fontId="1" fillId="0" borderId="185" xfId="2" applyFont="1" applyFill="1" applyBorder="1" applyAlignment="1">
      <alignment horizontal="center" vertical="center" shrinkToFit="1"/>
    </xf>
    <xf numFmtId="0" fontId="0" fillId="0" borderId="185" xfId="2" applyFont="1" applyFill="1" applyBorder="1" applyAlignment="1">
      <alignment vertical="center" wrapText="1"/>
    </xf>
    <xf numFmtId="0" fontId="8" fillId="0" borderId="185" xfId="2" applyFont="1" applyFill="1" applyBorder="1" applyAlignment="1">
      <alignment horizontal="center" vertical="center"/>
    </xf>
    <xf numFmtId="0" fontId="1" fillId="0" borderId="185" xfId="2" applyFont="1" applyFill="1" applyBorder="1" applyAlignment="1">
      <alignment horizontal="center" vertical="center" wrapText="1"/>
    </xf>
    <xf numFmtId="191" fontId="1" fillId="0" borderId="185" xfId="2" applyNumberFormat="1" applyFont="1" applyFill="1" applyBorder="1" applyAlignment="1">
      <alignment horizontal="center" vertical="center" wrapText="1"/>
    </xf>
    <xf numFmtId="0" fontId="0" fillId="0" borderId="185" xfId="2" applyFont="1" applyFill="1" applyBorder="1" applyAlignment="1">
      <alignment horizontal="center" vertical="center" wrapText="1"/>
    </xf>
    <xf numFmtId="177" fontId="0" fillId="0" borderId="88" xfId="0" applyNumberFormat="1" applyFont="1" applyFill="1" applyBorder="1" applyAlignment="1">
      <alignment vertical="center" shrinkToFit="1"/>
    </xf>
    <xf numFmtId="177" fontId="0" fillId="0" borderId="89" xfId="0" applyNumberFormat="1" applyFont="1" applyFill="1" applyBorder="1" applyAlignment="1">
      <alignment horizontal="center" vertical="center" shrinkToFit="1"/>
    </xf>
    <xf numFmtId="188" fontId="0" fillId="0" borderId="151" xfId="0" applyNumberFormat="1" applyFont="1" applyFill="1" applyBorder="1" applyAlignment="1">
      <alignment vertical="center"/>
    </xf>
    <xf numFmtId="177" fontId="0" fillId="0" borderId="14" xfId="0" applyNumberFormat="1" applyFill="1" applyBorder="1" applyAlignment="1">
      <alignment vertical="center"/>
    </xf>
    <xf numFmtId="176" fontId="9" fillId="0" borderId="89" xfId="0" applyNumberFormat="1" applyFont="1" applyFill="1" applyBorder="1" applyAlignment="1">
      <alignment vertical="center" shrinkToFit="1"/>
    </xf>
    <xf numFmtId="176" fontId="9" fillId="0" borderId="89" xfId="0" applyNumberFormat="1" applyFont="1" applyFill="1" applyBorder="1" applyAlignment="1">
      <alignment horizontal="right" vertical="center" shrinkToFit="1"/>
    </xf>
    <xf numFmtId="176" fontId="9" fillId="0" borderId="23" xfId="0" applyNumberFormat="1" applyFont="1" applyFill="1" applyBorder="1" applyAlignment="1">
      <alignment vertical="center" shrinkToFit="1"/>
    </xf>
    <xf numFmtId="176" fontId="0" fillId="0" borderId="227" xfId="0" applyNumberFormat="1" applyFont="1" applyFill="1" applyBorder="1">
      <alignment vertical="center"/>
    </xf>
    <xf numFmtId="176" fontId="0" fillId="0" borderId="224" xfId="0" applyNumberFormat="1" applyFont="1" applyFill="1" applyBorder="1" applyAlignment="1">
      <alignment vertical="center"/>
    </xf>
    <xf numFmtId="176" fontId="0" fillId="0" borderId="185" xfId="0" applyNumberFormat="1" applyFont="1" applyFill="1" applyBorder="1" applyAlignment="1">
      <alignment vertical="center" shrinkToFit="1"/>
    </xf>
    <xf numFmtId="176" fontId="9" fillId="0" borderId="185" xfId="0" applyNumberFormat="1" applyFont="1" applyFill="1" applyBorder="1" applyAlignment="1">
      <alignment vertical="center" shrinkToFit="1"/>
    </xf>
    <xf numFmtId="185" fontId="0" fillId="0" borderId="89" xfId="0" applyNumberFormat="1" applyFont="1" applyFill="1" applyBorder="1" applyAlignment="1">
      <alignment horizontal="right" vertical="center" shrinkToFit="1"/>
    </xf>
    <xf numFmtId="176" fontId="0" fillId="0" borderId="89" xfId="0" applyNumberFormat="1" applyFill="1" applyBorder="1" applyAlignment="1">
      <alignment vertical="center" shrinkToFit="1"/>
    </xf>
    <xf numFmtId="0" fontId="8" fillId="0" borderId="236" xfId="2" applyFont="1" applyBorder="1" applyAlignment="1">
      <alignment horizontal="left" vertical="center" wrapText="1"/>
    </xf>
    <xf numFmtId="0" fontId="1" fillId="0" borderId="236" xfId="2" applyFont="1" applyBorder="1" applyAlignment="1">
      <alignment horizontal="left" vertical="center" wrapText="1"/>
    </xf>
    <xf numFmtId="0" fontId="0" fillId="0" borderId="236" xfId="2" applyFont="1" applyBorder="1" applyAlignment="1">
      <alignment horizontal="left" vertical="center" wrapText="1"/>
    </xf>
    <xf numFmtId="0" fontId="15" fillId="0" borderId="236" xfId="2" applyFont="1" applyBorder="1" applyAlignment="1">
      <alignment horizontal="left" vertical="center" wrapText="1"/>
    </xf>
    <xf numFmtId="0" fontId="8" fillId="0" borderId="237" xfId="2" applyFont="1" applyBorder="1" applyAlignment="1">
      <alignment horizontal="left" vertical="center" wrapText="1"/>
    </xf>
    <xf numFmtId="0" fontId="0" fillId="0" borderId="237" xfId="2" applyFont="1" applyBorder="1" applyAlignment="1">
      <alignment horizontal="left" vertical="center" wrapText="1"/>
    </xf>
    <xf numFmtId="176" fontId="0" fillId="0" borderId="24" xfId="0" applyNumberFormat="1" applyFont="1" applyBorder="1" applyAlignment="1">
      <alignment vertical="center"/>
    </xf>
    <xf numFmtId="177" fontId="0" fillId="0" borderId="227" xfId="0" applyNumberFormat="1" applyFont="1" applyFill="1" applyBorder="1" applyAlignment="1">
      <alignment vertical="center" shrinkToFit="1"/>
    </xf>
    <xf numFmtId="0" fontId="0" fillId="0" borderId="26" xfId="2" applyFont="1" applyBorder="1" applyAlignment="1">
      <alignment horizontal="center" vertical="center" wrapText="1"/>
    </xf>
    <xf numFmtId="0" fontId="0" fillId="0" borderId="25" xfId="2" applyFont="1" applyBorder="1" applyAlignment="1">
      <alignment horizontal="right" vertical="center" wrapText="1"/>
    </xf>
    <xf numFmtId="0" fontId="0" fillId="0" borderId="25" xfId="2" applyFont="1" applyBorder="1" applyAlignment="1">
      <alignment horizontal="left" vertical="center" wrapText="1"/>
    </xf>
    <xf numFmtId="0" fontId="0" fillId="0" borderId="27" xfId="2" applyFont="1" applyBorder="1" applyAlignment="1">
      <alignment horizontal="left" vertical="center" wrapText="1"/>
    </xf>
    <xf numFmtId="177" fontId="0" fillId="0" borderId="89" xfId="0" applyNumberFormat="1" applyFon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6" fontId="0" fillId="0" borderId="24" xfId="0" applyNumberFormat="1" applyFont="1" applyBorder="1" applyAlignment="1">
      <alignment vertical="center"/>
    </xf>
    <xf numFmtId="177" fontId="0" fillId="0" borderId="236" xfId="0" applyNumberFormat="1" applyFont="1" applyFill="1" applyBorder="1" applyAlignment="1">
      <alignment vertical="center" shrinkToFit="1"/>
    </xf>
    <xf numFmtId="177" fontId="0" fillId="0" borderId="236" xfId="0" applyNumberFormat="1" applyFont="1" applyFill="1" applyBorder="1" applyAlignment="1">
      <alignment horizontal="center" vertical="center" shrinkToFit="1"/>
    </xf>
    <xf numFmtId="177" fontId="0" fillId="0" borderId="76" xfId="0" applyNumberFormat="1" applyFont="1" applyFill="1" applyBorder="1" applyAlignment="1">
      <alignment vertical="center" shrinkToFit="1"/>
    </xf>
    <xf numFmtId="177" fontId="0" fillId="0" borderId="24" xfId="0" applyNumberFormat="1" applyFont="1" applyBorder="1" applyAlignment="1">
      <alignment horizontal="center" vertical="center" shrinkToFit="1"/>
    </xf>
    <xf numFmtId="182" fontId="0" fillId="0" borderId="150" xfId="0" applyNumberFormat="1" applyFont="1" applyFill="1" applyBorder="1" applyAlignment="1">
      <alignment vertical="center"/>
    </xf>
    <xf numFmtId="177" fontId="0" fillId="0" borderId="15" xfId="0" applyNumberFormat="1" applyFill="1" applyBorder="1" applyAlignment="1">
      <alignment vertical="center"/>
    </xf>
    <xf numFmtId="177" fontId="0" fillId="0" borderId="110" xfId="3" applyNumberFormat="1" applyFont="1" applyFill="1" applyBorder="1" applyAlignment="1">
      <alignment horizontal="right" vertical="center"/>
    </xf>
    <xf numFmtId="177" fontId="0" fillId="0" borderId="110" xfId="3" applyNumberFormat="1" applyFont="1" applyFill="1" applyBorder="1" applyAlignment="1">
      <alignment horizontal="left" vertical="center" shrinkToFit="1"/>
    </xf>
    <xf numFmtId="177" fontId="0" fillId="0" borderId="149" xfId="0" applyNumberFormat="1" applyFont="1" applyFill="1" applyBorder="1" applyAlignment="1">
      <alignment vertical="center"/>
    </xf>
    <xf numFmtId="190" fontId="0" fillId="0" borderId="152" xfId="3" applyNumberFormat="1" applyFont="1" applyFill="1" applyBorder="1" applyAlignment="1">
      <alignment vertical="center"/>
    </xf>
    <xf numFmtId="181" fontId="0" fillId="0" borderId="39" xfId="0" applyNumberFormat="1" applyFont="1" applyFill="1" applyBorder="1" applyAlignment="1">
      <alignment horizontal="right" vertical="center"/>
    </xf>
    <xf numFmtId="176" fontId="0" fillId="0" borderId="23" xfId="0" applyNumberFormat="1" applyFont="1" applyFill="1" applyBorder="1" applyAlignment="1">
      <alignment vertical="center" shrinkToFit="1"/>
    </xf>
    <xf numFmtId="9" fontId="9" fillId="0" borderId="89" xfId="0" applyNumberFormat="1" applyFont="1" applyFill="1" applyBorder="1" applyAlignment="1">
      <alignment vertical="center" shrinkToFit="1"/>
    </xf>
    <xf numFmtId="187" fontId="0" fillId="0" borderId="1" xfId="0" applyNumberFormat="1" applyFont="1" applyFill="1" applyBorder="1" applyAlignment="1">
      <alignment vertical="center" shrinkToFit="1"/>
    </xf>
    <xf numFmtId="182" fontId="9" fillId="0" borderId="89" xfId="4" applyNumberFormat="1" applyFont="1" applyFill="1" applyBorder="1" applyAlignment="1">
      <alignment vertical="center" shrinkToFit="1"/>
    </xf>
    <xf numFmtId="176" fontId="9" fillId="0" borderId="89" xfId="0" applyNumberFormat="1" applyFont="1" applyFill="1" applyBorder="1" applyAlignment="1">
      <alignment horizontal="left" vertical="center" shrinkToFit="1"/>
    </xf>
    <xf numFmtId="182" fontId="9" fillId="0" borderId="1" xfId="4" applyNumberFormat="1" applyFont="1" applyFill="1" applyBorder="1" applyAlignment="1">
      <alignment vertical="center" shrinkToFit="1"/>
    </xf>
    <xf numFmtId="176" fontId="1" fillId="0" borderId="185" xfId="0" applyNumberFormat="1" applyFont="1" applyFill="1" applyBorder="1" applyAlignment="1">
      <alignment vertical="center" shrinkToFit="1"/>
    </xf>
    <xf numFmtId="176" fontId="10" fillId="0" borderId="89" xfId="0" applyNumberFormat="1" applyFont="1" applyFill="1" applyBorder="1" applyAlignment="1">
      <alignment vertical="center" shrinkToFit="1"/>
    </xf>
    <xf numFmtId="176" fontId="10" fillId="0" borderId="185" xfId="0" applyNumberFormat="1" applyFont="1" applyFill="1" applyBorder="1" applyAlignment="1">
      <alignment vertical="center" shrinkToFit="1"/>
    </xf>
    <xf numFmtId="176" fontId="0" fillId="0" borderId="185" xfId="0" applyNumberFormat="1" applyFill="1" applyBorder="1" applyAlignment="1">
      <alignment vertical="center" shrinkToFit="1"/>
    </xf>
    <xf numFmtId="9" fontId="9" fillId="0" borderId="185" xfId="0" applyNumberFormat="1" applyFont="1" applyFill="1" applyBorder="1" applyAlignment="1">
      <alignment vertical="center" shrinkToFit="1"/>
    </xf>
    <xf numFmtId="182" fontId="9" fillId="0" borderId="185" xfId="4" applyNumberFormat="1" applyFont="1" applyFill="1" applyBorder="1" applyAlignment="1">
      <alignment vertical="center" shrinkToFit="1"/>
    </xf>
    <xf numFmtId="176" fontId="9" fillId="7" borderId="1" xfId="0" applyNumberFormat="1" applyFont="1" applyFill="1" applyBorder="1" applyAlignment="1">
      <alignment horizontal="center" vertical="center" shrinkToFit="1"/>
    </xf>
    <xf numFmtId="176" fontId="9" fillId="7" borderId="1" xfId="0" applyNumberFormat="1" applyFont="1" applyFill="1" applyBorder="1" applyAlignment="1">
      <alignment vertical="center" shrinkToFit="1"/>
    </xf>
    <xf numFmtId="176" fontId="9" fillId="7" borderId="1" xfId="0" applyNumberFormat="1" applyFont="1" applyFill="1" applyBorder="1" applyAlignment="1">
      <alignment horizontal="left" vertical="center" shrinkToFit="1"/>
    </xf>
    <xf numFmtId="0" fontId="1" fillId="0" borderId="3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0" xfId="2" applyFont="1" applyBorder="1" applyAlignment="1">
      <alignment vertical="center" wrapText="1"/>
    </xf>
    <xf numFmtId="0" fontId="1" fillId="0" borderId="99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47" xfId="2" applyFont="1" applyBorder="1" applyAlignment="1">
      <alignment vertical="center" wrapText="1"/>
    </xf>
    <xf numFmtId="0" fontId="1" fillId="0" borderId="62" xfId="2" applyFont="1" applyBorder="1" applyAlignment="1">
      <alignment vertical="center" wrapText="1"/>
    </xf>
    <xf numFmtId="0" fontId="1" fillId="0" borderId="100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" fillId="0" borderId="218" xfId="2" applyFont="1" applyBorder="1" applyAlignment="1">
      <alignment horizontal="center" vertical="center"/>
    </xf>
    <xf numFmtId="0" fontId="1" fillId="0" borderId="219" xfId="2" applyFont="1" applyBorder="1" applyAlignment="1">
      <alignment horizontal="center" vertical="center"/>
    </xf>
    <xf numFmtId="0" fontId="1" fillId="0" borderId="193" xfId="2" applyFont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181" xfId="2" applyFont="1" applyBorder="1" applyAlignment="1">
      <alignment horizontal="center" vertical="center"/>
    </xf>
    <xf numFmtId="0" fontId="1" fillId="0" borderId="220" xfId="2" applyFont="1" applyBorder="1" applyAlignment="1">
      <alignment horizontal="center" vertical="center"/>
    </xf>
    <xf numFmtId="0" fontId="1" fillId="0" borderId="216" xfId="2" applyFont="1" applyBorder="1" applyAlignment="1">
      <alignment horizontal="center" vertical="center"/>
    </xf>
    <xf numFmtId="0" fontId="1" fillId="0" borderId="214" xfId="2" applyFont="1" applyBorder="1" applyAlignment="1">
      <alignment horizontal="center" vertical="center"/>
    </xf>
    <xf numFmtId="0" fontId="0" fillId="0" borderId="221" xfId="2" applyFont="1" applyBorder="1" applyAlignment="1">
      <alignment horizontal="left" vertical="center" wrapText="1"/>
    </xf>
    <xf numFmtId="0" fontId="1" fillId="0" borderId="218" xfId="2" applyFont="1" applyBorder="1" applyAlignment="1">
      <alignment horizontal="left" vertical="center" wrapText="1"/>
    </xf>
    <xf numFmtId="0" fontId="1" fillId="0" borderId="222" xfId="2" applyFont="1" applyBorder="1" applyAlignment="1">
      <alignment horizontal="left" vertical="center" wrapText="1"/>
    </xf>
    <xf numFmtId="0" fontId="1" fillId="0" borderId="53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223" xfId="2" applyFont="1" applyBorder="1" applyAlignment="1">
      <alignment horizontal="left" vertical="center" wrapText="1"/>
    </xf>
    <xf numFmtId="0" fontId="1" fillId="0" borderId="215" xfId="2" applyFont="1" applyBorder="1" applyAlignment="1">
      <alignment horizontal="left" vertical="center" wrapText="1"/>
    </xf>
    <xf numFmtId="0" fontId="1" fillId="0" borderId="216" xfId="2" applyFont="1" applyBorder="1" applyAlignment="1">
      <alignment horizontal="left" vertical="center" wrapText="1"/>
    </xf>
    <xf numFmtId="0" fontId="1" fillId="0" borderId="217" xfId="2" applyFont="1" applyBorder="1" applyAlignment="1">
      <alignment horizontal="left" vertical="center" wrapText="1"/>
    </xf>
    <xf numFmtId="0" fontId="0" fillId="0" borderId="47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92" xfId="2" applyFont="1" applyBorder="1" applyAlignment="1">
      <alignment horizontal="center" vertical="center" wrapText="1"/>
    </xf>
    <xf numFmtId="0" fontId="8" fillId="0" borderId="93" xfId="2" applyFont="1" applyBorder="1" applyAlignment="1">
      <alignment horizontal="center" vertical="center" wrapText="1"/>
    </xf>
    <xf numFmtId="0" fontId="8" fillId="0" borderId="94" xfId="2" applyFont="1" applyBorder="1" applyAlignment="1">
      <alignment horizontal="center" vertical="center" wrapText="1"/>
    </xf>
    <xf numFmtId="0" fontId="1" fillId="0" borderId="95" xfId="2" applyFont="1" applyBorder="1" applyAlignment="1">
      <alignment horizontal="center" vertical="center"/>
    </xf>
    <xf numFmtId="0" fontId="1" fillId="0" borderId="96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8" fillId="0" borderId="58" xfId="2" applyFont="1" applyBorder="1" applyAlignment="1">
      <alignment horizontal="center" vertical="center" wrapText="1"/>
    </xf>
    <xf numFmtId="0" fontId="8" fillId="0" borderId="56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indent="1"/>
    </xf>
    <xf numFmtId="0" fontId="8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22" xfId="2" applyFont="1" applyBorder="1" applyAlignment="1">
      <alignment horizontal="left" vertical="center" wrapText="1"/>
    </xf>
    <xf numFmtId="184" fontId="8" fillId="0" borderId="18" xfId="2" applyNumberFormat="1" applyFont="1" applyBorder="1" applyAlignment="1">
      <alignment horizontal="center" vertical="center" wrapText="1"/>
    </xf>
    <xf numFmtId="184" fontId="8" fillId="0" borderId="20" xfId="2" applyNumberFormat="1" applyFont="1" applyBorder="1" applyAlignment="1">
      <alignment horizontal="center" vertical="center" wrapText="1"/>
    </xf>
    <xf numFmtId="184" fontId="8" fillId="0" borderId="19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184" fontId="8" fillId="0" borderId="13" xfId="2" applyNumberFormat="1" applyFont="1" applyBorder="1" applyAlignment="1">
      <alignment horizontal="center" vertical="center" wrapText="1"/>
    </xf>
    <xf numFmtId="184" fontId="8" fillId="0" borderId="14" xfId="2" applyNumberFormat="1" applyFont="1" applyBorder="1" applyAlignment="1">
      <alignment horizontal="center" vertical="center" wrapText="1"/>
    </xf>
    <xf numFmtId="184" fontId="8" fillId="0" borderId="49" xfId="2" applyNumberFormat="1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1" fillId="0" borderId="8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9" xfId="2" applyFont="1" applyBorder="1" applyAlignment="1">
      <alignment vertical="center" wrapText="1"/>
    </xf>
    <xf numFmtId="0" fontId="8" fillId="0" borderId="18" xfId="2" applyFont="1" applyBorder="1" applyAlignment="1">
      <alignment vertical="center" wrapText="1"/>
    </xf>
    <xf numFmtId="0" fontId="8" fillId="0" borderId="80" xfId="2" applyFont="1" applyBorder="1" applyAlignment="1">
      <alignment horizontal="center" vertical="center" textRotation="255" shrinkToFit="1"/>
    </xf>
    <xf numFmtId="0" fontId="8" fillId="0" borderId="56" xfId="2" applyFont="1" applyBorder="1" applyAlignment="1">
      <alignment horizontal="center" vertical="center" textRotation="255" shrinkToFit="1"/>
    </xf>
    <xf numFmtId="0" fontId="8" fillId="0" borderId="81" xfId="2" applyFont="1" applyBorder="1" applyAlignment="1">
      <alignment horizontal="center" vertical="center" textRotation="255" shrinkToFi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49" xfId="2" applyFont="1" applyBorder="1" applyAlignment="1">
      <alignment horizontal="left" vertical="center" wrapText="1"/>
    </xf>
    <xf numFmtId="184" fontId="8" fillId="0" borderId="15" xfId="2" applyNumberFormat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3" xfId="2" applyFont="1" applyBorder="1" applyAlignment="1">
      <alignment horizontal="left" vertical="center" wrapText="1"/>
    </xf>
    <xf numFmtId="184" fontId="8" fillId="0" borderId="0" xfId="2" applyNumberFormat="1" applyFont="1" applyBorder="1" applyAlignment="1">
      <alignment horizontal="center" vertical="center" wrapText="1"/>
    </xf>
    <xf numFmtId="184" fontId="8" fillId="0" borderId="32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21" xfId="2" applyFont="1" applyBorder="1" applyAlignment="1">
      <alignment horizontal="center" vertical="center" wrapText="1"/>
    </xf>
    <xf numFmtId="184" fontId="8" fillId="0" borderId="25" xfId="2" applyNumberFormat="1" applyFont="1" applyBorder="1" applyAlignment="1">
      <alignment horizontal="center" vertical="center" wrapText="1"/>
    </xf>
    <xf numFmtId="184" fontId="8" fillId="0" borderId="26" xfId="2" applyNumberFormat="1" applyFont="1" applyBorder="1" applyAlignment="1">
      <alignment horizontal="center" vertical="center" wrapText="1"/>
    </xf>
    <xf numFmtId="184" fontId="8" fillId="0" borderId="121" xfId="2" applyNumberFormat="1" applyFont="1" applyBorder="1" applyAlignment="1">
      <alignment horizontal="center" vertical="center" wrapText="1"/>
    </xf>
    <xf numFmtId="0" fontId="8" fillId="0" borderId="177" xfId="0" applyFont="1" applyBorder="1" applyAlignment="1">
      <alignment horizontal="center" vertical="center" shrinkToFit="1"/>
    </xf>
    <xf numFmtId="0" fontId="8" fillId="0" borderId="179" xfId="0" applyFont="1" applyBorder="1" applyAlignment="1">
      <alignment horizontal="center" vertical="center" shrinkToFit="1"/>
    </xf>
    <xf numFmtId="0" fontId="8" fillId="0" borderId="178" xfId="0" applyFont="1" applyBorder="1" applyAlignment="1">
      <alignment horizontal="center" vertical="center" shrinkToFit="1"/>
    </xf>
    <xf numFmtId="0" fontId="8" fillId="0" borderId="15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5" xfId="2" applyFont="1" applyBorder="1" applyAlignment="1">
      <alignment vertical="center" wrapText="1"/>
    </xf>
    <xf numFmtId="0" fontId="8" fillId="0" borderId="4" xfId="2" applyFont="1" applyBorder="1" applyAlignment="1">
      <alignment vertical="center" wrapText="1"/>
    </xf>
    <xf numFmtId="0" fontId="8" fillId="0" borderId="87" xfId="2" applyFont="1" applyBorder="1" applyAlignment="1">
      <alignment vertical="center" wrapText="1"/>
    </xf>
    <xf numFmtId="0" fontId="8" fillId="0" borderId="101" xfId="0" quotePrefix="1" applyFont="1" applyBorder="1" applyAlignment="1">
      <alignment horizontal="center" vertical="center" shrinkToFit="1"/>
    </xf>
    <xf numFmtId="0" fontId="8" fillId="0" borderId="101" xfId="0" applyFont="1" applyBorder="1" applyAlignment="1">
      <alignment horizontal="center" vertical="center" shrinkToFit="1"/>
    </xf>
    <xf numFmtId="0" fontId="8" fillId="0" borderId="102" xfId="0" applyFont="1" applyBorder="1" applyAlignment="1">
      <alignment horizontal="center" vertical="center" shrinkToFit="1"/>
    </xf>
    <xf numFmtId="0" fontId="1" fillId="0" borderId="103" xfId="0" applyFont="1" applyBorder="1" applyAlignment="1">
      <alignment horizontal="center" vertical="center" shrinkToFit="1"/>
    </xf>
    <xf numFmtId="0" fontId="1" fillId="0" borderId="104" xfId="0" applyFont="1" applyBorder="1" applyAlignment="1">
      <alignment horizontal="center" vertical="center" shrinkToFit="1"/>
    </xf>
    <xf numFmtId="0" fontId="1" fillId="0" borderId="105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0" fillId="0" borderId="218" xfId="2" applyFont="1" applyFill="1" applyBorder="1" applyAlignment="1">
      <alignment horizontal="left" vertical="center" shrinkToFit="1"/>
    </xf>
    <xf numFmtId="0" fontId="1" fillId="0" borderId="218" xfId="2" applyFont="1" applyFill="1" applyBorder="1" applyAlignment="1">
      <alignment horizontal="left" vertical="center" shrinkToFit="1"/>
    </xf>
    <xf numFmtId="0" fontId="0" fillId="0" borderId="218" xfId="2" applyFont="1" applyFill="1" applyBorder="1" applyAlignment="1">
      <alignment horizontal="center" vertical="center" wrapText="1"/>
    </xf>
    <xf numFmtId="0" fontId="1" fillId="0" borderId="218" xfId="2" applyFont="1" applyFill="1" applyBorder="1" applyAlignment="1">
      <alignment horizontal="center" vertical="center" wrapText="1"/>
    </xf>
    <xf numFmtId="0" fontId="0" fillId="0" borderId="218" xfId="2" applyFont="1" applyBorder="1" applyAlignment="1">
      <alignment horizontal="center" vertical="center" wrapText="1"/>
    </xf>
    <xf numFmtId="0" fontId="1" fillId="0" borderId="218" xfId="2" applyFont="1" applyBorder="1" applyAlignment="1">
      <alignment horizontal="center" vertical="center" wrapText="1"/>
    </xf>
    <xf numFmtId="0" fontId="1" fillId="0" borderId="222" xfId="2" applyFont="1" applyBorder="1" applyAlignment="1">
      <alignment horizontal="center" vertical="center" wrapText="1"/>
    </xf>
    <xf numFmtId="0" fontId="0" fillId="0" borderId="221" xfId="2" applyFont="1" applyFill="1" applyBorder="1" applyAlignment="1">
      <alignment horizontal="left" vertical="center" shrinkToFit="1"/>
    </xf>
    <xf numFmtId="0" fontId="0" fillId="0" borderId="5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left" vertical="center" wrapText="1"/>
    </xf>
    <xf numFmtId="0" fontId="0" fillId="0" borderId="215" xfId="2" applyFont="1" applyFill="1" applyBorder="1" applyAlignment="1">
      <alignment horizontal="left" vertical="center" wrapText="1"/>
    </xf>
    <xf numFmtId="0" fontId="1" fillId="0" borderId="183" xfId="2" applyFont="1" applyFill="1" applyBorder="1" applyAlignment="1">
      <alignment horizontal="left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183" xfId="2" applyFont="1" applyBorder="1" applyAlignment="1">
      <alignment horizontal="center" vertical="center" wrapText="1"/>
    </xf>
    <xf numFmtId="0" fontId="1" fillId="0" borderId="217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223" xfId="2" applyFont="1" applyBorder="1" applyAlignment="1">
      <alignment horizontal="center" vertical="center" wrapText="1"/>
    </xf>
    <xf numFmtId="0" fontId="1" fillId="0" borderId="183" xfId="2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left" vertical="center" wrapText="1"/>
    </xf>
    <xf numFmtId="0" fontId="0" fillId="0" borderId="183" xfId="2" applyFont="1" applyFill="1" applyBorder="1" applyAlignment="1">
      <alignment horizontal="left" vertical="center" wrapText="1"/>
    </xf>
    <xf numFmtId="0" fontId="0" fillId="0" borderId="0" xfId="2" applyFont="1" applyFill="1" applyBorder="1" applyAlignment="1">
      <alignment horizontal="left" vertical="center" shrinkToFit="1"/>
    </xf>
    <xf numFmtId="0" fontId="1" fillId="0" borderId="0" xfId="2" applyFont="1" applyFill="1" applyBorder="1" applyAlignment="1">
      <alignment horizontal="left" vertical="center" shrinkToFit="1"/>
    </xf>
    <xf numFmtId="0" fontId="8" fillId="0" borderId="230" xfId="2" applyFont="1" applyBorder="1" applyAlignment="1">
      <alignment horizontal="center" vertical="center" wrapText="1"/>
    </xf>
    <xf numFmtId="0" fontId="8" fillId="0" borderId="231" xfId="2" applyFont="1" applyBorder="1" applyAlignment="1">
      <alignment horizontal="center" vertical="center" wrapText="1"/>
    </xf>
    <xf numFmtId="0" fontId="8" fillId="0" borderId="232" xfId="2" applyFont="1" applyFill="1" applyBorder="1" applyAlignment="1">
      <alignment horizontal="center" vertical="center" textRotation="255" wrapText="1"/>
    </xf>
    <xf numFmtId="0" fontId="0" fillId="0" borderId="233" xfId="2" applyFont="1" applyFill="1" applyBorder="1" applyAlignment="1">
      <alignment horizontal="center" vertical="center" wrapText="1"/>
    </xf>
    <xf numFmtId="0" fontId="1" fillId="0" borderId="49" xfId="2" applyFont="1" applyFill="1" applyBorder="1" applyAlignment="1">
      <alignment horizontal="center" vertical="center"/>
    </xf>
    <xf numFmtId="0" fontId="1" fillId="0" borderId="234" xfId="2" applyFont="1" applyBorder="1" applyAlignment="1">
      <alignment horizontal="center" vertical="center"/>
    </xf>
    <xf numFmtId="0" fontId="1" fillId="0" borderId="235" xfId="2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09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10" xfId="0" applyFont="1" applyBorder="1" applyAlignment="1">
      <alignment vertical="center"/>
    </xf>
    <xf numFmtId="180" fontId="0" fillId="0" borderId="111" xfId="1" applyNumberFormat="1" applyFont="1" applyBorder="1" applyAlignment="1">
      <alignment horizontal="center" vertical="center"/>
    </xf>
    <xf numFmtId="0" fontId="0" fillId="0" borderId="112" xfId="0" applyFont="1" applyBorder="1" applyAlignment="1">
      <alignment vertical="center"/>
    </xf>
    <xf numFmtId="0" fontId="0" fillId="0" borderId="107" xfId="0" applyFont="1" applyBorder="1" applyAlignment="1">
      <alignment horizontal="center" vertical="center" textRotation="255"/>
    </xf>
    <xf numFmtId="0" fontId="0" fillId="0" borderId="106" xfId="0" applyFont="1" applyBorder="1" applyAlignment="1">
      <alignment horizontal="center" vertical="center" textRotation="255"/>
    </xf>
    <xf numFmtId="0" fontId="0" fillId="0" borderId="108" xfId="0" applyFont="1" applyBorder="1" applyAlignment="1">
      <alignment horizontal="center" vertical="center" textRotation="255"/>
    </xf>
    <xf numFmtId="0" fontId="0" fillId="3" borderId="77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19" xfId="0" applyFont="1" applyBorder="1" applyAlignment="1">
      <alignment horizontal="center" vertical="center" textRotation="255" wrapText="1"/>
    </xf>
    <xf numFmtId="0" fontId="0" fillId="0" borderId="40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40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39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42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1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3" borderId="98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3" borderId="106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18" xfId="2" applyFont="1" applyBorder="1" applyAlignment="1">
      <alignment horizontal="center" vertical="center" shrinkToFit="1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7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58" xfId="0" applyNumberFormat="1" applyFont="1" applyBorder="1" applyAlignment="1">
      <alignment horizontal="center" vertical="center"/>
    </xf>
    <xf numFmtId="176" fontId="0" fillId="0" borderId="56" xfId="0" applyNumberFormat="1" applyFon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0" xfId="0" applyNumberFormat="1" applyFont="1" applyBorder="1" applyAlignment="1">
      <alignment horizontal="center" vertical="center"/>
    </xf>
    <xf numFmtId="176" fontId="0" fillId="0" borderId="34" xfId="0" applyNumberFormat="1" applyFont="1" applyBorder="1" applyAlignment="1">
      <alignment horizontal="center" vertical="center"/>
    </xf>
    <xf numFmtId="176" fontId="0" fillId="0" borderId="39" xfId="0" applyNumberFormat="1" applyFont="1" applyBorder="1" applyAlignment="1">
      <alignment horizontal="center" vertical="center"/>
    </xf>
    <xf numFmtId="176" fontId="0" fillId="0" borderId="34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176" fontId="1" fillId="0" borderId="127" xfId="0" applyNumberFormat="1" applyFont="1" applyBorder="1" applyAlignment="1">
      <alignment horizontal="center" vertical="center" shrinkToFit="1"/>
    </xf>
    <xf numFmtId="176" fontId="1" fillId="0" borderId="86" xfId="0" applyNumberFormat="1" applyFont="1" applyBorder="1" applyAlignment="1">
      <alignment horizontal="center" vertical="center" shrinkToFit="1"/>
    </xf>
    <xf numFmtId="176" fontId="0" fillId="0" borderId="58" xfId="0" applyNumberFormat="1" applyBorder="1" applyAlignment="1">
      <alignment horizontal="center" vertical="center" textRotation="255" shrinkToFit="1"/>
    </xf>
    <xf numFmtId="176" fontId="0" fillId="0" borderId="56" xfId="0" applyNumberFormat="1" applyBorder="1" applyAlignment="1">
      <alignment horizontal="center" vertical="center" textRotation="255" shrinkToFit="1"/>
    </xf>
    <xf numFmtId="176" fontId="0" fillId="0" borderId="81" xfId="0" applyNumberFormat="1" applyBorder="1" applyAlignment="1">
      <alignment horizontal="center" vertical="center" textRotation="255" shrinkToFit="1"/>
    </xf>
    <xf numFmtId="176" fontId="1" fillId="0" borderId="18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176" fontId="0" fillId="0" borderId="80" xfId="0" applyNumberFormat="1" applyBorder="1" applyAlignment="1">
      <alignment horizontal="center" vertical="center" shrinkToFit="1"/>
    </xf>
    <xf numFmtId="176" fontId="0" fillId="0" borderId="81" xfId="0" applyNumberFormat="1" applyBorder="1" applyAlignment="1">
      <alignment horizontal="center" vertical="center" shrinkToFit="1"/>
    </xf>
    <xf numFmtId="176" fontId="0" fillId="0" borderId="127" xfId="0" applyNumberFormat="1" applyBorder="1" applyAlignment="1">
      <alignment horizontal="center" vertical="center" shrinkToFit="1"/>
    </xf>
    <xf numFmtId="176" fontId="0" fillId="0" borderId="86" xfId="0" applyNumberFormat="1" applyBorder="1" applyAlignment="1">
      <alignment horizontal="center" vertical="center" shrinkToFit="1"/>
    </xf>
    <xf numFmtId="176" fontId="1" fillId="0" borderId="72" xfId="0" applyNumberFormat="1" applyFont="1" applyBorder="1" applyAlignment="1">
      <alignment horizontal="center" vertical="center" shrinkToFit="1"/>
    </xf>
    <xf numFmtId="176" fontId="1" fillId="0" borderId="82" xfId="0" applyNumberFormat="1" applyFont="1" applyBorder="1" applyAlignment="1">
      <alignment horizontal="center" vertical="center" shrinkToFit="1"/>
    </xf>
    <xf numFmtId="177" fontId="0" fillId="0" borderId="238" xfId="3" applyNumberFormat="1" applyFont="1" applyFill="1" applyBorder="1" applyAlignment="1">
      <alignment horizontal="center" vertical="center" shrinkToFit="1"/>
    </xf>
    <xf numFmtId="177" fontId="0" fillId="0" borderId="13" xfId="0" applyNumberFormat="1" applyFill="1" applyBorder="1" applyAlignment="1">
      <alignment vertical="center" shrinkToFit="1"/>
    </xf>
    <xf numFmtId="177" fontId="0" fillId="0" borderId="14" xfId="0" applyNumberFormat="1" applyFont="1" applyFill="1" applyBorder="1" applyAlignment="1">
      <alignment vertical="center" shrinkToFit="1"/>
    </xf>
    <xf numFmtId="177" fontId="0" fillId="0" borderId="15" xfId="0" applyNumberFormat="1" applyFont="1" applyFill="1" applyBorder="1" applyAlignment="1">
      <alignment vertical="center" shrinkToFit="1"/>
    </xf>
    <xf numFmtId="177" fontId="0" fillId="0" borderId="89" xfId="0" applyNumberFormat="1" applyFill="1" applyBorder="1" applyAlignment="1">
      <alignment vertical="center"/>
    </xf>
    <xf numFmtId="0" fontId="0" fillId="0" borderId="89" xfId="0" applyFont="1" applyFill="1" applyBorder="1" applyAlignment="1">
      <alignment vertical="center"/>
    </xf>
    <xf numFmtId="0" fontId="0" fillId="0" borderId="76" xfId="0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/>
    </xf>
    <xf numFmtId="177" fontId="0" fillId="0" borderId="14" xfId="0" applyNumberFormat="1" applyFont="1" applyFill="1" applyBorder="1" applyAlignment="1">
      <alignment vertical="center"/>
    </xf>
    <xf numFmtId="177" fontId="0" fillId="0" borderId="15" xfId="0" applyNumberFormat="1" applyFont="1" applyFill="1" applyBorder="1" applyAlignment="1">
      <alignment vertical="center"/>
    </xf>
    <xf numFmtId="177" fontId="0" fillId="0" borderId="13" xfId="0" applyNumberFormat="1" applyFont="1" applyFill="1" applyBorder="1" applyAlignment="1">
      <alignment vertical="center" shrinkToFit="1"/>
    </xf>
    <xf numFmtId="177" fontId="0" fillId="0" borderId="14" xfId="0" applyNumberFormat="1" applyFill="1" applyBorder="1" applyAlignment="1">
      <alignment vertical="center" shrinkToFit="1"/>
    </xf>
    <xf numFmtId="177" fontId="0" fillId="0" borderId="15" xfId="0" applyNumberFormat="1" applyFill="1" applyBorder="1" applyAlignment="1">
      <alignment vertical="center" shrinkToFit="1"/>
    </xf>
    <xf numFmtId="177" fontId="0" fillId="0" borderId="133" xfId="0" applyNumberFormat="1" applyBorder="1" applyAlignment="1">
      <alignment horizontal="center" vertical="center" textRotation="255" shrinkToFit="1"/>
    </xf>
    <xf numFmtId="177" fontId="0" fillId="0" borderId="56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3" xfId="0" applyNumberFormat="1" applyFont="1" applyBorder="1" applyAlignment="1">
      <alignment vertical="center"/>
    </xf>
    <xf numFmtId="177" fontId="0" fillId="0" borderId="14" xfId="0" applyNumberFormat="1" applyFont="1" applyBorder="1" applyAlignment="1">
      <alignment vertical="center"/>
    </xf>
    <xf numFmtId="177" fontId="0" fillId="0" borderId="15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13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13" xfId="0" applyNumberFormat="1" applyFont="1" applyFill="1" applyBorder="1" applyAlignment="1">
      <alignment horizontal="center" vertical="center" shrinkToFit="1"/>
    </xf>
    <xf numFmtId="177" fontId="0" fillId="0" borderId="131" xfId="0" applyNumberFormat="1" applyFont="1" applyBorder="1" applyAlignment="1">
      <alignment vertical="center"/>
    </xf>
    <xf numFmtId="177" fontId="0" fillId="0" borderId="137" xfId="0" applyNumberFormat="1" applyFont="1" applyBorder="1" applyAlignment="1">
      <alignment vertical="center"/>
    </xf>
    <xf numFmtId="177" fontId="0" fillId="0" borderId="155" xfId="0" applyNumberFormat="1" applyFont="1" applyBorder="1" applyAlignment="1">
      <alignment vertical="center"/>
    </xf>
    <xf numFmtId="177" fontId="0" fillId="0" borderId="13" xfId="0" applyNumberFormat="1" applyFont="1" applyFill="1" applyBorder="1" applyAlignment="1">
      <alignment horizontal="center" vertical="center"/>
    </xf>
    <xf numFmtId="177" fontId="0" fillId="0" borderId="14" xfId="0" applyNumberFormat="1" applyFont="1" applyFill="1" applyBorder="1" applyAlignment="1">
      <alignment horizontal="center" vertical="center"/>
    </xf>
    <xf numFmtId="177" fontId="0" fillId="0" borderId="15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4" xfId="0" applyNumberFormat="1" applyFont="1" applyFill="1" applyBorder="1" applyAlignment="1">
      <alignment horizontal="center" vertical="center"/>
    </xf>
    <xf numFmtId="177" fontId="0" fillId="0" borderId="6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177" fontId="0" fillId="0" borderId="57" xfId="0" applyNumberFormat="1" applyFon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6" xfId="0" applyNumberFormat="1" applyFont="1" applyFill="1" applyBorder="1" applyAlignment="1">
      <alignment vertical="center" shrinkToFit="1"/>
    </xf>
    <xf numFmtId="177" fontId="0" fillId="0" borderId="88" xfId="0" applyNumberFormat="1" applyFont="1" applyBorder="1" applyAlignment="1">
      <alignment horizontal="center" vertical="center" shrinkToFit="1"/>
    </xf>
    <xf numFmtId="177" fontId="0" fillId="0" borderId="89" xfId="0" applyNumberFormat="1" applyFont="1" applyBorder="1" applyAlignment="1">
      <alignment horizontal="center" vertical="center" shrinkToFit="1"/>
    </xf>
    <xf numFmtId="177" fontId="0" fillId="0" borderId="3" xfId="0" applyNumberFormat="1" applyFont="1" applyBorder="1" applyAlignment="1">
      <alignment horizontal="center" vertical="center" shrinkToFit="1"/>
    </xf>
    <xf numFmtId="177" fontId="0" fillId="0" borderId="4" xfId="0" applyNumberFormat="1" applyFont="1" applyBorder="1" applyAlignment="1">
      <alignment horizontal="center" vertical="center" shrinkToFit="1"/>
    </xf>
    <xf numFmtId="177" fontId="0" fillId="0" borderId="87" xfId="0" applyNumberFormat="1" applyFont="1" applyBorder="1" applyAlignment="1">
      <alignment horizontal="center"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86" xfId="0" applyNumberFormat="1" applyFill="1" applyBorder="1" applyAlignment="1">
      <alignment horizontal="center" vertical="center" textRotation="255" shrinkToFit="1"/>
    </xf>
    <xf numFmtId="177" fontId="0" fillId="0" borderId="143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44" xfId="0" applyNumberFormat="1" applyBorder="1" applyAlignment="1">
      <alignment horizontal="center" vertical="center" textRotation="255" shrinkToFit="1"/>
    </xf>
    <xf numFmtId="177" fontId="0" fillId="0" borderId="107" xfId="3" applyNumberFormat="1" applyFont="1" applyBorder="1" applyAlignment="1">
      <alignment horizontal="center" vertical="center" textRotation="255"/>
    </xf>
    <xf numFmtId="177" fontId="0" fillId="0" borderId="106" xfId="3" applyNumberFormat="1" applyFont="1" applyBorder="1" applyAlignment="1">
      <alignment horizontal="center" vertical="center" textRotation="255"/>
    </xf>
    <xf numFmtId="177" fontId="0" fillId="0" borderId="108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6" borderId="45" xfId="0" applyFont="1" applyFill="1" applyBorder="1" applyAlignment="1">
      <alignment horizontal="center" vertical="center"/>
    </xf>
    <xf numFmtId="0" fontId="0" fillId="6" borderId="46" xfId="0" applyFont="1" applyFill="1" applyBorder="1" applyAlignment="1">
      <alignment horizontal="center" vertical="center"/>
    </xf>
    <xf numFmtId="0" fontId="0" fillId="6" borderId="61" xfId="0" applyFont="1" applyFill="1" applyBorder="1" applyAlignment="1">
      <alignment horizontal="center" vertical="center"/>
    </xf>
    <xf numFmtId="177" fontId="0" fillId="0" borderId="89" xfId="0" applyNumberFormat="1" applyFont="1" applyFill="1" applyBorder="1" applyAlignment="1">
      <alignment vertical="center" shrinkToFit="1"/>
    </xf>
    <xf numFmtId="0" fontId="0" fillId="0" borderId="139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8" xfId="0" applyFont="1" applyFill="1" applyBorder="1" applyAlignment="1">
      <alignment horizontal="center" vertical="center" textRotation="255" wrapText="1"/>
    </xf>
    <xf numFmtId="0" fontId="0" fillId="6" borderId="45" xfId="0" applyFill="1" applyBorder="1" applyAlignment="1">
      <alignment horizontal="left" vertical="center"/>
    </xf>
    <xf numFmtId="0" fontId="0" fillId="6" borderId="61" xfId="0" applyFont="1" applyFill="1" applyBorder="1" applyAlignment="1">
      <alignment horizontal="left" vertical="center"/>
    </xf>
    <xf numFmtId="177" fontId="0" fillId="2" borderId="140" xfId="0" applyNumberFormat="1" applyFill="1" applyBorder="1" applyAlignment="1">
      <alignment horizontal="center" vertical="center" shrinkToFit="1"/>
    </xf>
    <xf numFmtId="177" fontId="0" fillId="2" borderId="141" xfId="0" applyNumberFormat="1" applyFill="1" applyBorder="1" applyAlignment="1">
      <alignment horizontal="center" vertical="center" shrinkToFit="1"/>
    </xf>
    <xf numFmtId="177" fontId="0" fillId="0" borderId="89" xfId="0" applyNumberFormat="1" applyFont="1" applyFill="1" applyBorder="1" applyAlignment="1">
      <alignment vertical="center"/>
    </xf>
    <xf numFmtId="177" fontId="0" fillId="2" borderId="169" xfId="0" applyNumberFormat="1" applyFont="1" applyFill="1" applyBorder="1" applyAlignment="1">
      <alignment horizontal="center" vertical="center" shrinkToFit="1"/>
    </xf>
    <xf numFmtId="177" fontId="0" fillId="2" borderId="170" xfId="0" applyNumberFormat="1" applyFont="1" applyFill="1" applyBorder="1" applyAlignment="1">
      <alignment horizontal="center" vertical="center" shrinkToFit="1"/>
    </xf>
    <xf numFmtId="3" fontId="0" fillId="0" borderId="51" xfId="5" applyNumberFormat="1" applyFont="1" applyFill="1" applyBorder="1" applyAlignment="1">
      <alignment horizontal="center" vertical="center" shrinkToFit="1"/>
    </xf>
    <xf numFmtId="3" fontId="0" fillId="0" borderId="42" xfId="5" applyNumberFormat="1" applyFont="1" applyFill="1" applyBorder="1" applyAlignment="1">
      <alignment horizontal="center" vertical="center" shrinkToFit="1"/>
    </xf>
    <xf numFmtId="3" fontId="0" fillId="0" borderId="135" xfId="5" applyNumberFormat="1" applyFont="1" applyFill="1" applyBorder="1" applyAlignment="1">
      <alignment horizontal="center" vertical="center" shrinkToFit="1"/>
    </xf>
    <xf numFmtId="177" fontId="0" fillId="0" borderId="173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shrinkToFit="1"/>
    </xf>
    <xf numFmtId="177" fontId="0" fillId="0" borderId="174" xfId="3" applyNumberFormat="1" applyFont="1" applyBorder="1" applyAlignment="1">
      <alignment horizontal="center" vertical="center" shrinkToFit="1"/>
    </xf>
    <xf numFmtId="177" fontId="0" fillId="2" borderId="84" xfId="0" applyNumberFormat="1" applyFont="1" applyFill="1" applyBorder="1" applyAlignment="1">
      <alignment horizontal="center" vertical="center" shrinkToFit="1"/>
    </xf>
    <xf numFmtId="177" fontId="0" fillId="2" borderId="85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Border="1" applyAlignment="1">
      <alignment vertical="center"/>
    </xf>
    <xf numFmtId="177" fontId="0" fillId="0" borderId="37" xfId="3" applyNumberFormat="1" applyFont="1" applyBorder="1" applyAlignment="1">
      <alignment horizontal="center" vertical="center" shrinkToFit="1"/>
    </xf>
    <xf numFmtId="177" fontId="0" fillId="0" borderId="13" xfId="0" applyNumberFormat="1" applyFont="1" applyBorder="1" applyAlignment="1">
      <alignment horizontal="center" vertical="center" shrinkToFit="1"/>
    </xf>
    <xf numFmtId="177" fontId="0" fillId="0" borderId="49" xfId="0" applyNumberFormat="1" applyFont="1" applyBorder="1" applyAlignment="1">
      <alignment horizontal="center" vertical="center" shrinkToFit="1"/>
    </xf>
    <xf numFmtId="176" fontId="0" fillId="0" borderId="187" xfId="0" applyNumberFormat="1" applyFont="1" applyFill="1" applyBorder="1" applyAlignment="1">
      <alignment horizontal="center" vertical="center" shrinkToFit="1"/>
    </xf>
    <xf numFmtId="176" fontId="0" fillId="0" borderId="184" xfId="0" applyNumberFormat="1" applyFont="1" applyFill="1" applyBorder="1" applyAlignment="1">
      <alignment horizontal="center" vertical="center" shrinkToFit="1"/>
    </xf>
    <xf numFmtId="176" fontId="0" fillId="0" borderId="188" xfId="0" applyNumberFormat="1" applyFont="1" applyBorder="1" applyAlignment="1">
      <alignment horizontal="center" vertical="center" shrinkToFit="1"/>
    </xf>
    <xf numFmtId="176" fontId="0" fillId="0" borderId="190" xfId="0" applyNumberFormat="1" applyFont="1" applyBorder="1" applyAlignment="1">
      <alignment horizontal="center" vertical="center" shrinkToFit="1"/>
    </xf>
    <xf numFmtId="177" fontId="0" fillId="2" borderId="131" xfId="0" applyNumberFormat="1" applyFont="1" applyFill="1" applyBorder="1" applyAlignment="1">
      <alignment horizontal="center" vertical="center" shrinkToFit="1"/>
    </xf>
    <xf numFmtId="176" fontId="0" fillId="0" borderId="187" xfId="0" applyNumberFormat="1" applyFont="1" applyBorder="1" applyAlignment="1">
      <alignment horizontal="center" vertical="center" shrinkToFit="1"/>
    </xf>
    <xf numFmtId="176" fontId="0" fillId="0" borderId="184" xfId="0" applyNumberFormat="1" applyFont="1" applyBorder="1" applyAlignment="1">
      <alignment horizontal="center" vertical="center" shrinkToFit="1"/>
    </xf>
    <xf numFmtId="176" fontId="0" fillId="0" borderId="107" xfId="0" applyNumberFormat="1" applyFont="1" applyBorder="1" applyAlignment="1">
      <alignment horizontal="center" vertical="center" textRotation="255" shrinkToFit="1"/>
    </xf>
    <xf numFmtId="176" fontId="0" fillId="0" borderId="189" xfId="0" applyNumberFormat="1" applyFont="1" applyBorder="1" applyAlignment="1">
      <alignment horizontal="center" vertical="center" textRotation="255" shrinkToFit="1"/>
    </xf>
    <xf numFmtId="177" fontId="0" fillId="0" borderId="5" xfId="0" applyNumberFormat="1" applyFont="1" applyBorder="1" applyAlignment="1">
      <alignment horizontal="center" vertical="center" shrinkToFit="1"/>
    </xf>
    <xf numFmtId="177" fontId="0" fillId="0" borderId="168" xfId="0" applyNumberFormat="1" applyFont="1" applyFill="1" applyBorder="1" applyAlignment="1">
      <alignment horizontal="center" vertical="center" shrinkToFit="1"/>
    </xf>
    <xf numFmtId="177" fontId="0" fillId="0" borderId="49" xfId="0" applyNumberFormat="1" applyFont="1" applyFill="1" applyBorder="1" applyAlignment="1">
      <alignment horizontal="center" vertical="center" shrinkToFit="1"/>
    </xf>
    <xf numFmtId="176" fontId="0" fillId="0" borderId="203" xfId="0" applyNumberFormat="1" applyFont="1" applyBorder="1" applyAlignment="1">
      <alignment horizontal="center" vertical="center" textRotation="255" shrinkToFit="1"/>
    </xf>
    <xf numFmtId="176" fontId="0" fillId="0" borderId="193" xfId="0" applyNumberFormat="1" applyFont="1" applyBorder="1" applyAlignment="1">
      <alignment horizontal="center" vertical="center" textRotation="255" shrinkToFit="1"/>
    </xf>
    <xf numFmtId="176" fontId="0" fillId="0" borderId="204" xfId="0" applyNumberFormat="1" applyFont="1" applyBorder="1" applyAlignment="1">
      <alignment horizontal="center" vertical="center" textRotation="255" shrinkToFit="1"/>
    </xf>
    <xf numFmtId="176" fontId="0" fillId="0" borderId="133" xfId="0" applyNumberFormat="1" applyFont="1" applyBorder="1" applyAlignment="1">
      <alignment horizontal="center" vertical="center" textRotation="255" shrinkToFit="1"/>
    </xf>
    <xf numFmtId="176" fontId="0" fillId="0" borderId="56" xfId="0" applyNumberFormat="1" applyFont="1" applyBorder="1" applyAlignment="1">
      <alignment horizontal="center" vertical="center" textRotation="255" shrinkToFit="1"/>
    </xf>
    <xf numFmtId="176" fontId="0" fillId="0" borderId="33" xfId="0" applyNumberFormat="1" applyFont="1" applyBorder="1" applyAlignment="1">
      <alignment horizontal="center" vertical="center" textRotation="255" shrinkToFit="1"/>
    </xf>
    <xf numFmtId="176" fontId="0" fillId="0" borderId="128" xfId="0" applyNumberFormat="1" applyFont="1" applyBorder="1" applyAlignment="1">
      <alignment horizontal="center" vertical="center" textRotation="255" shrinkToFit="1"/>
    </xf>
    <xf numFmtId="176" fontId="0" fillId="0" borderId="58" xfId="0" applyNumberFormat="1" applyFont="1" applyBorder="1" applyAlignment="1">
      <alignment horizontal="center" vertical="center" textRotation="255" shrinkToFit="1"/>
    </xf>
    <xf numFmtId="176" fontId="0" fillId="2" borderId="131" xfId="0" applyNumberFormat="1" applyFont="1" applyFill="1" applyBorder="1" applyAlignment="1">
      <alignment horizontal="center" vertical="center" shrinkToFit="1"/>
    </xf>
    <xf numFmtId="176" fontId="0" fillId="2" borderId="85" xfId="0" applyNumberFormat="1" applyFont="1" applyFill="1" applyBorder="1" applyAlignment="1">
      <alignment horizontal="center" vertical="center" shrinkToFit="1"/>
    </xf>
    <xf numFmtId="176" fontId="0" fillId="2" borderId="50" xfId="0" applyNumberFormat="1" applyFont="1" applyFill="1" applyBorder="1" applyAlignment="1">
      <alignment vertical="center" shrinkToFit="1"/>
    </xf>
    <xf numFmtId="176" fontId="0" fillId="0" borderId="50" xfId="0" applyNumberFormat="1" applyFont="1" applyBorder="1" applyAlignment="1">
      <alignment vertical="center"/>
    </xf>
    <xf numFmtId="176" fontId="0" fillId="0" borderId="161" xfId="0" applyNumberFormat="1" applyFont="1" applyBorder="1" applyAlignment="1">
      <alignment vertical="center"/>
    </xf>
    <xf numFmtId="177" fontId="0" fillId="0" borderId="160" xfId="3" applyNumberFormat="1" applyFont="1" applyBorder="1" applyAlignment="1">
      <alignment horizontal="center" vertical="center" textRotation="255" shrinkToFit="1"/>
    </xf>
    <xf numFmtId="177" fontId="0" fillId="0" borderId="99" xfId="3" applyNumberFormat="1" applyFont="1" applyBorder="1" applyAlignment="1">
      <alignment horizontal="center" vertical="center" textRotation="255" shrinkToFit="1"/>
    </xf>
    <xf numFmtId="177" fontId="0" fillId="0" borderId="157" xfId="3" applyNumberFormat="1" applyFont="1" applyBorder="1" applyAlignment="1">
      <alignment horizontal="center" vertical="center" textRotation="255" shrinkToFit="1"/>
    </xf>
    <xf numFmtId="176" fontId="0" fillId="0" borderId="163" xfId="3" applyNumberFormat="1" applyFont="1" applyFill="1" applyBorder="1" applyAlignment="1">
      <alignment vertical="center" shrinkToFit="1"/>
    </xf>
    <xf numFmtId="176" fontId="0" fillId="0" borderId="164" xfId="3" applyNumberFormat="1" applyFont="1" applyFill="1" applyBorder="1" applyAlignment="1">
      <alignment vertical="center" shrinkToFit="1"/>
    </xf>
    <xf numFmtId="176" fontId="0" fillId="0" borderId="215" xfId="3" applyNumberFormat="1" applyFont="1" applyFill="1" applyBorder="1" applyAlignment="1">
      <alignment vertical="center" shrinkToFit="1"/>
    </xf>
    <xf numFmtId="176" fontId="0" fillId="0" borderId="214" xfId="3" applyNumberFormat="1" applyFont="1" applyFill="1" applyBorder="1" applyAlignment="1">
      <alignment vertical="center" shrinkToFit="1"/>
    </xf>
    <xf numFmtId="176" fontId="0" fillId="0" borderId="34" xfId="3" applyNumberFormat="1" applyFont="1" applyFill="1" applyBorder="1" applyAlignment="1">
      <alignment vertical="center" shrinkToFit="1"/>
    </xf>
    <xf numFmtId="176" fontId="0" fillId="0" borderId="39" xfId="3" applyNumberFormat="1" applyFont="1" applyFill="1" applyBorder="1" applyAlignment="1">
      <alignment vertical="center" shrinkToFit="1"/>
    </xf>
    <xf numFmtId="176" fontId="0" fillId="0" borderId="34" xfId="0" applyNumberFormat="1" applyFont="1" applyFill="1" applyBorder="1" applyAlignment="1">
      <alignment vertical="center"/>
    </xf>
    <xf numFmtId="176" fontId="0" fillId="0" borderId="39" xfId="0" applyNumberFormat="1" applyFont="1" applyFill="1" applyBorder="1" applyAlignment="1">
      <alignment vertical="center"/>
    </xf>
    <xf numFmtId="176" fontId="0" fillId="2" borderId="40" xfId="0" applyNumberFormat="1" applyFont="1" applyFill="1" applyBorder="1" applyAlignment="1">
      <alignment vertical="center" shrinkToFit="1"/>
    </xf>
    <xf numFmtId="176" fontId="0" fillId="0" borderId="40" xfId="0" applyNumberFormat="1" applyFont="1" applyBorder="1" applyAlignment="1">
      <alignment vertical="center"/>
    </xf>
    <xf numFmtId="177" fontId="0" fillId="0" borderId="157" xfId="3" applyNumberFormat="1" applyFont="1" applyBorder="1" applyAlignment="1">
      <alignment horizontal="center" vertical="center" shrinkToFit="1"/>
    </xf>
    <xf numFmtId="177" fontId="0" fillId="0" borderId="166" xfId="3" applyNumberFormat="1" applyFont="1" applyBorder="1" applyAlignment="1">
      <alignment horizontal="center" vertical="center" shrinkToFit="1"/>
    </xf>
    <xf numFmtId="177" fontId="0" fillId="0" borderId="106" xfId="3" applyNumberFormat="1" applyFont="1" applyBorder="1" applyAlignment="1">
      <alignment horizontal="center" vertical="center" textRotation="255" shrinkToFit="1"/>
    </xf>
    <xf numFmtId="177" fontId="0" fillId="0" borderId="166" xfId="3" applyNumberFormat="1" applyFont="1" applyBorder="1" applyAlignment="1">
      <alignment horizontal="center" vertical="center" textRotation="255" shrinkToFit="1"/>
    </xf>
    <xf numFmtId="177" fontId="0" fillId="0" borderId="158" xfId="3" applyNumberFormat="1" applyFont="1" applyBorder="1" applyAlignment="1">
      <alignment horizontal="center" vertical="center" textRotation="255" shrinkToFit="1"/>
    </xf>
    <xf numFmtId="176" fontId="0" fillId="0" borderId="196" xfId="0" applyNumberFormat="1" applyFont="1" applyBorder="1" applyAlignment="1">
      <alignment horizontal="center" vertical="center" textRotation="255" shrinkToFit="1"/>
    </xf>
    <xf numFmtId="176" fontId="0" fillId="0" borderId="192" xfId="0" applyNumberFormat="1" applyFont="1" applyBorder="1" applyAlignment="1">
      <alignment horizontal="center" vertical="center" textRotation="255" shrinkToFit="1"/>
    </xf>
    <xf numFmtId="176" fontId="0" fillId="0" borderId="194" xfId="0" applyNumberFormat="1" applyFont="1" applyBorder="1" applyAlignment="1">
      <alignment horizontal="center" vertical="center" textRotation="255" shrinkToFit="1"/>
    </xf>
    <xf numFmtId="177" fontId="0" fillId="0" borderId="35" xfId="3" applyNumberFormat="1" applyFont="1" applyBorder="1" applyAlignment="1">
      <alignment horizontal="center" vertical="center" shrinkToFit="1"/>
    </xf>
    <xf numFmtId="177" fontId="0" fillId="0" borderId="64" xfId="3" applyNumberFormat="1" applyFont="1" applyBorder="1" applyAlignment="1">
      <alignment horizontal="center" vertical="center" shrinkToFit="1"/>
    </xf>
    <xf numFmtId="176" fontId="0" fillId="0" borderId="198" xfId="0" applyNumberFormat="1" applyFont="1" applyBorder="1" applyAlignment="1">
      <alignment horizontal="center" vertical="center" textRotation="255" shrinkToFit="1"/>
    </xf>
    <xf numFmtId="177" fontId="0" fillId="0" borderId="13" xfId="0" applyNumberFormat="1" applyFont="1" applyFill="1" applyBorder="1" applyAlignment="1">
      <alignment horizontal="center" vertical="center" shrinkToFit="1"/>
    </xf>
  </cellXfs>
  <cellStyles count="12">
    <cellStyle name="パーセント" xfId="4" builtinId="5"/>
    <cellStyle name="パーセント 2" xfId="6"/>
    <cellStyle name="桁区切り" xfId="1" builtinId="6"/>
    <cellStyle name="桁区切り 2" xfId="7"/>
    <cellStyle name="標準" xfId="0" builtinId="0"/>
    <cellStyle name="標準 2" xfId="8"/>
    <cellStyle name="標準 2 2" xfId="10"/>
    <cellStyle name="標準 3" xfId="11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9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9528</xdr:colOff>
      <xdr:row>20</xdr:row>
      <xdr:rowOff>0</xdr:rowOff>
    </xdr:from>
    <xdr:to>
      <xdr:col>28</xdr:col>
      <xdr:colOff>13747</xdr:colOff>
      <xdr:row>21</xdr:row>
      <xdr:rowOff>4350</xdr:rowOff>
    </xdr:to>
    <xdr:sp macro="" textlink="">
      <xdr:nvSpPr>
        <xdr:cNvPr id="5128" name="Rectangle 8" descr="10%"/>
        <xdr:cNvSpPr>
          <a:spLocks noChangeArrowheads="1"/>
        </xdr:cNvSpPr>
      </xdr:nvSpPr>
      <xdr:spPr bwMode="auto">
        <a:xfrm>
          <a:off x="8939216" y="5072063"/>
          <a:ext cx="540000" cy="254381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64407</xdr:colOff>
      <xdr:row>12</xdr:row>
      <xdr:rowOff>27213</xdr:rowOff>
    </xdr:from>
    <xdr:to>
      <xdr:col>30</xdr:col>
      <xdr:colOff>163285</xdr:colOff>
      <xdr:row>12</xdr:row>
      <xdr:rowOff>190500</xdr:rowOff>
    </xdr:to>
    <xdr:sp macro="" textlink="">
      <xdr:nvSpPr>
        <xdr:cNvPr id="4" name="Rectangle 8" descr="10%"/>
        <xdr:cNvSpPr>
          <a:spLocks noChangeArrowheads="1"/>
        </xdr:cNvSpPr>
      </xdr:nvSpPr>
      <xdr:spPr bwMode="auto">
        <a:xfrm>
          <a:off x="9671050" y="3047999"/>
          <a:ext cx="371021" cy="163287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166007</xdr:colOff>
      <xdr:row>12</xdr:row>
      <xdr:rowOff>140611</xdr:rowOff>
    </xdr:from>
    <xdr:to>
      <xdr:col>29</xdr:col>
      <xdr:colOff>64407</xdr:colOff>
      <xdr:row>12</xdr:row>
      <xdr:rowOff>149678</xdr:rowOff>
    </xdr:to>
    <xdr:cxnSp macro="">
      <xdr:nvCxnSpPr>
        <xdr:cNvPr id="7" name="直線コネクタ 6"/>
        <xdr:cNvCxnSpPr/>
      </xdr:nvCxnSpPr>
      <xdr:spPr>
        <a:xfrm>
          <a:off x="5690507" y="3161397"/>
          <a:ext cx="3980543" cy="906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163285</xdr:colOff>
      <xdr:row>13</xdr:row>
      <xdr:rowOff>27215</xdr:rowOff>
    </xdr:from>
    <xdr:to>
      <xdr:col>32</xdr:col>
      <xdr:colOff>108857</xdr:colOff>
      <xdr:row>13</xdr:row>
      <xdr:rowOff>190500</xdr:rowOff>
    </xdr:to>
    <xdr:sp macro="" textlink="">
      <xdr:nvSpPr>
        <xdr:cNvPr id="13" name="Rectangle 8" descr="10%"/>
        <xdr:cNvSpPr>
          <a:spLocks noChangeArrowheads="1"/>
        </xdr:cNvSpPr>
      </xdr:nvSpPr>
      <xdr:spPr bwMode="auto">
        <a:xfrm>
          <a:off x="10042071" y="3292929"/>
          <a:ext cx="489857" cy="163285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13</xdr:row>
      <xdr:rowOff>108858</xdr:rowOff>
    </xdr:from>
    <xdr:to>
      <xdr:col>30</xdr:col>
      <xdr:colOff>163285</xdr:colOff>
      <xdr:row>13</xdr:row>
      <xdr:rowOff>127002</xdr:rowOff>
    </xdr:to>
    <xdr:cxnSp macro="">
      <xdr:nvCxnSpPr>
        <xdr:cNvPr id="14" name="直線コネクタ 13"/>
        <xdr:cNvCxnSpPr>
          <a:endCxn id="13" idx="1"/>
        </xdr:cNvCxnSpPr>
      </xdr:nvCxnSpPr>
      <xdr:spPr>
        <a:xfrm flipV="1">
          <a:off x="5949043" y="3374572"/>
          <a:ext cx="4093028" cy="1814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122464</xdr:colOff>
      <xdr:row>14</xdr:row>
      <xdr:rowOff>27214</xdr:rowOff>
    </xdr:from>
    <xdr:to>
      <xdr:col>33</xdr:col>
      <xdr:colOff>217714</xdr:colOff>
      <xdr:row>14</xdr:row>
      <xdr:rowOff>204107</xdr:rowOff>
    </xdr:to>
    <xdr:sp macro="" textlink="">
      <xdr:nvSpPr>
        <xdr:cNvPr id="17" name="Rectangle 8" descr="10%"/>
        <xdr:cNvSpPr>
          <a:spLocks noChangeArrowheads="1"/>
        </xdr:cNvSpPr>
      </xdr:nvSpPr>
      <xdr:spPr bwMode="auto">
        <a:xfrm>
          <a:off x="10545535" y="3537857"/>
          <a:ext cx="367393" cy="176893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166007</xdr:colOff>
      <xdr:row>14</xdr:row>
      <xdr:rowOff>115661</xdr:rowOff>
    </xdr:from>
    <xdr:to>
      <xdr:col>32</xdr:col>
      <xdr:colOff>122464</xdr:colOff>
      <xdr:row>14</xdr:row>
      <xdr:rowOff>140611</xdr:rowOff>
    </xdr:to>
    <xdr:cxnSp macro="">
      <xdr:nvCxnSpPr>
        <xdr:cNvPr id="18" name="直線コネクタ 17"/>
        <xdr:cNvCxnSpPr>
          <a:endCxn id="17" idx="1"/>
        </xdr:cNvCxnSpPr>
      </xdr:nvCxnSpPr>
      <xdr:spPr>
        <a:xfrm flipV="1">
          <a:off x="6234793" y="3626304"/>
          <a:ext cx="4310742" cy="24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186872</xdr:colOff>
      <xdr:row>15</xdr:row>
      <xdr:rowOff>40822</xdr:rowOff>
    </xdr:from>
    <xdr:to>
      <xdr:col>35</xdr:col>
      <xdr:colOff>163286</xdr:colOff>
      <xdr:row>15</xdr:row>
      <xdr:rowOff>190500</xdr:rowOff>
    </xdr:to>
    <xdr:sp macro="" textlink="">
      <xdr:nvSpPr>
        <xdr:cNvPr id="19" name="Rectangle 8" descr="10%"/>
        <xdr:cNvSpPr>
          <a:spLocks noChangeArrowheads="1"/>
        </xdr:cNvSpPr>
      </xdr:nvSpPr>
      <xdr:spPr bwMode="auto">
        <a:xfrm>
          <a:off x="10882086" y="3796393"/>
          <a:ext cx="520700" cy="149678"/>
        </a:xfrm>
        <a:prstGeom prst="rect">
          <a:avLst/>
        </a:prstGeom>
        <a:solidFill>
          <a:schemeClr val="tx1"/>
        </a:solidFill>
        <a:ln w="31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190500</xdr:colOff>
      <xdr:row>15</xdr:row>
      <xdr:rowOff>115661</xdr:rowOff>
    </xdr:from>
    <xdr:to>
      <xdr:col>33</xdr:col>
      <xdr:colOff>186872</xdr:colOff>
      <xdr:row>15</xdr:row>
      <xdr:rowOff>136072</xdr:rowOff>
    </xdr:to>
    <xdr:cxnSp macro="">
      <xdr:nvCxnSpPr>
        <xdr:cNvPr id="20" name="直線コネクタ 19"/>
        <xdr:cNvCxnSpPr>
          <a:endCxn id="19" idx="1"/>
        </xdr:cNvCxnSpPr>
      </xdr:nvCxnSpPr>
      <xdr:spPr>
        <a:xfrm flipV="1">
          <a:off x="6531429" y="3871232"/>
          <a:ext cx="4350657" cy="2041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139700</xdr:rowOff>
    </xdr:from>
    <xdr:to>
      <xdr:col>25</xdr:col>
      <xdr:colOff>0</xdr:colOff>
      <xdr:row>5</xdr:row>
      <xdr:rowOff>142875</xdr:rowOff>
    </xdr:to>
    <xdr:cxnSp macro="">
      <xdr:nvCxnSpPr>
        <xdr:cNvPr id="3" name="直線コネクタ 2"/>
        <xdr:cNvCxnSpPr/>
      </xdr:nvCxnSpPr>
      <xdr:spPr>
        <a:xfrm flipV="1">
          <a:off x="7381875" y="1346200"/>
          <a:ext cx="5064125" cy="3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5</xdr:row>
      <xdr:rowOff>127000</xdr:rowOff>
    </xdr:from>
    <xdr:to>
      <xdr:col>26</xdr:col>
      <xdr:colOff>12700</xdr:colOff>
      <xdr:row>5</xdr:row>
      <xdr:rowOff>139700</xdr:rowOff>
    </xdr:to>
    <xdr:cxnSp macro="">
      <xdr:nvCxnSpPr>
        <xdr:cNvPr id="2" name="直線コネクタ 1"/>
        <xdr:cNvCxnSpPr/>
      </xdr:nvCxnSpPr>
      <xdr:spPr>
        <a:xfrm>
          <a:off x="8420100" y="1333500"/>
          <a:ext cx="4724400" cy="127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457200</xdr:colOff>
      <xdr:row>5</xdr:row>
      <xdr:rowOff>133350</xdr:rowOff>
    </xdr:from>
    <xdr:to>
      <xdr:col>28</xdr:col>
      <xdr:colOff>0</xdr:colOff>
      <xdr:row>5</xdr:row>
      <xdr:rowOff>142875</xdr:rowOff>
    </xdr:to>
    <xdr:cxnSp macro="">
      <xdr:nvCxnSpPr>
        <xdr:cNvPr id="2" name="直線コネクタ 1"/>
        <xdr:cNvCxnSpPr/>
      </xdr:nvCxnSpPr>
      <xdr:spPr>
        <a:xfrm>
          <a:off x="8372475" y="1314450"/>
          <a:ext cx="5610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11906</xdr:colOff>
      <xdr:row>5</xdr:row>
      <xdr:rowOff>142875</xdr:rowOff>
    </xdr:from>
    <xdr:to>
      <xdr:col>29</xdr:col>
      <xdr:colOff>0</xdr:colOff>
      <xdr:row>5</xdr:row>
      <xdr:rowOff>142876</xdr:rowOff>
    </xdr:to>
    <xdr:cxnSp macro="">
      <xdr:nvCxnSpPr>
        <xdr:cNvPr id="2" name="直線コネクタ 1"/>
        <xdr:cNvCxnSpPr/>
      </xdr:nvCxnSpPr>
      <xdr:spPr>
        <a:xfrm flipV="1">
          <a:off x="8822531" y="1321594"/>
          <a:ext cx="5560219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AP34"/>
  <sheetViews>
    <sheetView tabSelected="1" zoomScale="75" zoomScaleNormal="75" workbookViewId="0"/>
  </sheetViews>
  <sheetFormatPr defaultColWidth="9" defaultRowHeight="13.5" x14ac:dyDescent="0.15"/>
  <cols>
    <col min="1" max="1" width="1.625" style="109" customWidth="1"/>
    <col min="2" max="3" width="7.625" style="109" customWidth="1"/>
    <col min="4" max="6" width="9" style="109"/>
    <col min="7" max="7" width="3.5" style="109" customWidth="1"/>
    <col min="8" max="8" width="3.625" style="109" customWidth="1"/>
    <col min="9" max="9" width="3.75" style="109" customWidth="1"/>
    <col min="10" max="42" width="3.5" style="109" customWidth="1"/>
    <col min="43" max="43" width="1.375" style="109" customWidth="1"/>
    <col min="44" max="16384" width="9" style="109"/>
  </cols>
  <sheetData>
    <row r="1" spans="1:42" ht="9.9499999999999993" customHeight="1" thickBot="1" x14ac:dyDescent="0.2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42" ht="39.950000000000003" customHeight="1" thickBot="1" x14ac:dyDescent="0.2">
      <c r="A2" s="112"/>
      <c r="B2" s="113" t="s">
        <v>89</v>
      </c>
      <c r="C2" s="622" t="s">
        <v>382</v>
      </c>
      <c r="D2" s="623"/>
      <c r="E2" s="292" t="s">
        <v>74</v>
      </c>
      <c r="F2" s="622" t="s">
        <v>476</v>
      </c>
      <c r="G2" s="624"/>
      <c r="H2" s="624"/>
      <c r="I2" s="624"/>
      <c r="J2" s="624"/>
      <c r="K2" s="624"/>
      <c r="L2" s="624"/>
      <c r="M2" s="624"/>
      <c r="N2" s="623"/>
      <c r="O2" s="633" t="s">
        <v>75</v>
      </c>
      <c r="P2" s="634"/>
      <c r="Q2" s="635"/>
      <c r="R2" s="636" t="s">
        <v>262</v>
      </c>
      <c r="S2" s="637"/>
      <c r="T2" s="637"/>
      <c r="U2" s="637"/>
      <c r="V2" s="636" t="s">
        <v>76</v>
      </c>
      <c r="W2" s="637"/>
      <c r="X2" s="637"/>
      <c r="Y2" s="630" t="s">
        <v>381</v>
      </c>
      <c r="Z2" s="631"/>
      <c r="AA2" s="632"/>
      <c r="AB2" s="114"/>
      <c r="AC2" s="114"/>
      <c r="AD2" s="114"/>
    </row>
    <row r="3" spans="1:42" ht="9.9499999999999993" customHeight="1" x14ac:dyDescent="0.15">
      <c r="B3" s="115"/>
    </row>
    <row r="4" spans="1:42" ht="24.95" customHeight="1" thickBot="1" x14ac:dyDescent="0.2">
      <c r="B4" s="109" t="s">
        <v>119</v>
      </c>
    </row>
    <row r="5" spans="1:42" ht="20.100000000000001" customHeight="1" x14ac:dyDescent="0.15">
      <c r="B5" s="626" t="s">
        <v>120</v>
      </c>
      <c r="C5" s="570"/>
      <c r="D5" s="627"/>
      <c r="E5" s="628"/>
      <c r="F5" s="628"/>
      <c r="G5" s="629"/>
      <c r="H5" s="572" t="s">
        <v>77</v>
      </c>
      <c r="I5" s="570"/>
      <c r="J5" s="570"/>
      <c r="K5" s="570"/>
      <c r="L5" s="570"/>
      <c r="M5" s="570"/>
      <c r="N5" s="570"/>
      <c r="O5" s="570"/>
      <c r="P5" s="570"/>
      <c r="Q5" s="570"/>
      <c r="R5" s="570"/>
      <c r="S5" s="570"/>
      <c r="T5" s="570"/>
      <c r="U5" s="570"/>
      <c r="V5" s="570"/>
      <c r="W5" s="570"/>
      <c r="X5" s="570"/>
      <c r="Y5" s="570"/>
      <c r="Z5" s="570"/>
      <c r="AA5" s="571"/>
      <c r="AD5" s="114"/>
      <c r="AE5" s="114"/>
      <c r="AF5" s="114"/>
      <c r="AG5" s="114"/>
      <c r="AH5" s="114"/>
      <c r="AI5" s="114"/>
      <c r="AJ5" s="114"/>
      <c r="AK5" s="114"/>
      <c r="AL5" s="114"/>
    </row>
    <row r="6" spans="1:42" ht="20.100000000000001" customHeight="1" x14ac:dyDescent="0.15">
      <c r="B6" s="591" t="s">
        <v>78</v>
      </c>
      <c r="C6" s="592"/>
      <c r="D6" s="592"/>
      <c r="E6" s="592"/>
      <c r="F6" s="592"/>
      <c r="G6" s="607"/>
      <c r="H6" s="607" t="s">
        <v>79</v>
      </c>
      <c r="I6" s="608"/>
      <c r="J6" s="608"/>
      <c r="K6" s="608"/>
      <c r="L6" s="608"/>
      <c r="M6" s="608"/>
      <c r="N6" s="607" t="s">
        <v>80</v>
      </c>
      <c r="O6" s="608"/>
      <c r="P6" s="608"/>
      <c r="Q6" s="607" t="s">
        <v>81</v>
      </c>
      <c r="R6" s="608"/>
      <c r="S6" s="608"/>
      <c r="T6" s="608"/>
      <c r="U6" s="608"/>
      <c r="V6" s="608"/>
      <c r="W6" s="608"/>
      <c r="X6" s="609"/>
      <c r="Y6" s="608" t="s">
        <v>82</v>
      </c>
      <c r="Z6" s="608"/>
      <c r="AA6" s="625"/>
    </row>
    <row r="7" spans="1:42" ht="20.100000000000001" customHeight="1" x14ac:dyDescent="0.15">
      <c r="B7" s="566" t="s">
        <v>83</v>
      </c>
      <c r="C7" s="595"/>
      <c r="D7" s="615" t="s">
        <v>385</v>
      </c>
      <c r="E7" s="579"/>
      <c r="F7" s="579"/>
      <c r="G7" s="579"/>
      <c r="H7" s="616" t="s">
        <v>10</v>
      </c>
      <c r="I7" s="617"/>
      <c r="J7" s="617"/>
      <c r="K7" s="617"/>
      <c r="L7" s="617"/>
      <c r="M7" s="618"/>
      <c r="N7" s="619">
        <f>SUM(F13:F16)</f>
        <v>30</v>
      </c>
      <c r="O7" s="620"/>
      <c r="P7" s="621"/>
      <c r="Q7" s="610"/>
      <c r="R7" s="611"/>
      <c r="S7" s="611"/>
      <c r="T7" s="611"/>
      <c r="U7" s="611"/>
      <c r="V7" s="611"/>
      <c r="W7" s="611"/>
      <c r="X7" s="612"/>
      <c r="Y7" s="613"/>
      <c r="Z7" s="613"/>
      <c r="AA7" s="614"/>
    </row>
    <row r="8" spans="1:42" ht="20.100000000000001" customHeight="1" x14ac:dyDescent="0.15">
      <c r="B8" s="591" t="s">
        <v>84</v>
      </c>
      <c r="C8" s="592"/>
      <c r="D8" s="593"/>
      <c r="E8" s="593"/>
      <c r="F8" s="593"/>
      <c r="G8" s="594"/>
      <c r="H8" s="607"/>
      <c r="I8" s="608"/>
      <c r="J8" s="608"/>
      <c r="K8" s="608"/>
      <c r="L8" s="608"/>
      <c r="M8" s="609"/>
      <c r="N8" s="588"/>
      <c r="O8" s="589"/>
      <c r="P8" s="590"/>
      <c r="Q8" s="603"/>
      <c r="R8" s="604"/>
      <c r="S8" s="604"/>
      <c r="T8" s="604"/>
      <c r="U8" s="604"/>
      <c r="V8" s="604"/>
      <c r="W8" s="604"/>
      <c r="X8" s="605"/>
      <c r="Y8" s="588"/>
      <c r="Z8" s="589"/>
      <c r="AA8" s="606"/>
    </row>
    <row r="9" spans="1:42" ht="20.100000000000001" customHeight="1" x14ac:dyDescent="0.15">
      <c r="B9" s="591" t="s">
        <v>85</v>
      </c>
      <c r="C9" s="592"/>
      <c r="D9" s="593"/>
      <c r="E9" s="593"/>
      <c r="F9" s="593"/>
      <c r="G9" s="594"/>
      <c r="H9" s="607"/>
      <c r="I9" s="608"/>
      <c r="J9" s="608"/>
      <c r="K9" s="608"/>
      <c r="L9" s="608"/>
      <c r="M9" s="609"/>
      <c r="N9" s="588"/>
      <c r="O9" s="589"/>
      <c r="P9" s="590"/>
      <c r="Q9" s="603"/>
      <c r="R9" s="604"/>
      <c r="S9" s="604"/>
      <c r="T9" s="604"/>
      <c r="U9" s="604"/>
      <c r="V9" s="604"/>
      <c r="W9" s="604"/>
      <c r="X9" s="605"/>
      <c r="Y9" s="588"/>
      <c r="Z9" s="589"/>
      <c r="AA9" s="606"/>
    </row>
    <row r="10" spans="1:42" ht="20.100000000000001" customHeight="1" x14ac:dyDescent="0.15">
      <c r="B10" s="591" t="s">
        <v>86</v>
      </c>
      <c r="C10" s="592"/>
      <c r="D10" s="593"/>
      <c r="E10" s="593"/>
      <c r="F10" s="593"/>
      <c r="G10" s="594"/>
      <c r="H10" s="586"/>
      <c r="I10" s="587"/>
      <c r="J10" s="587"/>
      <c r="K10" s="587"/>
      <c r="L10" s="587"/>
      <c r="M10" s="587"/>
      <c r="N10" s="588"/>
      <c r="O10" s="589"/>
      <c r="P10" s="590"/>
      <c r="Q10" s="603"/>
      <c r="R10" s="604"/>
      <c r="S10" s="604"/>
      <c r="T10" s="604"/>
      <c r="U10" s="604"/>
      <c r="V10" s="604"/>
      <c r="W10" s="604"/>
      <c r="X10" s="605"/>
      <c r="Y10" s="589"/>
      <c r="Z10" s="589"/>
      <c r="AA10" s="606"/>
    </row>
    <row r="11" spans="1:42" ht="20.100000000000001" customHeight="1" thickBot="1" x14ac:dyDescent="0.2">
      <c r="B11" s="567" t="s">
        <v>87</v>
      </c>
      <c r="C11" s="595"/>
      <c r="D11" s="596"/>
      <c r="E11" s="596"/>
      <c r="F11" s="596"/>
      <c r="G11" s="597"/>
      <c r="H11" s="598"/>
      <c r="I11" s="599"/>
      <c r="J11" s="599"/>
      <c r="K11" s="599"/>
      <c r="L11" s="599"/>
      <c r="M11" s="599"/>
      <c r="N11" s="585"/>
      <c r="O11" s="583"/>
      <c r="P11" s="583"/>
      <c r="Q11" s="580"/>
      <c r="R11" s="581"/>
      <c r="S11" s="581"/>
      <c r="T11" s="581"/>
      <c r="U11" s="581"/>
      <c r="V11" s="581"/>
      <c r="W11" s="581"/>
      <c r="X11" s="582"/>
      <c r="Y11" s="583"/>
      <c r="Z11" s="583"/>
      <c r="AA11" s="584"/>
    </row>
    <row r="12" spans="1:42" ht="20.100000000000001" customHeight="1" x14ac:dyDescent="0.15">
      <c r="B12" s="600" t="s">
        <v>117</v>
      </c>
      <c r="C12" s="572" t="s">
        <v>121</v>
      </c>
      <c r="D12" s="570"/>
      <c r="E12" s="573"/>
      <c r="F12" s="110" t="s">
        <v>118</v>
      </c>
      <c r="G12" s="572">
        <v>1</v>
      </c>
      <c r="H12" s="570"/>
      <c r="I12" s="570"/>
      <c r="J12" s="572">
        <v>2</v>
      </c>
      <c r="K12" s="570"/>
      <c r="L12" s="573"/>
      <c r="M12" s="570">
        <v>3</v>
      </c>
      <c r="N12" s="570"/>
      <c r="O12" s="575"/>
      <c r="P12" s="572">
        <v>4</v>
      </c>
      <c r="Q12" s="570"/>
      <c r="R12" s="573"/>
      <c r="S12" s="574">
        <v>5</v>
      </c>
      <c r="T12" s="570"/>
      <c r="U12" s="575"/>
      <c r="V12" s="572">
        <v>6</v>
      </c>
      <c r="W12" s="570"/>
      <c r="X12" s="573"/>
      <c r="Y12" s="574">
        <v>7</v>
      </c>
      <c r="Z12" s="570"/>
      <c r="AA12" s="575"/>
      <c r="AB12" s="572">
        <v>8</v>
      </c>
      <c r="AC12" s="570"/>
      <c r="AD12" s="573"/>
      <c r="AE12" s="574">
        <v>9</v>
      </c>
      <c r="AF12" s="570"/>
      <c r="AG12" s="575"/>
      <c r="AH12" s="572">
        <v>10</v>
      </c>
      <c r="AI12" s="570"/>
      <c r="AJ12" s="573"/>
      <c r="AK12" s="572">
        <v>11</v>
      </c>
      <c r="AL12" s="570"/>
      <c r="AM12" s="573"/>
      <c r="AN12" s="570">
        <v>12</v>
      </c>
      <c r="AO12" s="570"/>
      <c r="AP12" s="571"/>
    </row>
    <row r="13" spans="1:42" ht="20.100000000000001" customHeight="1" x14ac:dyDescent="0.15">
      <c r="B13" s="601"/>
      <c r="C13" s="364" t="s">
        <v>404</v>
      </c>
      <c r="D13" s="360"/>
      <c r="E13" s="361"/>
      <c r="F13" s="418">
        <f>AB26</f>
        <v>5</v>
      </c>
      <c r="G13" s="116"/>
      <c r="H13" s="117"/>
      <c r="I13" s="117"/>
      <c r="J13" s="116"/>
      <c r="K13" s="117"/>
      <c r="L13" s="118"/>
      <c r="M13" s="117"/>
      <c r="N13" s="117"/>
      <c r="O13" s="436" t="s">
        <v>383</v>
      </c>
      <c r="P13" s="116"/>
      <c r="Q13" s="117"/>
      <c r="R13" s="438" t="s">
        <v>384</v>
      </c>
      <c r="S13" s="437"/>
      <c r="T13" s="117"/>
      <c r="U13" s="436"/>
      <c r="V13" s="116"/>
      <c r="W13" s="117"/>
      <c r="X13" s="118"/>
      <c r="Y13" s="120"/>
      <c r="Z13" s="117"/>
      <c r="AA13" s="495" t="s">
        <v>451</v>
      </c>
      <c r="AB13" s="116"/>
      <c r="AC13" s="117"/>
      <c r="AD13" s="118"/>
      <c r="AE13" s="116"/>
      <c r="AF13" s="117"/>
      <c r="AG13" s="118"/>
      <c r="AH13" s="116"/>
      <c r="AI13" s="117"/>
      <c r="AJ13" s="118"/>
      <c r="AK13" s="116"/>
      <c r="AL13" s="117"/>
      <c r="AM13" s="118"/>
      <c r="AN13" s="117"/>
      <c r="AO13" s="117"/>
      <c r="AP13" s="121"/>
    </row>
    <row r="14" spans="1:42" ht="20.100000000000001" customHeight="1" x14ac:dyDescent="0.15">
      <c r="B14" s="601"/>
      <c r="C14" s="365" t="s">
        <v>405</v>
      </c>
      <c r="D14" s="360"/>
      <c r="E14" s="361"/>
      <c r="F14" s="419">
        <f>AM26</f>
        <v>10</v>
      </c>
      <c r="G14" s="122"/>
      <c r="H14" s="123"/>
      <c r="I14" s="123"/>
      <c r="J14" s="122"/>
      <c r="K14" s="123"/>
      <c r="L14" s="124"/>
      <c r="M14" s="458"/>
      <c r="N14" s="458"/>
      <c r="O14" s="436"/>
      <c r="P14" s="457" t="s">
        <v>406</v>
      </c>
      <c r="Q14" s="458"/>
      <c r="R14" s="438"/>
      <c r="S14" s="437" t="s">
        <v>407</v>
      </c>
      <c r="T14" s="458"/>
      <c r="U14" s="436"/>
      <c r="V14" s="457"/>
      <c r="W14" s="458"/>
      <c r="X14" s="118"/>
      <c r="Y14" s="120"/>
      <c r="Z14" s="458"/>
      <c r="AA14" s="119"/>
      <c r="AB14" s="494" t="s">
        <v>452</v>
      </c>
      <c r="AC14" s="458"/>
      <c r="AD14" s="118"/>
      <c r="AE14" s="457"/>
      <c r="AF14" s="458"/>
      <c r="AG14" s="118"/>
      <c r="AH14" s="122"/>
      <c r="AI14" s="123"/>
      <c r="AJ14" s="124"/>
      <c r="AK14" s="122"/>
      <c r="AL14" s="123"/>
      <c r="AM14" s="124"/>
      <c r="AN14" s="123"/>
      <c r="AO14" s="123"/>
      <c r="AP14" s="127"/>
    </row>
    <row r="15" spans="1:42" ht="20.100000000000001" customHeight="1" x14ac:dyDescent="0.15">
      <c r="B15" s="601"/>
      <c r="C15" s="365" t="s">
        <v>443</v>
      </c>
      <c r="D15" s="360"/>
      <c r="E15" s="361"/>
      <c r="F15" s="419">
        <f>AM27</f>
        <v>5</v>
      </c>
      <c r="G15" s="453"/>
      <c r="H15" s="123"/>
      <c r="I15" s="123"/>
      <c r="J15" s="453"/>
      <c r="K15" s="123"/>
      <c r="L15" s="124"/>
      <c r="M15" s="123"/>
      <c r="N15" s="123"/>
      <c r="O15" s="125"/>
      <c r="P15" s="457"/>
      <c r="Q15" s="462" t="s">
        <v>406</v>
      </c>
      <c r="R15" s="438"/>
      <c r="S15" s="437"/>
      <c r="T15" s="458" t="s">
        <v>407</v>
      </c>
      <c r="U15" s="436"/>
      <c r="V15" s="457"/>
      <c r="W15" s="458"/>
      <c r="X15" s="118"/>
      <c r="Y15" s="120"/>
      <c r="Z15" s="458"/>
      <c r="AA15" s="119"/>
      <c r="AB15" s="457"/>
      <c r="AC15" s="492" t="s">
        <v>452</v>
      </c>
      <c r="AD15" s="118"/>
      <c r="AE15" s="457"/>
      <c r="AF15" s="458"/>
      <c r="AG15" s="118"/>
      <c r="AH15" s="453"/>
      <c r="AI15" s="123"/>
      <c r="AJ15" s="124"/>
      <c r="AK15" s="453"/>
      <c r="AL15" s="123"/>
      <c r="AM15" s="124"/>
      <c r="AN15" s="123"/>
      <c r="AO15" s="123"/>
      <c r="AP15" s="127"/>
    </row>
    <row r="16" spans="1:42" ht="20.100000000000001" customHeight="1" x14ac:dyDescent="0.15">
      <c r="B16" s="601"/>
      <c r="C16" s="365" t="s">
        <v>403</v>
      </c>
      <c r="D16" s="360"/>
      <c r="E16" s="361"/>
      <c r="F16" s="419">
        <f>AB30</f>
        <v>10</v>
      </c>
      <c r="G16" s="122"/>
      <c r="H16" s="123"/>
      <c r="I16" s="123"/>
      <c r="J16" s="122"/>
      <c r="K16" s="123"/>
      <c r="L16" s="124"/>
      <c r="M16" s="123"/>
      <c r="N16" s="123"/>
      <c r="O16" s="125"/>
      <c r="P16" s="457"/>
      <c r="Q16" s="458"/>
      <c r="R16" s="438" t="s">
        <v>408</v>
      </c>
      <c r="S16" s="437"/>
      <c r="T16" s="458"/>
      <c r="U16" s="436" t="s">
        <v>407</v>
      </c>
      <c r="V16" s="457"/>
      <c r="W16" s="458"/>
      <c r="X16" s="118"/>
      <c r="Y16" s="120"/>
      <c r="Z16" s="458"/>
      <c r="AA16" s="119"/>
      <c r="AB16" s="493" t="s">
        <v>453</v>
      </c>
      <c r="AC16" s="458"/>
      <c r="AD16" s="118"/>
      <c r="AE16" s="457"/>
      <c r="AF16" s="458"/>
      <c r="AG16" s="118"/>
      <c r="AH16" s="122"/>
      <c r="AI16" s="123"/>
      <c r="AJ16" s="124"/>
      <c r="AK16" s="122"/>
      <c r="AL16" s="123"/>
      <c r="AM16" s="124"/>
      <c r="AN16" s="123"/>
      <c r="AO16" s="123"/>
      <c r="AP16" s="127"/>
    </row>
    <row r="17" spans="2:42" ht="20.100000000000001" customHeight="1" x14ac:dyDescent="0.15">
      <c r="B17" s="601"/>
      <c r="C17" s="365"/>
      <c r="D17" s="360"/>
      <c r="E17" s="361"/>
      <c r="F17" s="419"/>
      <c r="G17" s="122"/>
      <c r="H17" s="123"/>
      <c r="I17" s="123"/>
      <c r="J17" s="122"/>
      <c r="K17" s="123"/>
      <c r="L17" s="124"/>
      <c r="M17" s="123"/>
      <c r="N17" s="123"/>
      <c r="O17" s="125"/>
      <c r="P17" s="122"/>
      <c r="Q17" s="123"/>
      <c r="R17" s="124"/>
      <c r="S17" s="126"/>
      <c r="T17" s="123"/>
      <c r="U17" s="125"/>
      <c r="V17" s="122"/>
      <c r="W17" s="123"/>
      <c r="X17" s="124"/>
      <c r="Y17" s="126"/>
      <c r="Z17" s="123"/>
      <c r="AA17" s="125"/>
      <c r="AB17" s="122"/>
      <c r="AC17" s="123"/>
      <c r="AD17" s="124"/>
      <c r="AE17" s="122"/>
      <c r="AF17" s="123"/>
      <c r="AG17" s="124"/>
      <c r="AH17" s="122"/>
      <c r="AI17" s="123"/>
      <c r="AJ17" s="124"/>
      <c r="AK17" s="122"/>
      <c r="AL17" s="123"/>
      <c r="AM17" s="124"/>
      <c r="AN17" s="123"/>
      <c r="AO17" s="123"/>
      <c r="AP17" s="127"/>
    </row>
    <row r="18" spans="2:42" ht="20.100000000000001" customHeight="1" x14ac:dyDescent="0.15">
      <c r="B18" s="601"/>
      <c r="C18" s="365"/>
      <c r="D18" s="360"/>
      <c r="E18" s="361"/>
      <c r="F18" s="419"/>
      <c r="G18" s="122"/>
      <c r="H18" s="123"/>
      <c r="I18" s="123"/>
      <c r="J18" s="122"/>
      <c r="K18" s="123"/>
      <c r="L18" s="124"/>
      <c r="M18" s="123"/>
      <c r="N18" s="123"/>
      <c r="O18" s="125"/>
      <c r="P18" s="122"/>
      <c r="Q18" s="123"/>
      <c r="R18" s="124"/>
      <c r="S18" s="126"/>
      <c r="T18" s="123"/>
      <c r="U18" s="125"/>
      <c r="V18" s="122"/>
      <c r="W18" s="123"/>
      <c r="X18" s="124"/>
      <c r="Y18" s="126"/>
      <c r="Z18" s="123"/>
      <c r="AA18" s="125"/>
      <c r="AB18" s="122"/>
      <c r="AC18" s="123"/>
      <c r="AD18" s="124"/>
      <c r="AE18" s="122"/>
      <c r="AF18" s="123"/>
      <c r="AG18" s="124"/>
      <c r="AH18" s="122"/>
      <c r="AI18" s="123"/>
      <c r="AJ18" s="124"/>
      <c r="AK18" s="122"/>
      <c r="AL18" s="123"/>
      <c r="AM18" s="124"/>
      <c r="AN18" s="123"/>
      <c r="AO18" s="123"/>
      <c r="AP18" s="127"/>
    </row>
    <row r="19" spans="2:42" ht="20.100000000000001" customHeight="1" x14ac:dyDescent="0.15">
      <c r="B19" s="602"/>
      <c r="C19" s="366"/>
      <c r="D19" s="362"/>
      <c r="E19" s="363"/>
      <c r="F19" s="359"/>
      <c r="G19" s="128"/>
      <c r="H19" s="129"/>
      <c r="I19" s="129"/>
      <c r="J19" s="130"/>
      <c r="K19" s="131"/>
      <c r="L19" s="132"/>
      <c r="M19" s="129"/>
      <c r="N19" s="129"/>
      <c r="O19" s="133"/>
      <c r="P19" s="130"/>
      <c r="Q19" s="131"/>
      <c r="R19" s="132"/>
      <c r="S19" s="134"/>
      <c r="T19" s="129"/>
      <c r="U19" s="133"/>
      <c r="V19" s="130"/>
      <c r="W19" s="131"/>
      <c r="X19" s="132"/>
      <c r="Y19" s="134"/>
      <c r="Z19" s="129"/>
      <c r="AA19" s="133"/>
      <c r="AB19" s="130"/>
      <c r="AC19" s="131"/>
      <c r="AD19" s="132"/>
      <c r="AE19" s="130"/>
      <c r="AF19" s="131"/>
      <c r="AG19" s="132"/>
      <c r="AH19" s="130"/>
      <c r="AI19" s="131"/>
      <c r="AJ19" s="132"/>
      <c r="AK19" s="130"/>
      <c r="AL19" s="131"/>
      <c r="AM19" s="132"/>
      <c r="AN19" s="131"/>
      <c r="AO19" s="131"/>
      <c r="AP19" s="135"/>
    </row>
    <row r="20" spans="2:42" ht="20.100000000000001" customHeight="1" x14ac:dyDescent="0.15">
      <c r="B20" s="565" t="s">
        <v>88</v>
      </c>
      <c r="C20" s="576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7"/>
      <c r="AA20" s="577"/>
      <c r="AB20" s="577"/>
      <c r="AC20" s="577"/>
      <c r="AD20" s="577"/>
      <c r="AE20" s="577"/>
      <c r="AF20" s="577"/>
      <c r="AG20" s="577"/>
      <c r="AH20" s="577"/>
      <c r="AI20" s="577"/>
      <c r="AJ20" s="577"/>
      <c r="AK20" s="577"/>
      <c r="AL20" s="577"/>
      <c r="AM20" s="577"/>
      <c r="AN20" s="577"/>
      <c r="AO20" s="577"/>
      <c r="AP20" s="578"/>
    </row>
    <row r="21" spans="2:42" ht="20.100000000000001" customHeight="1" x14ac:dyDescent="0.15">
      <c r="B21" s="566"/>
      <c r="C21" s="568" t="s">
        <v>450</v>
      </c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  <c r="P21" s="569"/>
      <c r="Q21" s="569"/>
      <c r="R21" s="569"/>
      <c r="S21" s="569"/>
      <c r="T21" s="569"/>
      <c r="U21" s="569"/>
      <c r="V21" s="136"/>
      <c r="W21" s="136"/>
      <c r="Y21" s="579" t="s">
        <v>122</v>
      </c>
      <c r="Z21" s="579"/>
      <c r="AA21" s="579"/>
      <c r="AB21" s="579"/>
      <c r="AC21" s="136"/>
      <c r="AD21" s="136"/>
      <c r="AI21" s="136"/>
      <c r="AJ21" s="136"/>
      <c r="AK21" s="136"/>
      <c r="AL21" s="136"/>
      <c r="AM21" s="136"/>
      <c r="AN21" s="136"/>
      <c r="AO21" s="136"/>
      <c r="AP21" s="137"/>
    </row>
    <row r="22" spans="2:42" ht="20.100000000000001" customHeight="1" thickBot="1" x14ac:dyDescent="0.2">
      <c r="B22" s="567"/>
      <c r="C22" s="556"/>
      <c r="D22" s="557"/>
      <c r="E22" s="557"/>
      <c r="F22" s="557"/>
      <c r="G22" s="557"/>
      <c r="H22" s="557"/>
      <c r="I22" s="557"/>
      <c r="J22" s="557"/>
      <c r="K22" s="557"/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7"/>
      <c r="W22" s="557"/>
      <c r="X22" s="557"/>
      <c r="Y22" s="557"/>
      <c r="Z22" s="557"/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  <c r="AN22" s="557"/>
      <c r="AO22" s="557"/>
      <c r="AP22" s="558"/>
    </row>
    <row r="23" spans="2:42" ht="9.9499999999999993" customHeight="1" x14ac:dyDescent="0.15"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</row>
    <row r="24" spans="2:42" ht="24.95" customHeight="1" thickBot="1" x14ac:dyDescent="0.2">
      <c r="B24" s="109" t="s">
        <v>123</v>
      </c>
    </row>
    <row r="25" spans="2:42" ht="20.100000000000001" customHeight="1" thickBot="1" x14ac:dyDescent="0.2">
      <c r="B25" s="559" t="s">
        <v>19</v>
      </c>
      <c r="C25" s="560"/>
      <c r="D25" s="560"/>
      <c r="E25" s="560"/>
      <c r="F25" s="560"/>
      <c r="G25" s="560"/>
      <c r="H25" s="560"/>
      <c r="I25" s="560"/>
      <c r="J25" s="560"/>
      <c r="K25" s="560"/>
      <c r="L25" s="560"/>
      <c r="M25" s="560"/>
      <c r="N25" s="561"/>
      <c r="O25" s="562" t="s">
        <v>18</v>
      </c>
      <c r="P25" s="563"/>
      <c r="Q25" s="563"/>
      <c r="R25" s="563"/>
      <c r="S25" s="563"/>
      <c r="T25" s="563"/>
      <c r="U25" s="563"/>
      <c r="V25" s="563"/>
      <c r="W25" s="563"/>
      <c r="X25" s="563"/>
      <c r="Y25" s="563"/>
      <c r="Z25" s="563"/>
      <c r="AA25" s="563"/>
      <c r="AB25" s="563"/>
      <c r="AC25" s="563"/>
      <c r="AD25" s="563"/>
      <c r="AE25" s="563"/>
      <c r="AF25" s="563"/>
      <c r="AG25" s="563"/>
      <c r="AH25" s="563"/>
      <c r="AI25" s="563"/>
      <c r="AJ25" s="563"/>
      <c r="AK25" s="563"/>
      <c r="AL25" s="563"/>
      <c r="AM25" s="563"/>
      <c r="AN25" s="563"/>
      <c r="AO25" s="563"/>
      <c r="AP25" s="564"/>
    </row>
    <row r="26" spans="2:42" ht="19.899999999999999" customHeight="1" x14ac:dyDescent="0.15">
      <c r="B26" s="537" t="s">
        <v>14</v>
      </c>
      <c r="C26" s="538"/>
      <c r="D26" s="539"/>
      <c r="E26" s="546" t="s">
        <v>390</v>
      </c>
      <c r="F26" s="547"/>
      <c r="G26" s="547"/>
      <c r="H26" s="547"/>
      <c r="I26" s="547"/>
      <c r="J26" s="547"/>
      <c r="K26" s="547"/>
      <c r="L26" s="547"/>
      <c r="M26" s="547"/>
      <c r="N26" s="548"/>
      <c r="O26" s="537" t="s">
        <v>11</v>
      </c>
      <c r="P26" s="538"/>
      <c r="Q26" s="538"/>
      <c r="R26" s="538"/>
      <c r="S26" s="539"/>
      <c r="T26" s="645" t="s">
        <v>402</v>
      </c>
      <c r="U26" s="639"/>
      <c r="V26" s="639"/>
      <c r="W26" s="639"/>
      <c r="X26" s="639"/>
      <c r="Y26" s="639"/>
      <c r="Z26" s="433"/>
      <c r="AA26" s="433"/>
      <c r="AB26" s="433">
        <v>5</v>
      </c>
      <c r="AC26" s="640" t="s">
        <v>336</v>
      </c>
      <c r="AD26" s="641"/>
      <c r="AE26" s="638" t="s">
        <v>343</v>
      </c>
      <c r="AF26" s="639"/>
      <c r="AG26" s="639"/>
      <c r="AH26" s="639"/>
      <c r="AI26" s="639"/>
      <c r="AJ26" s="639"/>
      <c r="AK26" s="433"/>
      <c r="AL26" s="433"/>
      <c r="AM26" s="433">
        <v>10</v>
      </c>
      <c r="AN26" s="642" t="s">
        <v>336</v>
      </c>
      <c r="AO26" s="643"/>
      <c r="AP26" s="644"/>
    </row>
    <row r="27" spans="2:42" ht="19.899999999999999" customHeight="1" x14ac:dyDescent="0.15">
      <c r="B27" s="540"/>
      <c r="C27" s="541"/>
      <c r="D27" s="542"/>
      <c r="E27" s="549"/>
      <c r="F27" s="550"/>
      <c r="G27" s="550"/>
      <c r="H27" s="550"/>
      <c r="I27" s="550"/>
      <c r="J27" s="550"/>
      <c r="K27" s="550"/>
      <c r="L27" s="550"/>
      <c r="M27" s="550"/>
      <c r="N27" s="551"/>
      <c r="O27" s="540"/>
      <c r="P27" s="541"/>
      <c r="Q27" s="541"/>
      <c r="R27" s="541"/>
      <c r="S27" s="542"/>
      <c r="T27" s="646"/>
      <c r="U27" s="647"/>
      <c r="V27" s="647"/>
      <c r="W27" s="647"/>
      <c r="X27" s="647"/>
      <c r="Y27" s="647"/>
      <c r="Z27" s="434"/>
      <c r="AA27" s="434"/>
      <c r="AB27" s="434"/>
      <c r="AC27" s="650"/>
      <c r="AD27" s="650"/>
      <c r="AE27" s="656" t="s">
        <v>344</v>
      </c>
      <c r="AF27" s="647"/>
      <c r="AG27" s="647"/>
      <c r="AH27" s="647"/>
      <c r="AI27" s="647"/>
      <c r="AJ27" s="647"/>
      <c r="AK27" s="434"/>
      <c r="AL27" s="434"/>
      <c r="AM27" s="434">
        <v>5</v>
      </c>
      <c r="AN27" s="653" t="s">
        <v>335</v>
      </c>
      <c r="AO27" s="653"/>
      <c r="AP27" s="654"/>
    </row>
    <row r="28" spans="2:42" ht="19.899999999999999" customHeight="1" x14ac:dyDescent="0.15">
      <c r="B28" s="540"/>
      <c r="C28" s="541"/>
      <c r="D28" s="542"/>
      <c r="E28" s="549"/>
      <c r="F28" s="550"/>
      <c r="G28" s="550"/>
      <c r="H28" s="550"/>
      <c r="I28" s="550"/>
      <c r="J28" s="550"/>
      <c r="K28" s="550"/>
      <c r="L28" s="550"/>
      <c r="M28" s="550"/>
      <c r="N28" s="551"/>
      <c r="O28" s="540"/>
      <c r="P28" s="541"/>
      <c r="Q28" s="541"/>
      <c r="R28" s="541"/>
      <c r="S28" s="542"/>
      <c r="T28" s="646"/>
      <c r="U28" s="647"/>
      <c r="V28" s="647"/>
      <c r="W28" s="647"/>
      <c r="X28" s="647"/>
      <c r="Y28" s="647"/>
      <c r="Z28" s="434"/>
      <c r="AA28" s="434"/>
      <c r="AB28" s="434"/>
      <c r="AC28" s="650"/>
      <c r="AD28" s="650"/>
      <c r="AE28" s="658"/>
      <c r="AF28" s="659"/>
      <c r="AG28" s="659"/>
      <c r="AH28" s="659"/>
      <c r="AI28" s="659"/>
      <c r="AJ28" s="659"/>
      <c r="AK28" s="434"/>
      <c r="AL28" s="434"/>
      <c r="AM28" s="434"/>
      <c r="AN28" s="653"/>
      <c r="AO28" s="653"/>
      <c r="AP28" s="654"/>
    </row>
    <row r="29" spans="2:42" ht="19.899999999999999" customHeight="1" x14ac:dyDescent="0.15">
      <c r="B29" s="540"/>
      <c r="C29" s="541"/>
      <c r="D29" s="542"/>
      <c r="E29" s="549"/>
      <c r="F29" s="550"/>
      <c r="G29" s="550"/>
      <c r="H29" s="550"/>
      <c r="I29" s="550"/>
      <c r="J29" s="550"/>
      <c r="K29" s="550"/>
      <c r="L29" s="550"/>
      <c r="M29" s="550"/>
      <c r="N29" s="551"/>
      <c r="O29" s="540"/>
      <c r="P29" s="541"/>
      <c r="Q29" s="541"/>
      <c r="R29" s="541"/>
      <c r="S29" s="542"/>
      <c r="T29" s="646"/>
      <c r="U29" s="647"/>
      <c r="V29" s="647"/>
      <c r="W29" s="647"/>
      <c r="X29" s="647"/>
      <c r="Y29" s="647"/>
      <c r="Z29" s="434"/>
      <c r="AA29" s="434"/>
      <c r="AB29" s="434"/>
      <c r="AC29" s="650"/>
      <c r="AD29" s="650"/>
      <c r="AE29" s="656"/>
      <c r="AF29" s="647"/>
      <c r="AG29" s="647"/>
      <c r="AH29" s="647"/>
      <c r="AI29" s="647"/>
      <c r="AJ29" s="647"/>
      <c r="AK29" s="434"/>
      <c r="AL29" s="434"/>
      <c r="AM29" s="434"/>
      <c r="AN29" s="653"/>
      <c r="AO29" s="653"/>
      <c r="AP29" s="654"/>
    </row>
    <row r="30" spans="2:42" ht="19.899999999999999" customHeight="1" x14ac:dyDescent="0.15">
      <c r="B30" s="543"/>
      <c r="C30" s="544"/>
      <c r="D30" s="545"/>
      <c r="E30" s="552"/>
      <c r="F30" s="553"/>
      <c r="G30" s="553"/>
      <c r="H30" s="553"/>
      <c r="I30" s="553"/>
      <c r="J30" s="553"/>
      <c r="K30" s="553"/>
      <c r="L30" s="553"/>
      <c r="M30" s="553"/>
      <c r="N30" s="554"/>
      <c r="O30" s="543"/>
      <c r="P30" s="544"/>
      <c r="Q30" s="544"/>
      <c r="R30" s="544"/>
      <c r="S30" s="545"/>
      <c r="T30" s="648" t="s">
        <v>401</v>
      </c>
      <c r="U30" s="649"/>
      <c r="V30" s="649"/>
      <c r="W30" s="649"/>
      <c r="X30" s="649"/>
      <c r="Y30" s="649"/>
      <c r="Z30" s="435"/>
      <c r="AA30" s="435"/>
      <c r="AB30" s="435">
        <v>10</v>
      </c>
      <c r="AC30" s="655" t="s">
        <v>335</v>
      </c>
      <c r="AD30" s="655"/>
      <c r="AE30" s="657"/>
      <c r="AF30" s="649"/>
      <c r="AG30" s="649"/>
      <c r="AH30" s="649"/>
      <c r="AI30" s="649"/>
      <c r="AJ30" s="649"/>
      <c r="AK30" s="435"/>
      <c r="AL30" s="435"/>
      <c r="AM30" s="435"/>
      <c r="AN30" s="651"/>
      <c r="AO30" s="651"/>
      <c r="AP30" s="652"/>
    </row>
    <row r="31" spans="2:42" ht="39.950000000000003" customHeight="1" x14ac:dyDescent="0.15">
      <c r="B31" s="531" t="s">
        <v>15</v>
      </c>
      <c r="C31" s="527"/>
      <c r="D31" s="527"/>
      <c r="E31" s="528" t="s">
        <v>391</v>
      </c>
      <c r="F31" s="529"/>
      <c r="G31" s="529"/>
      <c r="H31" s="529"/>
      <c r="I31" s="529"/>
      <c r="J31" s="529"/>
      <c r="K31" s="529"/>
      <c r="L31" s="529"/>
      <c r="M31" s="529"/>
      <c r="N31" s="530"/>
      <c r="O31" s="526" t="s">
        <v>12</v>
      </c>
      <c r="P31" s="527"/>
      <c r="Q31" s="527"/>
      <c r="R31" s="527"/>
      <c r="S31" s="527"/>
      <c r="T31" s="528" t="s">
        <v>393</v>
      </c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  <c r="AJ31" s="529"/>
      <c r="AK31" s="529"/>
      <c r="AL31" s="529"/>
      <c r="AM31" s="529"/>
      <c r="AN31" s="529"/>
      <c r="AO31" s="529"/>
      <c r="AP31" s="530"/>
    </row>
    <row r="32" spans="2:42" ht="39.950000000000003" customHeight="1" x14ac:dyDescent="0.15">
      <c r="B32" s="531" t="s">
        <v>16</v>
      </c>
      <c r="C32" s="527"/>
      <c r="D32" s="527"/>
      <c r="E32" s="528" t="s">
        <v>392</v>
      </c>
      <c r="F32" s="529"/>
      <c r="G32" s="529"/>
      <c r="H32" s="529"/>
      <c r="I32" s="529"/>
      <c r="J32" s="529"/>
      <c r="K32" s="529"/>
      <c r="L32" s="529"/>
      <c r="M32" s="529"/>
      <c r="N32" s="530"/>
      <c r="O32" s="526" t="s">
        <v>13</v>
      </c>
      <c r="P32" s="527"/>
      <c r="Q32" s="527"/>
      <c r="R32" s="527"/>
      <c r="S32" s="527"/>
      <c r="T32" s="528" t="s">
        <v>475</v>
      </c>
      <c r="U32" s="529"/>
      <c r="V32" s="529"/>
      <c r="W32" s="529"/>
      <c r="X32" s="529"/>
      <c r="Y32" s="529"/>
      <c r="Z32" s="529"/>
      <c r="AA32" s="529"/>
      <c r="AB32" s="529"/>
      <c r="AC32" s="529"/>
      <c r="AD32" s="529"/>
      <c r="AE32" s="529"/>
      <c r="AF32" s="529"/>
      <c r="AG32" s="529"/>
      <c r="AH32" s="529"/>
      <c r="AI32" s="529"/>
      <c r="AJ32" s="529"/>
      <c r="AK32" s="529"/>
      <c r="AL32" s="529"/>
      <c r="AM32" s="529"/>
      <c r="AN32" s="529"/>
      <c r="AO32" s="529"/>
      <c r="AP32" s="530"/>
    </row>
    <row r="33" spans="2:42" ht="39.950000000000003" customHeight="1" thickBot="1" x14ac:dyDescent="0.2">
      <c r="B33" s="536" t="s">
        <v>17</v>
      </c>
      <c r="C33" s="533"/>
      <c r="D33" s="533"/>
      <c r="E33" s="555" t="s">
        <v>386</v>
      </c>
      <c r="F33" s="534"/>
      <c r="G33" s="534"/>
      <c r="H33" s="534"/>
      <c r="I33" s="534"/>
      <c r="J33" s="534"/>
      <c r="K33" s="534"/>
      <c r="L33" s="534"/>
      <c r="M33" s="534"/>
      <c r="N33" s="535"/>
      <c r="O33" s="532"/>
      <c r="P33" s="533"/>
      <c r="Q33" s="533"/>
      <c r="R33" s="533"/>
      <c r="S33" s="533"/>
      <c r="T33" s="534"/>
      <c r="U33" s="534"/>
      <c r="V33" s="534"/>
      <c r="W33" s="534"/>
      <c r="X33" s="534"/>
      <c r="Y33" s="534"/>
      <c r="Z33" s="534"/>
      <c r="AA33" s="534"/>
      <c r="AB33" s="534"/>
      <c r="AC33" s="534"/>
      <c r="AD33" s="534"/>
      <c r="AE33" s="534"/>
      <c r="AF33" s="534"/>
      <c r="AG33" s="534"/>
      <c r="AH33" s="534"/>
      <c r="AI33" s="534"/>
      <c r="AJ33" s="534"/>
      <c r="AK33" s="534"/>
      <c r="AL33" s="534"/>
      <c r="AM33" s="534"/>
      <c r="AN33" s="534"/>
      <c r="AO33" s="534"/>
      <c r="AP33" s="535"/>
    </row>
    <row r="34" spans="2:42" ht="9.75" customHeight="1" x14ac:dyDescent="0.15">
      <c r="B34" s="111"/>
    </row>
  </sheetData>
  <mergeCells count="98">
    <mergeCell ref="T28:Y28"/>
    <mergeCell ref="AC28:AD28"/>
    <mergeCell ref="AE28:AJ28"/>
    <mergeCell ref="AN27:AP27"/>
    <mergeCell ref="AN29:AP29"/>
    <mergeCell ref="AE26:AJ26"/>
    <mergeCell ref="AC26:AD26"/>
    <mergeCell ref="AN26:AP26"/>
    <mergeCell ref="O26:S30"/>
    <mergeCell ref="T26:Y26"/>
    <mergeCell ref="T27:Y27"/>
    <mergeCell ref="T29:Y29"/>
    <mergeCell ref="T30:Y30"/>
    <mergeCell ref="AC27:AD27"/>
    <mergeCell ref="AN30:AP30"/>
    <mergeCell ref="AN28:AP28"/>
    <mergeCell ref="AC29:AD29"/>
    <mergeCell ref="AC30:AD30"/>
    <mergeCell ref="AE27:AJ27"/>
    <mergeCell ref="AE29:AJ29"/>
    <mergeCell ref="AE30:AJ30"/>
    <mergeCell ref="C2:D2"/>
    <mergeCell ref="F2:N2"/>
    <mergeCell ref="Y6:AA6"/>
    <mergeCell ref="B5:C5"/>
    <mergeCell ref="D5:G5"/>
    <mergeCell ref="H5:AA5"/>
    <mergeCell ref="Y2:AA2"/>
    <mergeCell ref="O2:Q2"/>
    <mergeCell ref="R2:U2"/>
    <mergeCell ref="V2:X2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AB12:AD12"/>
    <mergeCell ref="AE12:AG12"/>
    <mergeCell ref="C20:AP20"/>
    <mergeCell ref="Y21:AB21"/>
    <mergeCell ref="C22:AP22"/>
    <mergeCell ref="B25:N25"/>
    <mergeCell ref="O25:AP25"/>
    <mergeCell ref="B20:B22"/>
    <mergeCell ref="C21:U21"/>
    <mergeCell ref="B26:D30"/>
    <mergeCell ref="E26:N30"/>
    <mergeCell ref="E33:N33"/>
    <mergeCell ref="B31:D31"/>
    <mergeCell ref="E31:N31"/>
    <mergeCell ref="O31:S31"/>
    <mergeCell ref="T31:AP31"/>
    <mergeCell ref="B32:D32"/>
    <mergeCell ref="E32:N32"/>
    <mergeCell ref="O32:S33"/>
    <mergeCell ref="T32:AP33"/>
    <mergeCell ref="B33:D33"/>
  </mergeCells>
  <phoneticPr fontId="3"/>
  <pageMargins left="0.78740157480314965" right="0.78740157480314965" top="0.78740157480314965" bottom="0.78740157480314965" header="0.39370078740157483" footer="0.39370078740157483"/>
  <pageSetup paperSize="9" scale="7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5" customWidth="1"/>
    <col min="2" max="2" width="22.625" style="85" customWidth="1"/>
    <col min="3" max="38" width="6.125" style="85" customWidth="1"/>
    <col min="39" max="39" width="7" style="85" customWidth="1"/>
    <col min="40" max="40" width="1.5" style="85" customWidth="1"/>
    <col min="41" max="16384" width="9" style="85"/>
  </cols>
  <sheetData>
    <row r="1" spans="2:62" ht="9.9499999999999993" customHeight="1" x14ac:dyDescent="0.15"/>
    <row r="2" spans="2:62" ht="24.95" customHeight="1" thickBot="1" x14ac:dyDescent="0.2">
      <c r="B2" s="13" t="s">
        <v>136</v>
      </c>
      <c r="C2" s="13"/>
      <c r="D2" s="13"/>
      <c r="E2" s="13"/>
      <c r="F2" s="13"/>
      <c r="G2" s="13"/>
      <c r="H2" s="13"/>
      <c r="I2" s="13"/>
      <c r="J2" s="13"/>
      <c r="K2" s="335" t="s">
        <v>259</v>
      </c>
      <c r="L2" s="710" t="s">
        <v>439</v>
      </c>
      <c r="M2" s="710"/>
      <c r="N2" s="335" t="s">
        <v>260</v>
      </c>
      <c r="O2" s="109" t="s">
        <v>262</v>
      </c>
      <c r="P2" s="13"/>
      <c r="Q2" s="13"/>
      <c r="R2" s="13"/>
      <c r="S2" s="13"/>
      <c r="T2" s="13"/>
      <c r="U2" s="13"/>
      <c r="V2" s="87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19" t="s">
        <v>132</v>
      </c>
      <c r="C3" s="711">
        <v>1</v>
      </c>
      <c r="D3" s="712"/>
      <c r="E3" s="713"/>
      <c r="F3" s="711">
        <v>2</v>
      </c>
      <c r="G3" s="712"/>
      <c r="H3" s="713"/>
      <c r="I3" s="711">
        <v>3</v>
      </c>
      <c r="J3" s="712"/>
      <c r="K3" s="713"/>
      <c r="L3" s="711">
        <v>4</v>
      </c>
      <c r="M3" s="712"/>
      <c r="N3" s="713"/>
      <c r="O3" s="711">
        <v>5</v>
      </c>
      <c r="P3" s="712"/>
      <c r="Q3" s="713"/>
      <c r="R3" s="711">
        <v>6</v>
      </c>
      <c r="S3" s="712"/>
      <c r="T3" s="713"/>
      <c r="U3" s="711">
        <v>7</v>
      </c>
      <c r="V3" s="712"/>
      <c r="W3" s="713"/>
      <c r="X3" s="711">
        <v>8</v>
      </c>
      <c r="Y3" s="712"/>
      <c r="Z3" s="713"/>
      <c r="AA3" s="711">
        <v>9</v>
      </c>
      <c r="AB3" s="712"/>
      <c r="AC3" s="713"/>
      <c r="AD3" s="711">
        <v>10</v>
      </c>
      <c r="AE3" s="712"/>
      <c r="AF3" s="713"/>
      <c r="AG3" s="711">
        <v>11</v>
      </c>
      <c r="AH3" s="712"/>
      <c r="AI3" s="713"/>
      <c r="AJ3" s="711">
        <v>12</v>
      </c>
      <c r="AK3" s="712"/>
      <c r="AL3" s="713"/>
      <c r="AM3" s="714" t="s">
        <v>34</v>
      </c>
      <c r="AO3" s="85" t="s">
        <v>340</v>
      </c>
      <c r="AP3" s="85" t="s">
        <v>341</v>
      </c>
      <c r="AQ3" s="85" t="s">
        <v>25</v>
      </c>
    </row>
    <row r="4" spans="2:62" ht="20.100000000000001" customHeight="1" x14ac:dyDescent="0.15">
      <c r="B4" s="718"/>
      <c r="C4" s="91" t="s">
        <v>35</v>
      </c>
      <c r="D4" s="92" t="s">
        <v>36</v>
      </c>
      <c r="E4" s="93" t="s">
        <v>37</v>
      </c>
      <c r="F4" s="91" t="s">
        <v>35</v>
      </c>
      <c r="G4" s="93" t="s">
        <v>36</v>
      </c>
      <c r="H4" s="93" t="s">
        <v>37</v>
      </c>
      <c r="I4" s="91" t="s">
        <v>35</v>
      </c>
      <c r="J4" s="93" t="s">
        <v>36</v>
      </c>
      <c r="K4" s="93" t="s">
        <v>37</v>
      </c>
      <c r="L4" s="91" t="s">
        <v>35</v>
      </c>
      <c r="M4" s="93" t="s">
        <v>36</v>
      </c>
      <c r="N4" s="93" t="s">
        <v>37</v>
      </c>
      <c r="O4" s="91" t="s">
        <v>35</v>
      </c>
      <c r="P4" s="93" t="s">
        <v>36</v>
      </c>
      <c r="Q4" s="93" t="s">
        <v>37</v>
      </c>
      <c r="R4" s="91" t="s">
        <v>35</v>
      </c>
      <c r="S4" s="94" t="s">
        <v>36</v>
      </c>
      <c r="T4" s="94" t="s">
        <v>37</v>
      </c>
      <c r="U4" s="91" t="s">
        <v>35</v>
      </c>
      <c r="V4" s="93" t="s">
        <v>36</v>
      </c>
      <c r="W4" s="93" t="s">
        <v>37</v>
      </c>
      <c r="X4" s="91" t="s">
        <v>35</v>
      </c>
      <c r="Y4" s="93" t="s">
        <v>36</v>
      </c>
      <c r="Z4" s="93" t="s">
        <v>37</v>
      </c>
      <c r="AA4" s="91" t="s">
        <v>35</v>
      </c>
      <c r="AB4" s="93" t="s">
        <v>36</v>
      </c>
      <c r="AC4" s="93" t="s">
        <v>37</v>
      </c>
      <c r="AD4" s="91" t="s">
        <v>35</v>
      </c>
      <c r="AE4" s="93" t="s">
        <v>36</v>
      </c>
      <c r="AF4" s="93" t="s">
        <v>37</v>
      </c>
      <c r="AG4" s="91" t="s">
        <v>35</v>
      </c>
      <c r="AH4" s="93" t="s">
        <v>36</v>
      </c>
      <c r="AI4" s="93" t="s">
        <v>37</v>
      </c>
      <c r="AJ4" s="91" t="s">
        <v>35</v>
      </c>
      <c r="AK4" s="93" t="s">
        <v>36</v>
      </c>
      <c r="AL4" s="93" t="s">
        <v>37</v>
      </c>
      <c r="AM4" s="715"/>
    </row>
    <row r="5" spans="2:62" ht="20.100000000000001" customHeight="1" x14ac:dyDescent="0.15">
      <c r="B5" s="716" t="s">
        <v>133</v>
      </c>
      <c r="C5" s="95"/>
      <c r="D5" s="13"/>
      <c r="E5" s="13"/>
      <c r="F5" s="13"/>
      <c r="G5" s="13"/>
      <c r="H5" s="13"/>
      <c r="I5" s="13"/>
      <c r="J5" s="13"/>
      <c r="K5" s="13"/>
      <c r="L5" s="13"/>
      <c r="M5" s="13"/>
      <c r="N5" s="87"/>
      <c r="O5" s="87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96"/>
    </row>
    <row r="6" spans="2:62" ht="20.100000000000001" customHeight="1" x14ac:dyDescent="0.15">
      <c r="B6" s="717"/>
      <c r="C6" s="95"/>
      <c r="D6" s="13"/>
      <c r="E6" s="13"/>
      <c r="F6" s="13"/>
      <c r="G6" s="13"/>
      <c r="H6" s="13"/>
      <c r="I6" s="13"/>
      <c r="J6" s="13"/>
      <c r="K6" s="13"/>
      <c r="M6" s="13"/>
      <c r="N6" s="13"/>
      <c r="O6" s="2"/>
      <c r="P6" s="720" t="s">
        <v>437</v>
      </c>
      <c r="Q6" s="721"/>
      <c r="R6" s="13"/>
      <c r="S6" s="13"/>
      <c r="T6" s="13"/>
      <c r="U6" s="13"/>
      <c r="V6" s="13"/>
      <c r="W6" s="13"/>
      <c r="X6" s="13"/>
      <c r="Y6" s="13"/>
      <c r="Z6" s="13"/>
      <c r="AA6" s="13"/>
      <c r="AB6" s="2"/>
      <c r="AC6" s="13"/>
      <c r="AD6" s="720" t="s">
        <v>438</v>
      </c>
      <c r="AE6" s="721"/>
      <c r="AF6" s="13"/>
      <c r="AG6" s="13"/>
      <c r="AH6" s="13"/>
      <c r="AI6" s="13"/>
      <c r="AJ6" s="13"/>
      <c r="AK6" s="13"/>
      <c r="AL6" s="13"/>
      <c r="AM6" s="96"/>
    </row>
    <row r="7" spans="2:62" ht="20.100000000000001" customHeight="1" x14ac:dyDescent="0.15">
      <c r="B7" s="718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9"/>
    </row>
    <row r="8" spans="2:62" ht="20.100000000000001" customHeight="1" x14ac:dyDescent="0.15">
      <c r="B8" s="100" t="s">
        <v>312</v>
      </c>
      <c r="C8" s="454"/>
      <c r="D8" s="101"/>
      <c r="E8" s="101"/>
      <c r="F8" s="454"/>
      <c r="G8" s="101"/>
      <c r="H8" s="101"/>
      <c r="I8" s="454"/>
      <c r="J8" s="101"/>
      <c r="K8" s="101"/>
      <c r="L8" s="454"/>
      <c r="M8" s="101"/>
      <c r="N8" s="101">
        <v>3.2</v>
      </c>
      <c r="O8" s="454"/>
      <c r="P8" s="101"/>
      <c r="Q8" s="101"/>
      <c r="R8" s="454"/>
      <c r="S8" s="101"/>
      <c r="T8" s="101"/>
      <c r="U8" s="454"/>
      <c r="V8" s="101"/>
      <c r="W8" s="101"/>
      <c r="X8" s="454"/>
      <c r="Y8" s="101"/>
      <c r="Z8" s="101"/>
      <c r="AA8" s="454"/>
      <c r="AB8" s="101"/>
      <c r="AC8" s="101"/>
      <c r="AD8" s="454"/>
      <c r="AE8" s="101"/>
      <c r="AF8" s="101"/>
      <c r="AG8" s="454"/>
      <c r="AH8" s="101"/>
      <c r="AI8" s="101"/>
      <c r="AJ8" s="454"/>
      <c r="AK8" s="101"/>
      <c r="AL8" s="101"/>
      <c r="AM8" s="455">
        <f>SUM(C8:AL8)</f>
        <v>3.2</v>
      </c>
      <c r="AO8" s="426"/>
      <c r="AP8" s="426">
        <v>3.2</v>
      </c>
      <c r="AQ8" s="427">
        <v>3.2</v>
      </c>
    </row>
    <row r="9" spans="2:62" ht="20.100000000000001" customHeight="1" x14ac:dyDescent="0.15">
      <c r="B9" s="100" t="s">
        <v>313</v>
      </c>
      <c r="C9" s="454"/>
      <c r="D9" s="101"/>
      <c r="E9" s="101"/>
      <c r="F9" s="454"/>
      <c r="G9" s="101"/>
      <c r="H9" s="101"/>
      <c r="I9" s="454"/>
      <c r="J9" s="101"/>
      <c r="K9" s="101"/>
      <c r="L9" s="454"/>
      <c r="M9" s="101"/>
      <c r="N9" s="101">
        <v>1.2</v>
      </c>
      <c r="O9" s="454">
        <v>5.3</v>
      </c>
      <c r="P9" s="101">
        <v>5.3</v>
      </c>
      <c r="Q9" s="101">
        <v>2.2000000000000002</v>
      </c>
      <c r="R9" s="454"/>
      <c r="S9" s="101"/>
      <c r="T9" s="101"/>
      <c r="U9" s="454"/>
      <c r="V9" s="101"/>
      <c r="W9" s="101"/>
      <c r="X9" s="454"/>
      <c r="Y9" s="101"/>
      <c r="Z9" s="101"/>
      <c r="AA9" s="454"/>
      <c r="AB9" s="101"/>
      <c r="AC9" s="101"/>
      <c r="AD9" s="454"/>
      <c r="AE9" s="101"/>
      <c r="AF9" s="101"/>
      <c r="AG9" s="454"/>
      <c r="AH9" s="101"/>
      <c r="AI9" s="101"/>
      <c r="AJ9" s="454"/>
      <c r="AK9" s="101"/>
      <c r="AL9" s="101"/>
      <c r="AM9" s="455">
        <f t="shared" ref="AM9:AM33" si="0">SUM(C9:AL9)</f>
        <v>14</v>
      </c>
      <c r="AO9" s="426"/>
      <c r="AP9" s="426">
        <v>14</v>
      </c>
      <c r="AQ9" s="427">
        <v>14</v>
      </c>
    </row>
    <row r="10" spans="2:62" ht="20.100000000000001" customHeight="1" x14ac:dyDescent="0.15">
      <c r="B10" s="100" t="s">
        <v>314</v>
      </c>
      <c r="C10" s="454"/>
      <c r="D10" s="101"/>
      <c r="E10" s="101"/>
      <c r="F10" s="454"/>
      <c r="G10" s="101">
        <v>1.9</v>
      </c>
      <c r="H10" s="101">
        <v>1.9</v>
      </c>
      <c r="I10" s="454">
        <v>1.9</v>
      </c>
      <c r="J10" s="101">
        <v>1.9</v>
      </c>
      <c r="K10" s="101"/>
      <c r="L10" s="454"/>
      <c r="M10" s="101"/>
      <c r="N10" s="101"/>
      <c r="O10" s="454"/>
      <c r="P10" s="101"/>
      <c r="Q10" s="101"/>
      <c r="R10" s="454"/>
      <c r="S10" s="101"/>
      <c r="T10" s="101"/>
      <c r="U10" s="454"/>
      <c r="V10" s="101"/>
      <c r="W10" s="101"/>
      <c r="X10" s="454"/>
      <c r="Y10" s="101"/>
      <c r="Z10" s="101"/>
      <c r="AA10" s="454"/>
      <c r="AB10" s="101"/>
      <c r="AC10" s="101"/>
      <c r="AD10" s="454"/>
      <c r="AE10" s="101"/>
      <c r="AF10" s="101"/>
      <c r="AG10" s="454"/>
      <c r="AH10" s="101">
        <v>2.4</v>
      </c>
      <c r="AI10" s="101">
        <v>2.4</v>
      </c>
      <c r="AJ10" s="454">
        <v>2.2999999999999998</v>
      </c>
      <c r="AK10" s="101"/>
      <c r="AL10" s="101"/>
      <c r="AM10" s="455">
        <f t="shared" si="0"/>
        <v>14.7</v>
      </c>
      <c r="AO10" s="426">
        <v>14.7</v>
      </c>
      <c r="AP10" s="426"/>
      <c r="AQ10" s="427">
        <v>14.7</v>
      </c>
    </row>
    <row r="11" spans="2:62" ht="20.100000000000001" customHeight="1" x14ac:dyDescent="0.15">
      <c r="B11" s="100" t="s">
        <v>290</v>
      </c>
      <c r="C11" s="454"/>
      <c r="D11" s="101"/>
      <c r="E11" s="101"/>
      <c r="F11" s="454"/>
      <c r="G11" s="101"/>
      <c r="H11" s="101"/>
      <c r="I11" s="454"/>
      <c r="J11" s="101"/>
      <c r="K11" s="101"/>
      <c r="L11" s="454"/>
      <c r="M11" s="101"/>
      <c r="N11" s="101">
        <v>2.5</v>
      </c>
      <c r="O11" s="454">
        <v>2.5</v>
      </c>
      <c r="P11" s="101"/>
      <c r="Q11" s="101"/>
      <c r="R11" s="454"/>
      <c r="S11" s="101"/>
      <c r="T11" s="101"/>
      <c r="U11" s="454"/>
      <c r="V11" s="101"/>
      <c r="W11" s="101"/>
      <c r="X11" s="454"/>
      <c r="Y11" s="101"/>
      <c r="Z11" s="101"/>
      <c r="AA11" s="454"/>
      <c r="AB11" s="101"/>
      <c r="AC11" s="101"/>
      <c r="AD11" s="454"/>
      <c r="AE11" s="101"/>
      <c r="AF11" s="101"/>
      <c r="AG11" s="454"/>
      <c r="AH11" s="101"/>
      <c r="AI11" s="101"/>
      <c r="AJ11" s="454"/>
      <c r="AK11" s="101"/>
      <c r="AL11" s="101"/>
      <c r="AM11" s="455">
        <f t="shared" si="0"/>
        <v>5</v>
      </c>
      <c r="AO11" s="426">
        <v>5</v>
      </c>
      <c r="AP11" s="426"/>
      <c r="AQ11" s="427">
        <v>5</v>
      </c>
    </row>
    <row r="12" spans="2:62" ht="20.100000000000001" customHeight="1" x14ac:dyDescent="0.15">
      <c r="B12" s="100" t="s">
        <v>315</v>
      </c>
      <c r="C12" s="454"/>
      <c r="D12" s="101"/>
      <c r="E12" s="101"/>
      <c r="F12" s="454"/>
      <c r="G12" s="101"/>
      <c r="H12" s="101"/>
      <c r="I12" s="454"/>
      <c r="J12" s="101"/>
      <c r="K12" s="101"/>
      <c r="L12" s="454"/>
      <c r="M12" s="101"/>
      <c r="N12" s="101"/>
      <c r="O12" s="454"/>
      <c r="P12" s="101">
        <v>8.8000000000000007</v>
      </c>
      <c r="Q12" s="101">
        <v>8.8000000000000007</v>
      </c>
      <c r="R12" s="454"/>
      <c r="S12" s="101"/>
      <c r="T12" s="101"/>
      <c r="U12" s="454"/>
      <c r="V12" s="101"/>
      <c r="W12" s="101"/>
      <c r="X12" s="454"/>
      <c r="Y12" s="101"/>
      <c r="Z12" s="101"/>
      <c r="AA12" s="454"/>
      <c r="AB12" s="101"/>
      <c r="AC12" s="101"/>
      <c r="AD12" s="454"/>
      <c r="AE12" s="101"/>
      <c r="AF12" s="101"/>
      <c r="AG12" s="454"/>
      <c r="AH12" s="101"/>
      <c r="AI12" s="101"/>
      <c r="AJ12" s="454"/>
      <c r="AK12" s="101"/>
      <c r="AL12" s="101"/>
      <c r="AM12" s="455">
        <f t="shared" si="0"/>
        <v>17.600000000000001</v>
      </c>
      <c r="AO12" s="426">
        <v>4.4000000000000004</v>
      </c>
      <c r="AP12" s="426">
        <v>13.200000000000001</v>
      </c>
      <c r="AQ12" s="427">
        <v>17.600000000000001</v>
      </c>
    </row>
    <row r="13" spans="2:62" ht="20.100000000000001" customHeight="1" x14ac:dyDescent="0.15">
      <c r="B13" s="100" t="s">
        <v>316</v>
      </c>
      <c r="C13" s="454"/>
      <c r="D13" s="101"/>
      <c r="E13" s="101"/>
      <c r="F13" s="454"/>
      <c r="G13" s="101"/>
      <c r="H13" s="101"/>
      <c r="I13" s="454"/>
      <c r="J13" s="101"/>
      <c r="K13" s="101"/>
      <c r="L13" s="454"/>
      <c r="M13" s="101"/>
      <c r="N13" s="101"/>
      <c r="O13" s="454"/>
      <c r="P13" s="101"/>
      <c r="Q13" s="101"/>
      <c r="R13" s="454"/>
      <c r="S13" s="101"/>
      <c r="T13" s="101"/>
      <c r="U13" s="454"/>
      <c r="V13" s="101"/>
      <c r="W13" s="101"/>
      <c r="X13" s="454"/>
      <c r="Y13" s="101"/>
      <c r="Z13" s="101"/>
      <c r="AA13" s="454"/>
      <c r="AB13" s="101"/>
      <c r="AC13" s="101"/>
      <c r="AD13" s="454"/>
      <c r="AE13" s="101"/>
      <c r="AF13" s="101"/>
      <c r="AG13" s="454"/>
      <c r="AH13" s="101"/>
      <c r="AI13" s="101"/>
      <c r="AJ13" s="454"/>
      <c r="AK13" s="101"/>
      <c r="AL13" s="101"/>
      <c r="AM13" s="455">
        <f t="shared" si="0"/>
        <v>0</v>
      </c>
      <c r="AO13" s="426"/>
      <c r="AP13" s="426"/>
      <c r="AQ13" s="427">
        <v>0</v>
      </c>
    </row>
    <row r="14" spans="2:62" ht="20.100000000000001" customHeight="1" x14ac:dyDescent="0.15">
      <c r="B14" s="100" t="s">
        <v>317</v>
      </c>
      <c r="C14" s="454"/>
      <c r="D14" s="101"/>
      <c r="E14" s="101"/>
      <c r="F14" s="454"/>
      <c r="G14" s="101"/>
      <c r="H14" s="101"/>
      <c r="I14" s="454"/>
      <c r="J14" s="101"/>
      <c r="K14" s="101"/>
      <c r="L14" s="454"/>
      <c r="M14" s="101"/>
      <c r="N14" s="101"/>
      <c r="O14" s="454"/>
      <c r="P14" s="101"/>
      <c r="Q14" s="101"/>
      <c r="R14" s="454"/>
      <c r="S14" s="101"/>
      <c r="T14" s="101"/>
      <c r="U14" s="454"/>
      <c r="V14" s="101"/>
      <c r="W14" s="101"/>
      <c r="X14" s="454"/>
      <c r="Y14" s="101"/>
      <c r="Z14" s="101"/>
      <c r="AA14" s="454"/>
      <c r="AB14" s="101"/>
      <c r="AC14" s="101"/>
      <c r="AD14" s="454"/>
      <c r="AE14" s="101"/>
      <c r="AF14" s="101"/>
      <c r="AG14" s="454"/>
      <c r="AH14" s="101"/>
      <c r="AI14" s="101"/>
      <c r="AJ14" s="454"/>
      <c r="AK14" s="101"/>
      <c r="AL14" s="101"/>
      <c r="AM14" s="455">
        <f t="shared" si="0"/>
        <v>0</v>
      </c>
      <c r="AO14" s="426"/>
      <c r="AP14" s="426"/>
      <c r="AQ14" s="427">
        <v>0</v>
      </c>
    </row>
    <row r="15" spans="2:62" ht="20.100000000000001" customHeight="1" x14ac:dyDescent="0.15">
      <c r="B15" s="100" t="s">
        <v>318</v>
      </c>
      <c r="C15" s="454"/>
      <c r="D15" s="101"/>
      <c r="E15" s="101"/>
      <c r="F15" s="454"/>
      <c r="G15" s="101"/>
      <c r="H15" s="101"/>
      <c r="I15" s="454"/>
      <c r="J15" s="101"/>
      <c r="K15" s="101"/>
      <c r="L15" s="454"/>
      <c r="M15" s="101"/>
      <c r="N15" s="101"/>
      <c r="O15" s="454"/>
      <c r="P15" s="101"/>
      <c r="Q15" s="101"/>
      <c r="R15" s="454"/>
      <c r="S15" s="101"/>
      <c r="T15" s="101"/>
      <c r="U15" s="454"/>
      <c r="V15" s="101"/>
      <c r="W15" s="101"/>
      <c r="X15" s="454">
        <v>3.4</v>
      </c>
      <c r="Y15" s="101"/>
      <c r="Z15" s="101">
        <v>3.4</v>
      </c>
      <c r="AA15" s="454"/>
      <c r="AB15" s="101"/>
      <c r="AC15" s="101"/>
      <c r="AD15" s="454"/>
      <c r="AE15" s="101"/>
      <c r="AF15" s="101"/>
      <c r="AG15" s="454"/>
      <c r="AH15" s="101"/>
      <c r="AI15" s="101"/>
      <c r="AJ15" s="454"/>
      <c r="AK15" s="101"/>
      <c r="AL15" s="101"/>
      <c r="AM15" s="455">
        <f t="shared" si="0"/>
        <v>6.8</v>
      </c>
      <c r="AO15" s="426">
        <v>1.7</v>
      </c>
      <c r="AP15" s="426">
        <v>5.0999999999999996</v>
      </c>
      <c r="AQ15" s="427">
        <v>6.8</v>
      </c>
    </row>
    <row r="16" spans="2:62" ht="20.100000000000001" customHeight="1" x14ac:dyDescent="0.15">
      <c r="B16" s="100" t="s">
        <v>319</v>
      </c>
      <c r="C16" s="454"/>
      <c r="D16" s="101"/>
      <c r="E16" s="101"/>
      <c r="F16" s="454"/>
      <c r="G16" s="101"/>
      <c r="H16" s="101"/>
      <c r="I16" s="454"/>
      <c r="J16" s="101"/>
      <c r="K16" s="101"/>
      <c r="L16" s="454"/>
      <c r="M16" s="101"/>
      <c r="N16" s="101"/>
      <c r="O16" s="454"/>
      <c r="P16" s="101"/>
      <c r="Q16" s="101"/>
      <c r="R16" s="454"/>
      <c r="S16" s="101"/>
      <c r="T16" s="101"/>
      <c r="U16" s="454"/>
      <c r="V16" s="101"/>
      <c r="W16" s="101"/>
      <c r="X16" s="454"/>
      <c r="Y16" s="101"/>
      <c r="Z16" s="101"/>
      <c r="AA16" s="454"/>
      <c r="AB16" s="101"/>
      <c r="AC16" s="101"/>
      <c r="AD16" s="454">
        <v>10.3</v>
      </c>
      <c r="AE16" s="101">
        <v>10.4</v>
      </c>
      <c r="AF16" s="101"/>
      <c r="AG16" s="454"/>
      <c r="AH16" s="101"/>
      <c r="AI16" s="101"/>
      <c r="AJ16" s="454"/>
      <c r="AK16" s="101"/>
      <c r="AL16" s="101"/>
      <c r="AM16" s="455">
        <f t="shared" si="0"/>
        <v>20.700000000000003</v>
      </c>
      <c r="AO16" s="426">
        <v>6.9</v>
      </c>
      <c r="AP16" s="426">
        <v>13.8</v>
      </c>
      <c r="AQ16" s="427">
        <v>20.700000000000003</v>
      </c>
    </row>
    <row r="17" spans="2:43" ht="20.100000000000001" customHeight="1" x14ac:dyDescent="0.15">
      <c r="B17" s="100" t="s">
        <v>320</v>
      </c>
      <c r="C17" s="454"/>
      <c r="D17" s="101"/>
      <c r="E17" s="101"/>
      <c r="F17" s="454"/>
      <c r="G17" s="101"/>
      <c r="H17" s="101"/>
      <c r="I17" s="454"/>
      <c r="J17" s="101"/>
      <c r="K17" s="101"/>
      <c r="L17" s="454"/>
      <c r="M17" s="101"/>
      <c r="N17" s="101"/>
      <c r="O17" s="454"/>
      <c r="P17" s="101"/>
      <c r="Q17" s="101"/>
      <c r="R17" s="454"/>
      <c r="S17" s="101"/>
      <c r="T17" s="101"/>
      <c r="U17" s="454"/>
      <c r="V17" s="101"/>
      <c r="W17" s="101"/>
      <c r="X17" s="454"/>
      <c r="Y17" s="101"/>
      <c r="Z17" s="101"/>
      <c r="AA17" s="454"/>
      <c r="AB17" s="101"/>
      <c r="AC17" s="101"/>
      <c r="AD17" s="454"/>
      <c r="AE17" s="101"/>
      <c r="AF17" s="101"/>
      <c r="AG17" s="454"/>
      <c r="AH17" s="101"/>
      <c r="AI17" s="101"/>
      <c r="AJ17" s="454"/>
      <c r="AK17" s="101"/>
      <c r="AL17" s="101"/>
      <c r="AM17" s="455">
        <f t="shared" si="0"/>
        <v>0</v>
      </c>
      <c r="AO17" s="426"/>
      <c r="AP17" s="426"/>
      <c r="AQ17" s="427"/>
    </row>
    <row r="18" spans="2:43" ht="20.100000000000001" customHeight="1" x14ac:dyDescent="0.15">
      <c r="B18" s="100" t="s">
        <v>321</v>
      </c>
      <c r="C18" s="454"/>
      <c r="D18" s="101"/>
      <c r="E18" s="101"/>
      <c r="F18" s="454"/>
      <c r="G18" s="101"/>
      <c r="H18" s="101"/>
      <c r="I18" s="454"/>
      <c r="J18" s="101"/>
      <c r="K18" s="101"/>
      <c r="L18" s="454"/>
      <c r="M18" s="101"/>
      <c r="N18" s="101"/>
      <c r="O18" s="454"/>
      <c r="P18" s="101"/>
      <c r="Q18" s="101"/>
      <c r="R18" s="454"/>
      <c r="S18" s="101"/>
      <c r="T18" s="101"/>
      <c r="U18" s="454"/>
      <c r="V18" s="101"/>
      <c r="W18" s="101"/>
      <c r="X18" s="454"/>
      <c r="Y18" s="101"/>
      <c r="Z18" s="101"/>
      <c r="AA18" s="454"/>
      <c r="AB18" s="101"/>
      <c r="AC18" s="101"/>
      <c r="AD18" s="454"/>
      <c r="AE18" s="101"/>
      <c r="AF18" s="101">
        <v>3.7</v>
      </c>
      <c r="AG18" s="454">
        <v>3.7</v>
      </c>
      <c r="AH18" s="101"/>
      <c r="AI18" s="101"/>
      <c r="AJ18" s="454"/>
      <c r="AK18" s="101"/>
      <c r="AL18" s="101"/>
      <c r="AM18" s="455">
        <f t="shared" si="0"/>
        <v>7.4</v>
      </c>
      <c r="AO18" s="426">
        <v>1.2</v>
      </c>
      <c r="AP18" s="426">
        <v>1.2</v>
      </c>
      <c r="AQ18" s="427">
        <v>2.4</v>
      </c>
    </row>
    <row r="19" spans="2:43" ht="20.100000000000001" customHeight="1" x14ac:dyDescent="0.15">
      <c r="B19" s="100" t="s">
        <v>178</v>
      </c>
      <c r="C19" s="454"/>
      <c r="D19" s="101"/>
      <c r="E19" s="101"/>
      <c r="F19" s="454">
        <v>2</v>
      </c>
      <c r="G19" s="101"/>
      <c r="H19" s="101"/>
      <c r="I19" s="454"/>
      <c r="J19" s="101"/>
      <c r="K19" s="101"/>
      <c r="L19" s="454"/>
      <c r="M19" s="101"/>
      <c r="N19" s="101"/>
      <c r="O19" s="454"/>
      <c r="P19" s="101"/>
      <c r="Q19" s="101"/>
      <c r="R19" s="454"/>
      <c r="S19" s="101"/>
      <c r="T19" s="101"/>
      <c r="U19" s="454"/>
      <c r="V19" s="101"/>
      <c r="W19" s="101"/>
      <c r="X19" s="454"/>
      <c r="Y19" s="101"/>
      <c r="Z19" s="101"/>
      <c r="AA19" s="454"/>
      <c r="AB19" s="101"/>
      <c r="AC19" s="101"/>
      <c r="AD19" s="454"/>
      <c r="AE19" s="101"/>
      <c r="AF19" s="101"/>
      <c r="AG19" s="454"/>
      <c r="AH19" s="101"/>
      <c r="AI19" s="101"/>
      <c r="AJ19" s="454"/>
      <c r="AK19" s="101"/>
      <c r="AL19" s="101"/>
      <c r="AM19" s="455">
        <f t="shared" si="0"/>
        <v>2</v>
      </c>
      <c r="AO19" s="426"/>
      <c r="AP19" s="426">
        <v>2</v>
      </c>
      <c r="AQ19" s="427">
        <v>2</v>
      </c>
    </row>
    <row r="20" spans="2:43" ht="20.100000000000001" customHeight="1" x14ac:dyDescent="0.15">
      <c r="B20" s="100"/>
      <c r="C20" s="454"/>
      <c r="D20" s="101"/>
      <c r="E20" s="101"/>
      <c r="F20" s="454"/>
      <c r="G20" s="101"/>
      <c r="H20" s="101"/>
      <c r="I20" s="454"/>
      <c r="J20" s="101"/>
      <c r="K20" s="101"/>
      <c r="L20" s="454"/>
      <c r="M20" s="101"/>
      <c r="N20" s="101"/>
      <c r="O20" s="454"/>
      <c r="P20" s="101"/>
      <c r="Q20" s="101"/>
      <c r="R20" s="454"/>
      <c r="S20" s="101"/>
      <c r="T20" s="101"/>
      <c r="U20" s="454"/>
      <c r="V20" s="101"/>
      <c r="W20" s="101"/>
      <c r="X20" s="454"/>
      <c r="Y20" s="101"/>
      <c r="Z20" s="101"/>
      <c r="AA20" s="454"/>
      <c r="AB20" s="101"/>
      <c r="AC20" s="101"/>
      <c r="AD20" s="454"/>
      <c r="AE20" s="101"/>
      <c r="AF20" s="101"/>
      <c r="AG20" s="454"/>
      <c r="AH20" s="101"/>
      <c r="AI20" s="101"/>
      <c r="AJ20" s="454"/>
      <c r="AK20" s="101"/>
      <c r="AL20" s="101"/>
      <c r="AM20" s="455">
        <f t="shared" si="0"/>
        <v>0</v>
      </c>
      <c r="AO20" s="427"/>
      <c r="AP20" s="427"/>
      <c r="AQ20" s="427">
        <f t="shared" ref="AQ20:AQ33" si="1">SUM(AO20:AP20)</f>
        <v>0</v>
      </c>
    </row>
    <row r="21" spans="2:43" ht="20.100000000000001" customHeight="1" x14ac:dyDescent="0.15">
      <c r="B21" s="100"/>
      <c r="C21" s="454"/>
      <c r="D21" s="101"/>
      <c r="E21" s="101"/>
      <c r="F21" s="454"/>
      <c r="G21" s="101"/>
      <c r="H21" s="101"/>
      <c r="I21" s="454"/>
      <c r="J21" s="101"/>
      <c r="K21" s="101"/>
      <c r="L21" s="454"/>
      <c r="M21" s="101"/>
      <c r="N21" s="101"/>
      <c r="O21" s="454"/>
      <c r="P21" s="101"/>
      <c r="Q21" s="101"/>
      <c r="R21" s="454"/>
      <c r="S21" s="101"/>
      <c r="T21" s="101"/>
      <c r="U21" s="454"/>
      <c r="V21" s="101"/>
      <c r="W21" s="101"/>
      <c r="X21" s="454"/>
      <c r="Y21" s="101"/>
      <c r="Z21" s="101"/>
      <c r="AA21" s="454"/>
      <c r="AB21" s="101"/>
      <c r="AC21" s="101"/>
      <c r="AD21" s="454"/>
      <c r="AE21" s="101"/>
      <c r="AF21" s="101"/>
      <c r="AG21" s="454"/>
      <c r="AH21" s="101"/>
      <c r="AI21" s="101"/>
      <c r="AJ21" s="454"/>
      <c r="AK21" s="101"/>
      <c r="AL21" s="101"/>
      <c r="AM21" s="455">
        <f t="shared" si="0"/>
        <v>0</v>
      </c>
      <c r="AO21" s="427"/>
      <c r="AP21" s="427"/>
      <c r="AQ21" s="427">
        <f t="shared" si="1"/>
        <v>0</v>
      </c>
    </row>
    <row r="22" spans="2:43" ht="20.100000000000001" customHeight="1" x14ac:dyDescent="0.15">
      <c r="B22" s="100"/>
      <c r="C22" s="454"/>
      <c r="D22" s="101"/>
      <c r="E22" s="101"/>
      <c r="F22" s="454"/>
      <c r="G22" s="101"/>
      <c r="H22" s="101"/>
      <c r="I22" s="454"/>
      <c r="J22" s="101"/>
      <c r="K22" s="101"/>
      <c r="L22" s="454"/>
      <c r="M22" s="101"/>
      <c r="N22" s="101"/>
      <c r="O22" s="454"/>
      <c r="P22" s="101"/>
      <c r="Q22" s="101"/>
      <c r="R22" s="454"/>
      <c r="S22" s="101"/>
      <c r="T22" s="101"/>
      <c r="U22" s="454"/>
      <c r="V22" s="101"/>
      <c r="W22" s="101"/>
      <c r="X22" s="454"/>
      <c r="Y22" s="101"/>
      <c r="Z22" s="101"/>
      <c r="AA22" s="454"/>
      <c r="AB22" s="101"/>
      <c r="AC22" s="101"/>
      <c r="AD22" s="454"/>
      <c r="AE22" s="101"/>
      <c r="AF22" s="101"/>
      <c r="AG22" s="454"/>
      <c r="AH22" s="101"/>
      <c r="AI22" s="101"/>
      <c r="AJ22" s="454"/>
      <c r="AK22" s="101"/>
      <c r="AL22" s="101"/>
      <c r="AM22" s="455">
        <f t="shared" si="0"/>
        <v>0</v>
      </c>
      <c r="AO22" s="427"/>
      <c r="AP22" s="427"/>
      <c r="AQ22" s="427">
        <f t="shared" si="1"/>
        <v>0</v>
      </c>
    </row>
    <row r="23" spans="2:43" ht="20.100000000000001" customHeight="1" x14ac:dyDescent="0.15">
      <c r="B23" s="100"/>
      <c r="C23" s="454"/>
      <c r="D23" s="101"/>
      <c r="E23" s="101"/>
      <c r="F23" s="454"/>
      <c r="G23" s="101"/>
      <c r="H23" s="101"/>
      <c r="I23" s="454"/>
      <c r="J23" s="101"/>
      <c r="K23" s="101"/>
      <c r="L23" s="454"/>
      <c r="M23" s="101"/>
      <c r="N23" s="101"/>
      <c r="O23" s="454"/>
      <c r="P23" s="101"/>
      <c r="Q23" s="101"/>
      <c r="R23" s="454"/>
      <c r="S23" s="101"/>
      <c r="T23" s="101"/>
      <c r="U23" s="454"/>
      <c r="V23" s="101"/>
      <c r="W23" s="101"/>
      <c r="X23" s="454"/>
      <c r="Y23" s="101"/>
      <c r="Z23" s="101"/>
      <c r="AA23" s="454"/>
      <c r="AB23" s="101"/>
      <c r="AC23" s="101"/>
      <c r="AD23" s="454"/>
      <c r="AE23" s="101"/>
      <c r="AF23" s="101"/>
      <c r="AG23" s="454"/>
      <c r="AH23" s="101"/>
      <c r="AI23" s="101"/>
      <c r="AJ23" s="454"/>
      <c r="AK23" s="101"/>
      <c r="AL23" s="101"/>
      <c r="AM23" s="455">
        <f t="shared" si="0"/>
        <v>0</v>
      </c>
      <c r="AO23" s="427"/>
      <c r="AP23" s="427"/>
      <c r="AQ23" s="427">
        <f t="shared" si="1"/>
        <v>0</v>
      </c>
    </row>
    <row r="24" spans="2:43" ht="20.100000000000001" customHeight="1" x14ac:dyDescent="0.15">
      <c r="B24" s="100"/>
      <c r="C24" s="454"/>
      <c r="D24" s="101"/>
      <c r="E24" s="101"/>
      <c r="F24" s="454"/>
      <c r="G24" s="101"/>
      <c r="H24" s="101"/>
      <c r="I24" s="454"/>
      <c r="J24" s="101"/>
      <c r="K24" s="101"/>
      <c r="L24" s="454"/>
      <c r="M24" s="101"/>
      <c r="N24" s="101"/>
      <c r="O24" s="454"/>
      <c r="P24" s="101"/>
      <c r="Q24" s="101"/>
      <c r="R24" s="454"/>
      <c r="S24" s="101"/>
      <c r="T24" s="101"/>
      <c r="U24" s="454"/>
      <c r="V24" s="101"/>
      <c r="W24" s="101"/>
      <c r="X24" s="454"/>
      <c r="Y24" s="101"/>
      <c r="Z24" s="101"/>
      <c r="AA24" s="454"/>
      <c r="AB24" s="101"/>
      <c r="AC24" s="101"/>
      <c r="AD24" s="454"/>
      <c r="AE24" s="101"/>
      <c r="AF24" s="101"/>
      <c r="AG24" s="454"/>
      <c r="AH24" s="101"/>
      <c r="AI24" s="101"/>
      <c r="AJ24" s="454"/>
      <c r="AK24" s="101"/>
      <c r="AL24" s="101"/>
      <c r="AM24" s="455">
        <f t="shared" si="0"/>
        <v>0</v>
      </c>
      <c r="AO24" s="427"/>
      <c r="AP24" s="427"/>
      <c r="AQ24" s="427">
        <f t="shared" si="1"/>
        <v>0</v>
      </c>
    </row>
    <row r="25" spans="2:43" ht="20.100000000000001" customHeight="1" x14ac:dyDescent="0.15">
      <c r="B25" s="100"/>
      <c r="C25" s="454"/>
      <c r="D25" s="101"/>
      <c r="E25" s="101"/>
      <c r="F25" s="454"/>
      <c r="G25" s="101"/>
      <c r="H25" s="101"/>
      <c r="I25" s="454"/>
      <c r="J25" s="101"/>
      <c r="K25" s="101"/>
      <c r="L25" s="454"/>
      <c r="M25" s="101"/>
      <c r="N25" s="101"/>
      <c r="O25" s="454"/>
      <c r="P25" s="101"/>
      <c r="Q25" s="101"/>
      <c r="R25" s="454"/>
      <c r="S25" s="101"/>
      <c r="T25" s="101"/>
      <c r="U25" s="454"/>
      <c r="V25" s="101"/>
      <c r="W25" s="101"/>
      <c r="X25" s="454"/>
      <c r="Y25" s="101"/>
      <c r="Z25" s="101"/>
      <c r="AA25" s="454"/>
      <c r="AB25" s="101"/>
      <c r="AC25" s="101"/>
      <c r="AD25" s="454"/>
      <c r="AE25" s="101"/>
      <c r="AF25" s="101"/>
      <c r="AG25" s="454"/>
      <c r="AH25" s="101"/>
      <c r="AI25" s="101"/>
      <c r="AJ25" s="454"/>
      <c r="AK25" s="101"/>
      <c r="AL25" s="101"/>
      <c r="AM25" s="455">
        <f t="shared" si="0"/>
        <v>0</v>
      </c>
      <c r="AO25" s="427"/>
      <c r="AP25" s="427"/>
      <c r="AQ25" s="427">
        <f t="shared" si="1"/>
        <v>0</v>
      </c>
    </row>
    <row r="26" spans="2:43" ht="20.100000000000001" customHeight="1" x14ac:dyDescent="0.15">
      <c r="B26" s="100"/>
      <c r="C26" s="454"/>
      <c r="D26" s="101"/>
      <c r="E26" s="101"/>
      <c r="F26" s="454"/>
      <c r="G26" s="101"/>
      <c r="H26" s="101"/>
      <c r="I26" s="454"/>
      <c r="J26" s="101"/>
      <c r="K26" s="101"/>
      <c r="L26" s="454"/>
      <c r="M26" s="101"/>
      <c r="N26" s="101"/>
      <c r="O26" s="454"/>
      <c r="P26" s="101"/>
      <c r="Q26" s="101"/>
      <c r="R26" s="454"/>
      <c r="S26" s="101"/>
      <c r="T26" s="101"/>
      <c r="U26" s="454"/>
      <c r="V26" s="101"/>
      <c r="W26" s="101"/>
      <c r="X26" s="454"/>
      <c r="Y26" s="101"/>
      <c r="Z26" s="101"/>
      <c r="AA26" s="454"/>
      <c r="AB26" s="101"/>
      <c r="AC26" s="101"/>
      <c r="AD26" s="454"/>
      <c r="AE26" s="101"/>
      <c r="AF26" s="101"/>
      <c r="AG26" s="454"/>
      <c r="AH26" s="101"/>
      <c r="AI26" s="101"/>
      <c r="AJ26" s="454"/>
      <c r="AK26" s="101"/>
      <c r="AL26" s="101"/>
      <c r="AM26" s="455">
        <f t="shared" si="0"/>
        <v>0</v>
      </c>
      <c r="AO26" s="427"/>
      <c r="AP26" s="427"/>
      <c r="AQ26" s="427">
        <f t="shared" si="1"/>
        <v>0</v>
      </c>
    </row>
    <row r="27" spans="2:43" ht="20.100000000000001" customHeight="1" x14ac:dyDescent="0.15">
      <c r="B27" s="100"/>
      <c r="C27" s="454"/>
      <c r="D27" s="101"/>
      <c r="E27" s="101"/>
      <c r="F27" s="454"/>
      <c r="G27" s="101"/>
      <c r="H27" s="101"/>
      <c r="I27" s="454"/>
      <c r="J27" s="101"/>
      <c r="K27" s="101"/>
      <c r="L27" s="454"/>
      <c r="M27" s="101"/>
      <c r="N27" s="101"/>
      <c r="O27" s="454"/>
      <c r="P27" s="101"/>
      <c r="Q27" s="101"/>
      <c r="R27" s="454"/>
      <c r="S27" s="101"/>
      <c r="T27" s="101"/>
      <c r="U27" s="454"/>
      <c r="V27" s="101"/>
      <c r="W27" s="101"/>
      <c r="X27" s="454"/>
      <c r="Y27" s="101"/>
      <c r="Z27" s="101"/>
      <c r="AA27" s="454"/>
      <c r="AB27" s="101"/>
      <c r="AC27" s="101"/>
      <c r="AD27" s="454"/>
      <c r="AE27" s="101"/>
      <c r="AF27" s="101"/>
      <c r="AG27" s="454"/>
      <c r="AH27" s="101"/>
      <c r="AI27" s="101"/>
      <c r="AJ27" s="454"/>
      <c r="AK27" s="101"/>
      <c r="AL27" s="101"/>
      <c r="AM27" s="455">
        <f t="shared" si="0"/>
        <v>0</v>
      </c>
      <c r="AO27" s="427"/>
      <c r="AP27" s="427"/>
      <c r="AQ27" s="427">
        <f t="shared" si="1"/>
        <v>0</v>
      </c>
    </row>
    <row r="28" spans="2:43" ht="20.100000000000001" customHeight="1" x14ac:dyDescent="0.15">
      <c r="B28" s="100"/>
      <c r="C28" s="454"/>
      <c r="D28" s="101"/>
      <c r="E28" s="101"/>
      <c r="F28" s="454"/>
      <c r="G28" s="101"/>
      <c r="H28" s="101"/>
      <c r="I28" s="454"/>
      <c r="J28" s="101"/>
      <c r="K28" s="101"/>
      <c r="L28" s="454"/>
      <c r="M28" s="101"/>
      <c r="N28" s="101"/>
      <c r="O28" s="454"/>
      <c r="P28" s="101"/>
      <c r="Q28" s="101"/>
      <c r="R28" s="454"/>
      <c r="S28" s="101"/>
      <c r="T28" s="101"/>
      <c r="U28" s="454"/>
      <c r="V28" s="101"/>
      <c r="W28" s="101"/>
      <c r="X28" s="454"/>
      <c r="Y28" s="101"/>
      <c r="Z28" s="101"/>
      <c r="AA28" s="454"/>
      <c r="AB28" s="101"/>
      <c r="AC28" s="101"/>
      <c r="AD28" s="454"/>
      <c r="AE28" s="101"/>
      <c r="AF28" s="101"/>
      <c r="AG28" s="454"/>
      <c r="AH28" s="101"/>
      <c r="AI28" s="101"/>
      <c r="AJ28" s="454"/>
      <c r="AK28" s="101"/>
      <c r="AL28" s="101"/>
      <c r="AM28" s="455">
        <f t="shared" si="0"/>
        <v>0</v>
      </c>
      <c r="AO28" s="427"/>
      <c r="AP28" s="427"/>
      <c r="AQ28" s="427">
        <f t="shared" si="1"/>
        <v>0</v>
      </c>
    </row>
    <row r="29" spans="2:43" ht="20.100000000000001" customHeight="1" x14ac:dyDescent="0.15">
      <c r="B29" s="100"/>
      <c r="C29" s="454"/>
      <c r="D29" s="101"/>
      <c r="E29" s="101"/>
      <c r="F29" s="454"/>
      <c r="G29" s="101"/>
      <c r="H29" s="101"/>
      <c r="I29" s="454"/>
      <c r="J29" s="101"/>
      <c r="K29" s="101"/>
      <c r="L29" s="454"/>
      <c r="M29" s="101"/>
      <c r="N29" s="101"/>
      <c r="O29" s="454"/>
      <c r="P29" s="101"/>
      <c r="Q29" s="101"/>
      <c r="R29" s="454"/>
      <c r="S29" s="101"/>
      <c r="T29" s="101"/>
      <c r="U29" s="454"/>
      <c r="V29" s="101"/>
      <c r="W29" s="101"/>
      <c r="X29" s="454"/>
      <c r="Y29" s="101"/>
      <c r="Z29" s="101">
        <v>1.5</v>
      </c>
      <c r="AA29" s="454"/>
      <c r="AB29" s="101"/>
      <c r="AC29" s="101"/>
      <c r="AD29" s="454"/>
      <c r="AE29" s="101"/>
      <c r="AF29" s="101"/>
      <c r="AG29" s="454"/>
      <c r="AH29" s="101"/>
      <c r="AI29" s="101"/>
      <c r="AJ29" s="454"/>
      <c r="AK29" s="101"/>
      <c r="AL29" s="101"/>
      <c r="AM29" s="455">
        <f t="shared" si="0"/>
        <v>1.5</v>
      </c>
      <c r="AO29" s="427"/>
      <c r="AP29" s="427"/>
      <c r="AQ29" s="427">
        <f t="shared" si="1"/>
        <v>0</v>
      </c>
    </row>
    <row r="30" spans="2:43" ht="20.100000000000001" customHeight="1" x14ac:dyDescent="0.15">
      <c r="B30" s="100"/>
      <c r="C30" s="454"/>
      <c r="D30" s="101"/>
      <c r="E30" s="101"/>
      <c r="F30" s="454"/>
      <c r="G30" s="101"/>
      <c r="H30" s="101"/>
      <c r="I30" s="454"/>
      <c r="J30" s="101"/>
      <c r="K30" s="101"/>
      <c r="L30" s="454"/>
      <c r="M30" s="101"/>
      <c r="N30" s="101"/>
      <c r="O30" s="454"/>
      <c r="P30" s="101"/>
      <c r="Q30" s="101"/>
      <c r="R30" s="454"/>
      <c r="S30" s="101"/>
      <c r="T30" s="101"/>
      <c r="U30" s="454"/>
      <c r="V30" s="101"/>
      <c r="W30" s="101"/>
      <c r="X30" s="454"/>
      <c r="Y30" s="101"/>
      <c r="Z30" s="101"/>
      <c r="AA30" s="454"/>
      <c r="AB30" s="101"/>
      <c r="AC30" s="101"/>
      <c r="AD30" s="454"/>
      <c r="AE30" s="101"/>
      <c r="AF30" s="101"/>
      <c r="AG30" s="454"/>
      <c r="AH30" s="101"/>
      <c r="AI30" s="101"/>
      <c r="AJ30" s="454"/>
      <c r="AK30" s="101"/>
      <c r="AL30" s="101"/>
      <c r="AM30" s="455">
        <f t="shared" si="0"/>
        <v>0</v>
      </c>
      <c r="AO30" s="427"/>
      <c r="AP30" s="427"/>
      <c r="AQ30" s="427">
        <f t="shared" si="1"/>
        <v>0</v>
      </c>
    </row>
    <row r="31" spans="2:43" ht="20.100000000000001" customHeight="1" x14ac:dyDescent="0.15">
      <c r="B31" s="100"/>
      <c r="C31" s="454"/>
      <c r="D31" s="101"/>
      <c r="E31" s="101"/>
      <c r="F31" s="454"/>
      <c r="G31" s="101"/>
      <c r="H31" s="101"/>
      <c r="I31" s="454"/>
      <c r="J31" s="101"/>
      <c r="K31" s="101"/>
      <c r="L31" s="454"/>
      <c r="M31" s="101"/>
      <c r="N31" s="101"/>
      <c r="O31" s="454"/>
      <c r="P31" s="101"/>
      <c r="Q31" s="101"/>
      <c r="R31" s="454"/>
      <c r="S31" s="101"/>
      <c r="T31" s="101"/>
      <c r="U31" s="454"/>
      <c r="V31" s="101"/>
      <c r="W31" s="101"/>
      <c r="X31" s="454"/>
      <c r="Y31" s="101"/>
      <c r="Z31" s="101"/>
      <c r="AA31" s="454"/>
      <c r="AB31" s="101"/>
      <c r="AC31" s="101"/>
      <c r="AD31" s="454"/>
      <c r="AE31" s="101"/>
      <c r="AF31" s="101"/>
      <c r="AG31" s="454"/>
      <c r="AH31" s="101"/>
      <c r="AI31" s="101"/>
      <c r="AJ31" s="454"/>
      <c r="AK31" s="101"/>
      <c r="AL31" s="101"/>
      <c r="AM31" s="455">
        <f t="shared" si="0"/>
        <v>0</v>
      </c>
      <c r="AO31" s="427"/>
      <c r="AP31" s="427"/>
      <c r="AQ31" s="427">
        <f t="shared" si="1"/>
        <v>0</v>
      </c>
    </row>
    <row r="32" spans="2:43" ht="20.100000000000001" customHeight="1" x14ac:dyDescent="0.15">
      <c r="B32" s="100"/>
      <c r="C32" s="454"/>
      <c r="D32" s="101"/>
      <c r="E32" s="101"/>
      <c r="F32" s="454"/>
      <c r="G32" s="101"/>
      <c r="H32" s="101"/>
      <c r="I32" s="454"/>
      <c r="J32" s="101"/>
      <c r="K32" s="101"/>
      <c r="L32" s="454"/>
      <c r="M32" s="101"/>
      <c r="N32" s="101"/>
      <c r="O32" s="454"/>
      <c r="P32" s="101"/>
      <c r="Q32" s="101"/>
      <c r="R32" s="454"/>
      <c r="S32" s="101"/>
      <c r="T32" s="101"/>
      <c r="U32" s="454"/>
      <c r="V32" s="101"/>
      <c r="W32" s="101"/>
      <c r="X32" s="454"/>
      <c r="Y32" s="101"/>
      <c r="Z32" s="101"/>
      <c r="AA32" s="454"/>
      <c r="AB32" s="101"/>
      <c r="AC32" s="101"/>
      <c r="AD32" s="454"/>
      <c r="AE32" s="101"/>
      <c r="AF32" s="101"/>
      <c r="AG32" s="454"/>
      <c r="AH32" s="101"/>
      <c r="AI32" s="101"/>
      <c r="AJ32" s="454"/>
      <c r="AK32" s="101"/>
      <c r="AL32" s="101"/>
      <c r="AM32" s="455">
        <f t="shared" si="0"/>
        <v>0</v>
      </c>
      <c r="AO32" s="427"/>
      <c r="AP32" s="427"/>
      <c r="AQ32" s="427">
        <f t="shared" si="1"/>
        <v>0</v>
      </c>
    </row>
    <row r="33" spans="2:43" ht="20.100000000000001" customHeight="1" x14ac:dyDescent="0.15">
      <c r="B33" s="102" t="s">
        <v>134</v>
      </c>
      <c r="C33" s="454">
        <f t="shared" ref="C33:AL33" si="2">SUM(C8:C32)</f>
        <v>0</v>
      </c>
      <c r="D33" s="103">
        <f t="shared" si="2"/>
        <v>0</v>
      </c>
      <c r="E33" s="456">
        <f t="shared" si="2"/>
        <v>0</v>
      </c>
      <c r="F33" s="454">
        <f t="shared" si="2"/>
        <v>2</v>
      </c>
      <c r="G33" s="103">
        <f t="shared" si="2"/>
        <v>1.9</v>
      </c>
      <c r="H33" s="456">
        <f t="shared" si="2"/>
        <v>1.9</v>
      </c>
      <c r="I33" s="454">
        <f t="shared" si="2"/>
        <v>1.9</v>
      </c>
      <c r="J33" s="103">
        <f t="shared" si="2"/>
        <v>1.9</v>
      </c>
      <c r="K33" s="456">
        <f t="shared" si="2"/>
        <v>0</v>
      </c>
      <c r="L33" s="454">
        <f t="shared" si="2"/>
        <v>0</v>
      </c>
      <c r="M33" s="103">
        <f t="shared" si="2"/>
        <v>0</v>
      </c>
      <c r="N33" s="456">
        <f t="shared" si="2"/>
        <v>6.9</v>
      </c>
      <c r="O33" s="454">
        <f t="shared" si="2"/>
        <v>7.8</v>
      </c>
      <c r="P33" s="103">
        <f t="shared" si="2"/>
        <v>14.100000000000001</v>
      </c>
      <c r="Q33" s="456">
        <f t="shared" si="2"/>
        <v>11</v>
      </c>
      <c r="R33" s="454">
        <f t="shared" si="2"/>
        <v>0</v>
      </c>
      <c r="S33" s="103">
        <f t="shared" si="2"/>
        <v>0</v>
      </c>
      <c r="T33" s="456">
        <f t="shared" si="2"/>
        <v>0</v>
      </c>
      <c r="U33" s="454">
        <f t="shared" si="2"/>
        <v>0</v>
      </c>
      <c r="V33" s="103">
        <f t="shared" si="2"/>
        <v>0</v>
      </c>
      <c r="W33" s="456">
        <f t="shared" si="2"/>
        <v>0</v>
      </c>
      <c r="X33" s="454">
        <f t="shared" si="2"/>
        <v>3.4</v>
      </c>
      <c r="Y33" s="103">
        <f t="shared" si="2"/>
        <v>0</v>
      </c>
      <c r="Z33" s="456">
        <f t="shared" si="2"/>
        <v>4.9000000000000004</v>
      </c>
      <c r="AA33" s="454">
        <f t="shared" si="2"/>
        <v>0</v>
      </c>
      <c r="AB33" s="103">
        <f t="shared" si="2"/>
        <v>0</v>
      </c>
      <c r="AC33" s="456">
        <f t="shared" si="2"/>
        <v>0</v>
      </c>
      <c r="AD33" s="454">
        <f t="shared" si="2"/>
        <v>10.3</v>
      </c>
      <c r="AE33" s="103">
        <f t="shared" si="2"/>
        <v>10.4</v>
      </c>
      <c r="AF33" s="456">
        <f t="shared" si="2"/>
        <v>3.7</v>
      </c>
      <c r="AG33" s="454">
        <f t="shared" si="2"/>
        <v>3.7</v>
      </c>
      <c r="AH33" s="103">
        <f t="shared" si="2"/>
        <v>2.4</v>
      </c>
      <c r="AI33" s="456">
        <f t="shared" si="2"/>
        <v>2.4</v>
      </c>
      <c r="AJ33" s="454">
        <f t="shared" si="2"/>
        <v>2.2999999999999998</v>
      </c>
      <c r="AK33" s="103">
        <f t="shared" si="2"/>
        <v>0</v>
      </c>
      <c r="AL33" s="456">
        <f t="shared" si="2"/>
        <v>0</v>
      </c>
      <c r="AM33" s="455">
        <f t="shared" si="0"/>
        <v>92.90000000000002</v>
      </c>
      <c r="AO33" s="427"/>
      <c r="AP33" s="427"/>
      <c r="AQ33" s="427">
        <f t="shared" si="1"/>
        <v>0</v>
      </c>
    </row>
    <row r="34" spans="2:43" ht="20.100000000000001" customHeight="1" thickBot="1" x14ac:dyDescent="0.2">
      <c r="B34" s="104" t="s">
        <v>135</v>
      </c>
      <c r="C34" s="105"/>
      <c r="D34" s="106">
        <f>SUM(C33:E33)</f>
        <v>0</v>
      </c>
      <c r="E34" s="106"/>
      <c r="F34" s="105"/>
      <c r="G34" s="106">
        <f>SUM(F33:H33)</f>
        <v>5.8</v>
      </c>
      <c r="H34" s="106"/>
      <c r="I34" s="105"/>
      <c r="J34" s="106">
        <f>SUM(I33:K33)</f>
        <v>3.8</v>
      </c>
      <c r="K34" s="106"/>
      <c r="L34" s="105"/>
      <c r="M34" s="106">
        <f>SUM(L33:N33)</f>
        <v>6.9</v>
      </c>
      <c r="N34" s="106"/>
      <c r="O34" s="105"/>
      <c r="P34" s="106">
        <f>SUM(O33:Q33)</f>
        <v>32.900000000000006</v>
      </c>
      <c r="Q34" s="106"/>
      <c r="R34" s="105"/>
      <c r="S34" s="106">
        <f>SUM(R33:T33)</f>
        <v>0</v>
      </c>
      <c r="T34" s="106"/>
      <c r="U34" s="105"/>
      <c r="V34" s="106">
        <f>SUM(U33:W33)</f>
        <v>0</v>
      </c>
      <c r="W34" s="106"/>
      <c r="X34" s="105"/>
      <c r="Y34" s="106">
        <f>SUM(X33:Z33)</f>
        <v>8.3000000000000007</v>
      </c>
      <c r="Z34" s="106"/>
      <c r="AA34" s="105"/>
      <c r="AB34" s="106">
        <f>SUM(AA33:AC33)</f>
        <v>0</v>
      </c>
      <c r="AC34" s="106"/>
      <c r="AD34" s="105"/>
      <c r="AE34" s="106">
        <f>SUM(AD33:AF33)</f>
        <v>24.400000000000002</v>
      </c>
      <c r="AF34" s="106"/>
      <c r="AG34" s="105"/>
      <c r="AH34" s="106">
        <f>SUM(AG33:AI33)</f>
        <v>8.5</v>
      </c>
      <c r="AI34" s="106"/>
      <c r="AJ34" s="105"/>
      <c r="AK34" s="106">
        <f>SUM(AJ33:AL33)</f>
        <v>2.2999999999999998</v>
      </c>
      <c r="AL34" s="106"/>
      <c r="AM34" s="107">
        <f>SUM(AM8:AM32)</f>
        <v>92.9</v>
      </c>
      <c r="AO34" s="427">
        <f>SUM(AO8:AO32)</f>
        <v>33.900000000000006</v>
      </c>
      <c r="AP34" s="427">
        <f t="shared" ref="AP34" si="3">SUM(AP8:AP32)</f>
        <v>52.5</v>
      </c>
      <c r="AQ34" s="427">
        <f>SUM(AQ8:AQ33)</f>
        <v>86.4</v>
      </c>
    </row>
  </sheetData>
  <mergeCells count="18">
    <mergeCell ref="AD6:AE6"/>
    <mergeCell ref="L2:M2"/>
    <mergeCell ref="AJ3:AL3"/>
    <mergeCell ref="AM3:AM4"/>
    <mergeCell ref="AD3:AF3"/>
    <mergeCell ref="AG3:AI3"/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P6:Q6"/>
  </mergeCells>
  <phoneticPr fontId="4"/>
  <pageMargins left="0" right="0" top="0.78740157480314965" bottom="0" header="0.39370078740157483" footer="0.39370078740157483"/>
  <pageSetup paperSize="9" scale="58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Z52"/>
  <sheetViews>
    <sheetView zoomScale="75" zoomScaleNormal="75" workbookViewId="0">
      <pane xSplit="4" ySplit="15" topLeftCell="E16" activePane="bottomRight" state="frozen"/>
      <selection activeCell="E26" sqref="E25:N32"/>
      <selection pane="topRight" activeCell="E26" sqref="E25:N32"/>
      <selection pane="bottomLeft" activeCell="E26" sqref="E25:N32"/>
      <selection pane="bottomRight"/>
    </sheetView>
  </sheetViews>
  <sheetFormatPr defaultColWidth="9" defaultRowHeight="13.5" x14ac:dyDescent="0.15"/>
  <cols>
    <col min="1" max="1" width="1.625" style="10" customWidth="1"/>
    <col min="2" max="2" width="5" style="10" customWidth="1"/>
    <col min="3" max="3" width="22.5" style="10" bestFit="1" customWidth="1"/>
    <col min="4" max="4" width="30" style="10" bestFit="1" customWidth="1"/>
    <col min="5" max="6" width="6" style="10" bestFit="1" customWidth="1"/>
    <col min="7" max="7" width="17.625" style="10" customWidth="1"/>
    <col min="8" max="8" width="10.625" style="10" customWidth="1"/>
    <col min="9" max="9" width="17.625" style="10" customWidth="1"/>
    <col min="10" max="10" width="10.625" style="10" customWidth="1"/>
    <col min="11" max="11" width="15.125" style="12" bestFit="1" customWidth="1"/>
    <col min="12" max="12" width="17.625" style="10" customWidth="1"/>
    <col min="13" max="13" width="10.625" style="10" customWidth="1"/>
    <col min="14" max="14" width="17.625" style="10" customWidth="1"/>
    <col min="15" max="15" width="10.625" style="10" customWidth="1"/>
    <col min="16" max="16" width="19.75" style="10" bestFit="1" customWidth="1"/>
    <col min="17" max="17" width="3.5" style="10" customWidth="1"/>
    <col min="18" max="18" width="16" style="10" customWidth="1"/>
    <col min="19" max="19" width="13.75" style="10" customWidth="1"/>
    <col min="20" max="16384" width="9" style="10"/>
  </cols>
  <sheetData>
    <row r="1" spans="2:26" s="5" customFormat="1" ht="9.9499999999999993" customHeight="1" x14ac:dyDescent="0.15">
      <c r="K1" s="6"/>
    </row>
    <row r="2" spans="2:26" s="5" customFormat="1" ht="24.95" customHeight="1" thickBot="1" x14ac:dyDescent="0.2">
      <c r="B2" s="2" t="s">
        <v>500</v>
      </c>
      <c r="C2" s="7"/>
      <c r="D2" s="7"/>
      <c r="E2" s="8"/>
      <c r="F2" s="729"/>
      <c r="G2" s="730"/>
      <c r="H2" s="141" t="s">
        <v>259</v>
      </c>
      <c r="I2" s="3" t="s">
        <v>261</v>
      </c>
      <c r="J2" s="140"/>
      <c r="K2" s="141" t="s">
        <v>260</v>
      </c>
      <c r="L2" s="3" t="s">
        <v>262</v>
      </c>
      <c r="M2" s="9"/>
      <c r="P2" s="14"/>
      <c r="R2" s="85" t="s">
        <v>356</v>
      </c>
      <c r="S2" s="85" t="s">
        <v>347</v>
      </c>
    </row>
    <row r="3" spans="2:26" s="5" customFormat="1" x14ac:dyDescent="0.15">
      <c r="B3" s="731" t="s">
        <v>138</v>
      </c>
      <c r="C3" s="724" t="s">
        <v>38</v>
      </c>
      <c r="D3" s="733" t="s">
        <v>137</v>
      </c>
      <c r="E3" s="735" t="s">
        <v>39</v>
      </c>
      <c r="F3" s="736"/>
      <c r="G3" s="420" t="s">
        <v>40</v>
      </c>
      <c r="H3" s="18" t="s">
        <v>140</v>
      </c>
      <c r="I3" s="422" t="s">
        <v>139</v>
      </c>
      <c r="J3" s="724" t="s">
        <v>100</v>
      </c>
      <c r="K3" s="20" t="s">
        <v>101</v>
      </c>
      <c r="L3" s="19" t="s">
        <v>41</v>
      </c>
      <c r="M3" s="18" t="s">
        <v>144</v>
      </c>
      <c r="N3" s="19" t="s">
        <v>42</v>
      </c>
      <c r="O3" s="19" t="s">
        <v>43</v>
      </c>
      <c r="P3" s="354" t="s">
        <v>44</v>
      </c>
      <c r="S3" s="167" t="s">
        <v>348</v>
      </c>
      <c r="T3" s="167" t="s">
        <v>349</v>
      </c>
      <c r="U3" s="167" t="s">
        <v>350</v>
      </c>
      <c r="V3" s="167" t="s">
        <v>351</v>
      </c>
      <c r="W3" s="167" t="s">
        <v>352</v>
      </c>
      <c r="X3" s="167" t="s">
        <v>353</v>
      </c>
      <c r="Y3" s="167" t="s">
        <v>354</v>
      </c>
      <c r="Z3" s="85" t="s">
        <v>355</v>
      </c>
    </row>
    <row r="4" spans="2:26" x14ac:dyDescent="0.15">
      <c r="B4" s="732"/>
      <c r="C4" s="725"/>
      <c r="D4" s="734"/>
      <c r="E4" s="21" t="s">
        <v>102</v>
      </c>
      <c r="F4" s="21" t="s">
        <v>9</v>
      </c>
      <c r="G4" s="421" t="s">
        <v>142</v>
      </c>
      <c r="H4" s="22" t="s">
        <v>141</v>
      </c>
      <c r="I4" s="421" t="s">
        <v>148</v>
      </c>
      <c r="J4" s="725"/>
      <c r="K4" s="23" t="s">
        <v>143</v>
      </c>
      <c r="L4" s="22" t="s">
        <v>149</v>
      </c>
      <c r="M4" s="22" t="s">
        <v>145</v>
      </c>
      <c r="N4" s="22" t="s">
        <v>150</v>
      </c>
      <c r="O4" s="22" t="s">
        <v>146</v>
      </c>
      <c r="P4" s="355" t="s">
        <v>151</v>
      </c>
      <c r="R4" s="10">
        <f>SUM(S4:Z4)</f>
        <v>30</v>
      </c>
      <c r="S4" s="10">
        <f>'１　対象経営の概要，２　前提条件'!AB26+'１　対象経営の概要，２　前提条件'!AM26+'１　対象経営の概要，２　前提条件'!AB28</f>
        <v>15</v>
      </c>
      <c r="T4" s="10">
        <f>'１　対象経営の概要，２　前提条件'!AB27+'１　対象経営の概要，２　前提条件'!AM27</f>
        <v>5</v>
      </c>
      <c r="U4" s="10">
        <f>'１　対象経営の概要，２　前提条件'!AM28</f>
        <v>0</v>
      </c>
      <c r="V4" s="10">
        <f>'１　対象経営の概要，２　前提条件'!AM29+'１　対象経営の概要，２　前提条件'!AB30</f>
        <v>10</v>
      </c>
      <c r="W4" s="10">
        <f>'１　対象経営の概要，２　前提条件'!AM30</f>
        <v>0</v>
      </c>
      <c r="X4" s="10">
        <f>'１　対象経営の概要，２　前提条件'!F17</f>
        <v>0</v>
      </c>
      <c r="Y4" s="10">
        <f>'１　対象経営の概要，２　前提条件'!F18</f>
        <v>0</v>
      </c>
      <c r="Z4" s="10">
        <f>'１　対象経営の概要，２　前提条件'!F19</f>
        <v>0</v>
      </c>
    </row>
    <row r="5" spans="2:26" x14ac:dyDescent="0.15">
      <c r="B5" s="726" t="s">
        <v>198</v>
      </c>
      <c r="C5" s="432" t="s">
        <v>310</v>
      </c>
      <c r="D5" s="475" t="s">
        <v>105</v>
      </c>
      <c r="E5" s="475">
        <v>100</v>
      </c>
      <c r="F5" s="475" t="s">
        <v>106</v>
      </c>
      <c r="G5" s="475">
        <f>59400*E5</f>
        <v>5940000</v>
      </c>
      <c r="H5" s="512">
        <v>0</v>
      </c>
      <c r="I5" s="475">
        <f>G5*(1-H5)</f>
        <v>5940000</v>
      </c>
      <c r="J5" s="513">
        <f>SUM('１　対象経営の概要，２　前提条件'!$F$13:$F$16)</f>
        <v>30</v>
      </c>
      <c r="K5" s="514">
        <f t="shared" ref="K5:K7" si="0">30/30/30</f>
        <v>3.3333333333333333E-2</v>
      </c>
      <c r="L5" s="11">
        <f>I5*K5</f>
        <v>198000</v>
      </c>
      <c r="M5" s="25">
        <v>0</v>
      </c>
      <c r="N5" s="11">
        <f t="shared" ref="N5:N7" si="1">L5*M5/100</f>
        <v>0</v>
      </c>
      <c r="O5" s="11">
        <v>25</v>
      </c>
      <c r="P5" s="356">
        <f>IF(O5="","",(L5-N5)/O5)</f>
        <v>7920</v>
      </c>
    </row>
    <row r="6" spans="2:26" x14ac:dyDescent="0.15">
      <c r="B6" s="727"/>
      <c r="C6" s="475" t="s">
        <v>309</v>
      </c>
      <c r="D6" s="475" t="s">
        <v>105</v>
      </c>
      <c r="E6" s="475">
        <v>180</v>
      </c>
      <c r="F6" s="475" t="s">
        <v>106</v>
      </c>
      <c r="G6" s="475">
        <f>59400*E6</f>
        <v>10692000</v>
      </c>
      <c r="H6" s="512">
        <v>0</v>
      </c>
      <c r="I6" s="475">
        <f>G6*(1-H6)</f>
        <v>10692000</v>
      </c>
      <c r="J6" s="513">
        <f>SUM('１　対象経営の概要，２　前提条件'!$F$13:$F$16)</f>
        <v>30</v>
      </c>
      <c r="K6" s="514">
        <f t="shared" si="0"/>
        <v>3.3333333333333333E-2</v>
      </c>
      <c r="L6" s="11">
        <f t="shared" ref="L6:L7" si="2">I6*K6</f>
        <v>356400</v>
      </c>
      <c r="M6" s="25">
        <v>0</v>
      </c>
      <c r="N6" s="11">
        <f t="shared" si="1"/>
        <v>0</v>
      </c>
      <c r="O6" s="11">
        <v>25</v>
      </c>
      <c r="P6" s="356">
        <f t="shared" ref="P6" si="3">IF(O6="","",(L6-N6)/O6)</f>
        <v>14256</v>
      </c>
    </row>
    <row r="7" spans="2:26" x14ac:dyDescent="0.15">
      <c r="B7" s="727"/>
      <c r="C7" s="432" t="s">
        <v>275</v>
      </c>
      <c r="D7" s="475" t="s">
        <v>47</v>
      </c>
      <c r="E7" s="476">
        <v>725</v>
      </c>
      <c r="F7" s="515" t="s">
        <v>106</v>
      </c>
      <c r="G7" s="475">
        <f>2430*E7</f>
        <v>1761750</v>
      </c>
      <c r="H7" s="512">
        <v>0</v>
      </c>
      <c r="I7" s="475">
        <f t="shared" ref="I7" si="4">G7*(1-H7)</f>
        <v>1761750</v>
      </c>
      <c r="J7" s="513">
        <f>SUM('１　対象経営の概要，２　前提条件'!$F$13:$F$16)</f>
        <v>30</v>
      </c>
      <c r="K7" s="514">
        <f t="shared" si="0"/>
        <v>3.3333333333333333E-2</v>
      </c>
      <c r="L7" s="11">
        <f t="shared" si="2"/>
        <v>58725</v>
      </c>
      <c r="M7" s="25">
        <v>0</v>
      </c>
      <c r="N7" s="11">
        <f t="shared" si="1"/>
        <v>0</v>
      </c>
      <c r="O7" s="11">
        <v>25</v>
      </c>
      <c r="P7" s="356">
        <f t="shared" ref="P7" si="5">IF(O7="","",(L7-N7)/O7)</f>
        <v>2349</v>
      </c>
    </row>
    <row r="8" spans="2:26" x14ac:dyDescent="0.15">
      <c r="B8" s="727"/>
      <c r="C8" s="475"/>
      <c r="D8" s="475"/>
      <c r="E8" s="476"/>
      <c r="F8" s="515"/>
      <c r="G8" s="475"/>
      <c r="H8" s="512"/>
      <c r="I8" s="475"/>
      <c r="J8" s="475"/>
      <c r="K8" s="514"/>
      <c r="L8" s="11"/>
      <c r="M8" s="25"/>
      <c r="N8" s="11"/>
      <c r="O8" s="11"/>
      <c r="P8" s="356">
        <v>0</v>
      </c>
    </row>
    <row r="9" spans="2:26" x14ac:dyDescent="0.15">
      <c r="B9" s="727"/>
      <c r="C9" s="432"/>
      <c r="D9" s="475"/>
      <c r="E9" s="476"/>
      <c r="F9" s="515"/>
      <c r="G9" s="475"/>
      <c r="H9" s="512"/>
      <c r="I9" s="475"/>
      <c r="J9" s="432"/>
      <c r="K9" s="514"/>
      <c r="L9" s="11"/>
      <c r="M9" s="25"/>
      <c r="N9" s="11"/>
      <c r="O9" s="11"/>
      <c r="P9" s="356">
        <v>0</v>
      </c>
    </row>
    <row r="10" spans="2:26" x14ac:dyDescent="0.15">
      <c r="B10" s="727"/>
      <c r="C10" s="475"/>
      <c r="D10" s="475"/>
      <c r="E10" s="475"/>
      <c r="F10" s="483"/>
      <c r="G10" s="475"/>
      <c r="H10" s="512"/>
      <c r="I10" s="475"/>
      <c r="J10" s="475"/>
      <c r="K10" s="514"/>
      <c r="L10" s="11"/>
      <c r="M10" s="25"/>
      <c r="N10" s="11"/>
      <c r="O10" s="11"/>
      <c r="P10" s="356">
        <v>0</v>
      </c>
    </row>
    <row r="11" spans="2:26" x14ac:dyDescent="0.15">
      <c r="B11" s="727"/>
      <c r="C11" s="475"/>
      <c r="D11" s="475"/>
      <c r="E11" s="475"/>
      <c r="F11" s="475"/>
      <c r="G11" s="475"/>
      <c r="H11" s="512"/>
      <c r="I11" s="475"/>
      <c r="J11" s="475"/>
      <c r="K11" s="514"/>
      <c r="L11" s="11"/>
      <c r="M11" s="25"/>
      <c r="N11" s="11"/>
      <c r="O11" s="11"/>
      <c r="P11" s="356">
        <v>0</v>
      </c>
    </row>
    <row r="12" spans="2:26" x14ac:dyDescent="0.15">
      <c r="B12" s="727"/>
      <c r="C12" s="475"/>
      <c r="D12" s="475"/>
      <c r="E12" s="475"/>
      <c r="F12" s="483"/>
      <c r="G12" s="475"/>
      <c r="H12" s="512"/>
      <c r="I12" s="475"/>
      <c r="J12" s="483"/>
      <c r="K12" s="514"/>
      <c r="L12" s="11"/>
      <c r="M12" s="25"/>
      <c r="N12" s="11"/>
      <c r="O12" s="11"/>
      <c r="P12" s="356">
        <v>0</v>
      </c>
    </row>
    <row r="13" spans="2:26" x14ac:dyDescent="0.15">
      <c r="B13" s="727"/>
      <c r="C13" s="29"/>
      <c r="D13" s="29"/>
      <c r="E13" s="29"/>
      <c r="F13" s="29"/>
      <c r="G13" s="29"/>
      <c r="H13" s="36"/>
      <c r="I13" s="29"/>
      <c r="J13" s="29"/>
      <c r="K13" s="516"/>
      <c r="L13" s="11"/>
      <c r="M13" s="25"/>
      <c r="N13" s="11"/>
      <c r="O13" s="11"/>
      <c r="P13" s="356">
        <v>0</v>
      </c>
    </row>
    <row r="14" spans="2:26" x14ac:dyDescent="0.15">
      <c r="B14" s="727"/>
      <c r="C14" s="29"/>
      <c r="D14" s="29"/>
      <c r="E14" s="29"/>
      <c r="F14" s="29"/>
      <c r="G14" s="29"/>
      <c r="H14" s="36"/>
      <c r="I14" s="29"/>
      <c r="J14" s="29"/>
      <c r="K14" s="516"/>
      <c r="L14" s="11"/>
      <c r="M14" s="25"/>
      <c r="N14" s="11"/>
      <c r="O14" s="11"/>
      <c r="P14" s="356">
        <v>0</v>
      </c>
    </row>
    <row r="15" spans="2:26" x14ac:dyDescent="0.15">
      <c r="B15" s="728"/>
      <c r="C15" s="523" t="s">
        <v>45</v>
      </c>
      <c r="D15" s="524"/>
      <c r="E15" s="524"/>
      <c r="F15" s="525"/>
      <c r="G15" s="524">
        <f>SUM(G5:G14)</f>
        <v>18393750</v>
      </c>
      <c r="H15" s="26"/>
      <c r="I15" s="26">
        <f>SUM(I5:I14)</f>
        <v>18393750</v>
      </c>
      <c r="J15" s="26"/>
      <c r="K15" s="28"/>
      <c r="L15" s="26">
        <f>SUM(L5:L14)</f>
        <v>613125</v>
      </c>
      <c r="M15" s="26"/>
      <c r="N15" s="26"/>
      <c r="O15" s="26"/>
      <c r="P15" s="357">
        <f>SUM(P5:P14)</f>
        <v>24525</v>
      </c>
      <c r="R15" s="26"/>
    </row>
    <row r="16" spans="2:26" x14ac:dyDescent="0.15">
      <c r="B16" s="726" t="s">
        <v>199</v>
      </c>
      <c r="C16" s="475" t="s">
        <v>54</v>
      </c>
      <c r="D16" s="432" t="s">
        <v>323</v>
      </c>
      <c r="E16" s="475">
        <v>1</v>
      </c>
      <c r="F16" s="475" t="s">
        <v>104</v>
      </c>
      <c r="G16" s="475">
        <f>5302000*1.08</f>
        <v>5726160</v>
      </c>
      <c r="H16" s="512">
        <v>0</v>
      </c>
      <c r="I16" s="517">
        <f>G16*(1-H16)*E16</f>
        <v>5726160</v>
      </c>
      <c r="J16" s="513">
        <f>SUM('１　対象経営の概要，２　前提条件'!$F$13:$F$16)</f>
        <v>30</v>
      </c>
      <c r="K16" s="514">
        <f>30/30/30</f>
        <v>3.3333333333333333E-2</v>
      </c>
      <c r="L16" s="475">
        <f>I16*K16</f>
        <v>190872</v>
      </c>
      <c r="M16" s="36">
        <v>0</v>
      </c>
      <c r="N16" s="11">
        <f>L16*M16</f>
        <v>0</v>
      </c>
      <c r="O16" s="29">
        <v>7</v>
      </c>
      <c r="P16" s="356">
        <f t="shared" ref="P16:P31" si="6">IF(O16="","",(L16-N16)/O16)</f>
        <v>27267.428571428572</v>
      </c>
    </row>
    <row r="17" spans="2:16" x14ac:dyDescent="0.15">
      <c r="B17" s="727"/>
      <c r="C17" s="432" t="s">
        <v>282</v>
      </c>
      <c r="D17" s="432" t="s">
        <v>324</v>
      </c>
      <c r="E17" s="475">
        <v>1</v>
      </c>
      <c r="F17" s="432" t="s">
        <v>276</v>
      </c>
      <c r="G17" s="475">
        <f>4284000*1.08</f>
        <v>4626720</v>
      </c>
      <c r="H17" s="512">
        <v>0</v>
      </c>
      <c r="I17" s="517">
        <f t="shared" ref="I17:I19" si="7">G17*(1-H17)*E17</f>
        <v>4626720</v>
      </c>
      <c r="J17" s="513">
        <f>SUM('１　対象経営の概要，２　前提条件'!$F$13:$F$16)</f>
        <v>30</v>
      </c>
      <c r="K17" s="514">
        <f>30/30/30</f>
        <v>3.3333333333333333E-2</v>
      </c>
      <c r="L17" s="475">
        <f t="shared" ref="L17:L31" si="8">I17*K17</f>
        <v>154224</v>
      </c>
      <c r="M17" s="36">
        <v>0</v>
      </c>
      <c r="N17" s="11">
        <f t="shared" ref="N17:N31" si="9">L17*M17</f>
        <v>0</v>
      </c>
      <c r="O17" s="29">
        <v>7</v>
      </c>
      <c r="P17" s="356">
        <f t="shared" si="6"/>
        <v>22032</v>
      </c>
    </row>
    <row r="18" spans="2:16" x14ac:dyDescent="0.15">
      <c r="B18" s="727"/>
      <c r="C18" s="475" t="s">
        <v>55</v>
      </c>
      <c r="D18" s="432" t="s">
        <v>278</v>
      </c>
      <c r="E18" s="475">
        <v>1</v>
      </c>
      <c r="F18" s="475" t="s">
        <v>104</v>
      </c>
      <c r="G18" s="475">
        <f>715000*1.08</f>
        <v>772200</v>
      </c>
      <c r="H18" s="512">
        <v>0</v>
      </c>
      <c r="I18" s="517">
        <f t="shared" si="7"/>
        <v>772200</v>
      </c>
      <c r="J18" s="513">
        <f>SUM('１　対象経営の概要，２　前提条件'!$F$13:$F$16)</f>
        <v>30</v>
      </c>
      <c r="K18" s="514">
        <f>30/30/30</f>
        <v>3.3333333333333333E-2</v>
      </c>
      <c r="L18" s="475">
        <f t="shared" si="8"/>
        <v>25740</v>
      </c>
      <c r="M18" s="25">
        <v>0</v>
      </c>
      <c r="N18" s="11">
        <f t="shared" si="9"/>
        <v>0</v>
      </c>
      <c r="O18" s="11">
        <v>7</v>
      </c>
      <c r="P18" s="356">
        <f t="shared" si="6"/>
        <v>3677.1428571428573</v>
      </c>
    </row>
    <row r="19" spans="2:16" x14ac:dyDescent="0.15">
      <c r="B19" s="727"/>
      <c r="C19" s="477" t="s">
        <v>55</v>
      </c>
      <c r="D19" s="511" t="s">
        <v>279</v>
      </c>
      <c r="E19" s="477">
        <v>1</v>
      </c>
      <c r="F19" s="475" t="s">
        <v>104</v>
      </c>
      <c r="G19" s="475">
        <f>540000*1.08</f>
        <v>583200</v>
      </c>
      <c r="H19" s="512">
        <v>0</v>
      </c>
      <c r="I19" s="517">
        <f t="shared" si="7"/>
        <v>583200</v>
      </c>
      <c r="J19" s="513">
        <f>SUM('１　対象経営の概要，２　前提条件'!$F$13:$F$16)</f>
        <v>30</v>
      </c>
      <c r="K19" s="514">
        <f>30/30/30</f>
        <v>3.3333333333333333E-2</v>
      </c>
      <c r="L19" s="475">
        <f t="shared" si="8"/>
        <v>19440</v>
      </c>
      <c r="M19" s="25">
        <v>0</v>
      </c>
      <c r="N19" s="11">
        <f t="shared" si="9"/>
        <v>0</v>
      </c>
      <c r="O19" s="11">
        <v>7</v>
      </c>
      <c r="P19" s="356">
        <f t="shared" si="6"/>
        <v>2777.1428571428573</v>
      </c>
    </row>
    <row r="20" spans="2:16" x14ac:dyDescent="0.15">
      <c r="B20" s="727"/>
      <c r="C20" s="432" t="s">
        <v>277</v>
      </c>
      <c r="D20" s="432" t="s">
        <v>389</v>
      </c>
      <c r="E20" s="475">
        <v>1</v>
      </c>
      <c r="F20" s="475" t="s">
        <v>104</v>
      </c>
      <c r="G20" s="475">
        <f>3850000*1.08</f>
        <v>4158000.0000000005</v>
      </c>
      <c r="H20" s="512">
        <v>0</v>
      </c>
      <c r="I20" s="517">
        <f t="shared" ref="I20:I28" si="10">G20*(1-H20)*E20</f>
        <v>4158000.0000000005</v>
      </c>
      <c r="J20" s="513">
        <f>SUM('１　対象経営の概要，２　前提条件'!$F$13:$F$16)</f>
        <v>30</v>
      </c>
      <c r="K20" s="514">
        <f t="shared" ref="K20:K31" si="11">30/30/30</f>
        <v>3.3333333333333333E-2</v>
      </c>
      <c r="L20" s="475">
        <f t="shared" ref="L20" si="12">I20*K20</f>
        <v>138600</v>
      </c>
      <c r="M20" s="25">
        <v>0</v>
      </c>
      <c r="N20" s="11">
        <f t="shared" ref="N20" si="13">L20*M20</f>
        <v>0</v>
      </c>
      <c r="O20" s="11">
        <v>7</v>
      </c>
      <c r="P20" s="356">
        <f t="shared" ref="P20" si="14">IF(O20="","",(L20-N20)/O20)</f>
        <v>19800</v>
      </c>
    </row>
    <row r="21" spans="2:16" x14ac:dyDescent="0.15">
      <c r="B21" s="727"/>
      <c r="C21" s="475" t="s">
        <v>56</v>
      </c>
      <c r="D21" s="432" t="s">
        <v>415</v>
      </c>
      <c r="E21" s="475">
        <v>1</v>
      </c>
      <c r="F21" s="432" t="s">
        <v>283</v>
      </c>
      <c r="G21" s="475">
        <f>9850000*1.08</f>
        <v>10638000</v>
      </c>
      <c r="H21" s="512">
        <v>0</v>
      </c>
      <c r="I21" s="517">
        <f t="shared" si="10"/>
        <v>10638000</v>
      </c>
      <c r="J21" s="513">
        <f>SUM('１　対象経営の概要，２　前提条件'!$F$13:$F$16)</f>
        <v>30</v>
      </c>
      <c r="K21" s="514">
        <f>'１　対象経営の概要，２　前提条件'!$N$7/'１　対象経営の概要，２　前提条件'!$N$7/'１　対象経営の概要，２　前提条件'!$N$7</f>
        <v>3.3333333333333333E-2</v>
      </c>
      <c r="L21" s="39">
        <f>I21*K21</f>
        <v>354600</v>
      </c>
      <c r="M21" s="25">
        <v>0</v>
      </c>
      <c r="N21" s="11">
        <f t="shared" ref="N21:N22" si="15">L21*M21</f>
        <v>0</v>
      </c>
      <c r="O21" s="11">
        <v>7</v>
      </c>
      <c r="P21" s="356">
        <f>IF(O21="","",(L21-N21)/O21)</f>
        <v>50657.142857142855</v>
      </c>
    </row>
    <row r="22" spans="2:16" x14ac:dyDescent="0.15">
      <c r="B22" s="727"/>
      <c r="C22" s="432" t="s">
        <v>284</v>
      </c>
      <c r="D22" s="432" t="s">
        <v>291</v>
      </c>
      <c r="E22" s="475">
        <v>1</v>
      </c>
      <c r="F22" s="432" t="s">
        <v>104</v>
      </c>
      <c r="G22" s="475">
        <f>3500000*1.08</f>
        <v>3780000.0000000005</v>
      </c>
      <c r="H22" s="512">
        <v>0</v>
      </c>
      <c r="I22" s="517">
        <f t="shared" si="10"/>
        <v>3780000.0000000005</v>
      </c>
      <c r="J22" s="513">
        <f>SUM('１　対象経営の概要，２　前提条件'!$F$13:$F$16)</f>
        <v>30</v>
      </c>
      <c r="K22" s="514">
        <f t="shared" si="11"/>
        <v>3.3333333333333333E-2</v>
      </c>
      <c r="L22" s="39">
        <f t="shared" ref="L22" si="16">I22*K22</f>
        <v>126000.00000000001</v>
      </c>
      <c r="M22" s="25">
        <v>0</v>
      </c>
      <c r="N22" s="11">
        <f t="shared" si="15"/>
        <v>0</v>
      </c>
      <c r="O22" s="11">
        <v>7</v>
      </c>
      <c r="P22" s="356">
        <f t="shared" ref="P22" si="17">IF(O22="","",(L22-N22)/O22)</f>
        <v>18000.000000000004</v>
      </c>
    </row>
    <row r="23" spans="2:16" x14ac:dyDescent="0.15">
      <c r="B23" s="727"/>
      <c r="C23" s="478" t="s">
        <v>477</v>
      </c>
      <c r="D23" s="478" t="s">
        <v>478</v>
      </c>
      <c r="E23" s="475">
        <v>1</v>
      </c>
      <c r="F23" s="432" t="s">
        <v>104</v>
      </c>
      <c r="G23" s="475">
        <v>340200</v>
      </c>
      <c r="H23" s="512">
        <v>0</v>
      </c>
      <c r="I23" s="517">
        <f t="shared" si="10"/>
        <v>340200</v>
      </c>
      <c r="J23" s="513">
        <f>SUM('１　対象経営の概要，２　前提条件'!$F$13:$F$16)</f>
        <v>30</v>
      </c>
      <c r="K23" s="514">
        <f t="shared" si="11"/>
        <v>3.3333333333333333E-2</v>
      </c>
      <c r="L23" s="39">
        <f t="shared" si="8"/>
        <v>11340</v>
      </c>
      <c r="M23" s="25">
        <v>0</v>
      </c>
      <c r="N23" s="11">
        <f t="shared" si="9"/>
        <v>0</v>
      </c>
      <c r="O23" s="11">
        <v>7</v>
      </c>
      <c r="P23" s="356">
        <f t="shared" si="6"/>
        <v>1620</v>
      </c>
    </row>
    <row r="24" spans="2:16" x14ac:dyDescent="0.15">
      <c r="B24" s="727"/>
      <c r="C24" s="432" t="s">
        <v>287</v>
      </c>
      <c r="D24" s="478" t="s">
        <v>377</v>
      </c>
      <c r="E24" s="475">
        <v>1</v>
      </c>
      <c r="F24" s="432" t="s">
        <v>104</v>
      </c>
      <c r="G24" s="475">
        <f>273000*1.08</f>
        <v>294840</v>
      </c>
      <c r="H24" s="512">
        <v>0</v>
      </c>
      <c r="I24" s="517">
        <f t="shared" si="10"/>
        <v>294840</v>
      </c>
      <c r="J24" s="513">
        <f>SUM('１　対象経営の概要，２　前提条件'!$F$13:$F$16)</f>
        <v>30</v>
      </c>
      <c r="K24" s="514">
        <f t="shared" si="11"/>
        <v>3.3333333333333333E-2</v>
      </c>
      <c r="L24" s="39">
        <f t="shared" si="8"/>
        <v>9828</v>
      </c>
      <c r="M24" s="25">
        <v>0</v>
      </c>
      <c r="N24" s="11">
        <f t="shared" ref="N24:N26" si="18">L24*M24</f>
        <v>0</v>
      </c>
      <c r="O24" s="11">
        <v>7</v>
      </c>
      <c r="P24" s="356">
        <f t="shared" ref="P24:P26" si="19">IF(O24="","",(L24-N24)/O24)</f>
        <v>1404</v>
      </c>
    </row>
    <row r="25" spans="2:16" x14ac:dyDescent="0.15">
      <c r="B25" s="727"/>
      <c r="C25" s="432" t="s">
        <v>288</v>
      </c>
      <c r="D25" s="479" t="s">
        <v>380</v>
      </c>
      <c r="E25" s="475">
        <v>1</v>
      </c>
      <c r="F25" s="432" t="s">
        <v>104</v>
      </c>
      <c r="G25" s="475">
        <f>339000*1.08</f>
        <v>366120</v>
      </c>
      <c r="H25" s="512">
        <v>0</v>
      </c>
      <c r="I25" s="517">
        <f t="shared" si="10"/>
        <v>366120</v>
      </c>
      <c r="J25" s="513">
        <f>SUM('１　対象経営の概要，２　前提条件'!$F$13:$F$16)</f>
        <v>30</v>
      </c>
      <c r="K25" s="514">
        <f t="shared" si="11"/>
        <v>3.3333333333333333E-2</v>
      </c>
      <c r="L25" s="39">
        <f t="shared" si="8"/>
        <v>12204</v>
      </c>
      <c r="M25" s="25">
        <v>0</v>
      </c>
      <c r="N25" s="11">
        <f t="shared" si="18"/>
        <v>0</v>
      </c>
      <c r="O25" s="11">
        <v>7</v>
      </c>
      <c r="P25" s="356">
        <f t="shared" si="19"/>
        <v>1743.4285714285713</v>
      </c>
    </row>
    <row r="26" spans="2:16" x14ac:dyDescent="0.15">
      <c r="B26" s="727"/>
      <c r="C26" s="432" t="s">
        <v>289</v>
      </c>
      <c r="D26" s="478" t="s">
        <v>378</v>
      </c>
      <c r="E26" s="475">
        <v>1</v>
      </c>
      <c r="F26" s="432" t="s">
        <v>104</v>
      </c>
      <c r="G26" s="475">
        <f>583000*1.08*E26</f>
        <v>629640</v>
      </c>
      <c r="H26" s="512">
        <v>0</v>
      </c>
      <c r="I26" s="517">
        <f t="shared" si="10"/>
        <v>629640</v>
      </c>
      <c r="J26" s="513">
        <f>SUM('１　対象経営の概要，２　前提条件'!$F$13:$F$16)</f>
        <v>30</v>
      </c>
      <c r="K26" s="514">
        <f t="shared" si="11"/>
        <v>3.3333333333333333E-2</v>
      </c>
      <c r="L26" s="39">
        <f t="shared" si="8"/>
        <v>20988</v>
      </c>
      <c r="M26" s="25">
        <v>0</v>
      </c>
      <c r="N26" s="11">
        <f t="shared" si="18"/>
        <v>0</v>
      </c>
      <c r="O26" s="11">
        <v>7</v>
      </c>
      <c r="P26" s="356">
        <f t="shared" si="19"/>
        <v>2998.2857142857142</v>
      </c>
    </row>
    <row r="27" spans="2:16" x14ac:dyDescent="0.15">
      <c r="B27" s="727"/>
      <c r="C27" s="432" t="s">
        <v>375</v>
      </c>
      <c r="D27" s="432" t="s">
        <v>376</v>
      </c>
      <c r="E27" s="475">
        <v>2620</v>
      </c>
      <c r="F27" s="432" t="s">
        <v>379</v>
      </c>
      <c r="G27" s="475">
        <f>450*1.08*E27</f>
        <v>1273320.0000000002</v>
      </c>
      <c r="H27" s="512">
        <v>0</v>
      </c>
      <c r="I27" s="517">
        <f>G27*(1-H27)</f>
        <v>1273320.0000000002</v>
      </c>
      <c r="J27" s="513">
        <f>SUM('１　対象経営の概要，２　前提条件'!$F$13:$F$16)</f>
        <v>30</v>
      </c>
      <c r="K27" s="514">
        <f t="shared" si="11"/>
        <v>3.3333333333333333E-2</v>
      </c>
      <c r="L27" s="39">
        <f t="shared" si="8"/>
        <v>42444.000000000007</v>
      </c>
      <c r="M27" s="25">
        <v>0</v>
      </c>
      <c r="N27" s="11">
        <f t="shared" si="9"/>
        <v>0</v>
      </c>
      <c r="O27" s="11">
        <v>7</v>
      </c>
      <c r="P27" s="356">
        <f t="shared" si="6"/>
        <v>6063.4285714285725</v>
      </c>
    </row>
    <row r="28" spans="2:16" x14ac:dyDescent="0.15">
      <c r="B28" s="727"/>
      <c r="C28" s="432" t="s">
        <v>358</v>
      </c>
      <c r="D28" s="432" t="s">
        <v>360</v>
      </c>
      <c r="E28" s="475">
        <v>1</v>
      </c>
      <c r="F28" s="432" t="s">
        <v>104</v>
      </c>
      <c r="G28" s="475">
        <f>13888889*1.08</f>
        <v>15000000.120000001</v>
      </c>
      <c r="H28" s="512">
        <v>0</v>
      </c>
      <c r="I28" s="517">
        <f t="shared" si="10"/>
        <v>15000000.120000001</v>
      </c>
      <c r="J28" s="513">
        <f>SUM('１　対象経営の概要，２　前提条件'!$F$13:$F$16)</f>
        <v>30</v>
      </c>
      <c r="K28" s="514">
        <f>'１　対象経営の概要，２　前提条件'!$N$7/'１　対象経営の概要，２　前提条件'!$N$7/'１　対象経営の概要，２　前提条件'!$N$7</f>
        <v>3.3333333333333333E-2</v>
      </c>
      <c r="L28" s="39">
        <f t="shared" si="8"/>
        <v>500000.00400000002</v>
      </c>
      <c r="M28" s="25">
        <v>0</v>
      </c>
      <c r="N28" s="11">
        <f t="shared" si="9"/>
        <v>0</v>
      </c>
      <c r="O28" s="11">
        <v>7</v>
      </c>
      <c r="P28" s="356">
        <f t="shared" si="6"/>
        <v>71428.572</v>
      </c>
    </row>
    <row r="29" spans="2:16" x14ac:dyDescent="0.15">
      <c r="B29" s="727"/>
      <c r="C29" s="432" t="s">
        <v>308</v>
      </c>
      <c r="D29" s="475"/>
      <c r="E29" s="482">
        <v>1</v>
      </c>
      <c r="F29" s="432" t="s">
        <v>104</v>
      </c>
      <c r="G29" s="475">
        <v>500000</v>
      </c>
      <c r="H29" s="512">
        <v>0</v>
      </c>
      <c r="I29" s="517">
        <f>G29*(1-H29)*E29</f>
        <v>500000</v>
      </c>
      <c r="J29" s="513">
        <f>SUM('１　対象経営の概要，２　前提条件'!$F$13:$F$16)</f>
        <v>30</v>
      </c>
      <c r="K29" s="514">
        <f t="shared" si="11"/>
        <v>3.3333333333333333E-2</v>
      </c>
      <c r="L29" s="39">
        <f t="shared" si="8"/>
        <v>16666.666666666668</v>
      </c>
      <c r="M29" s="25">
        <v>0</v>
      </c>
      <c r="N29" s="11">
        <f t="shared" si="9"/>
        <v>0</v>
      </c>
      <c r="O29" s="11">
        <v>7</v>
      </c>
      <c r="P29" s="356">
        <f t="shared" si="6"/>
        <v>2380.9523809523812</v>
      </c>
    </row>
    <row r="30" spans="2:16" x14ac:dyDescent="0.15">
      <c r="B30" s="727"/>
      <c r="C30" s="432" t="s">
        <v>256</v>
      </c>
      <c r="D30" s="432" t="s">
        <v>311</v>
      </c>
      <c r="E30" s="475">
        <v>1</v>
      </c>
      <c r="F30" s="432" t="s">
        <v>104</v>
      </c>
      <c r="G30" s="475">
        <v>1500000</v>
      </c>
      <c r="H30" s="512">
        <v>0</v>
      </c>
      <c r="I30" s="517">
        <f>G30*(1-H30)*E30</f>
        <v>1500000</v>
      </c>
      <c r="J30" s="513">
        <f>SUM('１　対象経営の概要，２　前提条件'!$F$13:$F$16)</f>
        <v>30</v>
      </c>
      <c r="K30" s="514">
        <f t="shared" si="11"/>
        <v>3.3333333333333333E-2</v>
      </c>
      <c r="L30" s="39">
        <f t="shared" si="8"/>
        <v>50000</v>
      </c>
      <c r="M30" s="25">
        <v>0</v>
      </c>
      <c r="N30" s="11">
        <f t="shared" si="9"/>
        <v>0</v>
      </c>
      <c r="O30" s="11">
        <v>7</v>
      </c>
      <c r="P30" s="356">
        <f t="shared" si="6"/>
        <v>7142.8571428571431</v>
      </c>
    </row>
    <row r="31" spans="2:16" x14ac:dyDescent="0.15">
      <c r="B31" s="727"/>
      <c r="C31" s="432" t="s">
        <v>243</v>
      </c>
      <c r="D31" s="483"/>
      <c r="E31" s="475">
        <v>1</v>
      </c>
      <c r="F31" s="432" t="s">
        <v>104</v>
      </c>
      <c r="G31" s="475">
        <v>920000</v>
      </c>
      <c r="H31" s="512">
        <v>0</v>
      </c>
      <c r="I31" s="517">
        <f t="shared" ref="I31" si="20">G31*(1-H31)</f>
        <v>920000</v>
      </c>
      <c r="J31" s="513">
        <f>SUM('１　対象経営の概要，２　前提条件'!$F$13:$F$16)</f>
        <v>30</v>
      </c>
      <c r="K31" s="514">
        <f t="shared" si="11"/>
        <v>3.3333333333333333E-2</v>
      </c>
      <c r="L31" s="39">
        <f t="shared" si="8"/>
        <v>30666.666666666668</v>
      </c>
      <c r="M31" s="25">
        <v>0</v>
      </c>
      <c r="N31" s="11">
        <f t="shared" si="9"/>
        <v>0</v>
      </c>
      <c r="O31" s="11">
        <v>7</v>
      </c>
      <c r="P31" s="356">
        <f t="shared" si="6"/>
        <v>4380.9523809523807</v>
      </c>
    </row>
    <row r="32" spans="2:16" x14ac:dyDescent="0.15">
      <c r="B32" s="727"/>
      <c r="C32" s="432"/>
      <c r="D32" s="475"/>
      <c r="E32" s="475"/>
      <c r="F32" s="432"/>
      <c r="G32" s="475"/>
      <c r="H32" s="512"/>
      <c r="I32" s="517"/>
      <c r="J32" s="513"/>
      <c r="K32" s="514"/>
      <c r="L32" s="39"/>
      <c r="M32" s="25"/>
      <c r="N32" s="11"/>
      <c r="O32" s="11"/>
      <c r="P32" s="356">
        <v>0</v>
      </c>
    </row>
    <row r="33" spans="2:18" x14ac:dyDescent="0.15">
      <c r="B33" s="727"/>
      <c r="C33" s="432"/>
      <c r="D33" s="475"/>
      <c r="E33" s="475"/>
      <c r="F33" s="432"/>
      <c r="G33" s="475"/>
      <c r="H33" s="512"/>
      <c r="I33" s="517"/>
      <c r="J33" s="432"/>
      <c r="K33" s="514"/>
      <c r="L33" s="39"/>
      <c r="M33" s="25"/>
      <c r="N33" s="11"/>
      <c r="O33" s="11"/>
      <c r="P33" s="356">
        <v>0</v>
      </c>
    </row>
    <row r="34" spans="2:18" x14ac:dyDescent="0.15">
      <c r="B34" s="727"/>
      <c r="C34" s="432"/>
      <c r="D34" s="475"/>
      <c r="E34" s="475"/>
      <c r="F34" s="475"/>
      <c r="G34" s="475"/>
      <c r="H34" s="512"/>
      <c r="I34" s="517"/>
      <c r="J34" s="432"/>
      <c r="K34" s="514"/>
      <c r="L34" s="39"/>
      <c r="M34" s="25"/>
      <c r="N34" s="11"/>
      <c r="O34" s="11"/>
      <c r="P34" s="356">
        <v>0</v>
      </c>
    </row>
    <row r="35" spans="2:18" x14ac:dyDescent="0.15">
      <c r="B35" s="727"/>
      <c r="C35" s="432"/>
      <c r="D35" s="475"/>
      <c r="E35" s="475"/>
      <c r="F35" s="432"/>
      <c r="G35" s="475"/>
      <c r="H35" s="512"/>
      <c r="I35" s="517"/>
      <c r="J35" s="432"/>
      <c r="K35" s="514"/>
      <c r="L35" s="39"/>
      <c r="M35" s="25"/>
      <c r="N35" s="11"/>
      <c r="O35" s="11"/>
      <c r="P35" s="356">
        <v>0</v>
      </c>
    </row>
    <row r="36" spans="2:18" x14ac:dyDescent="0.15">
      <c r="B36" s="727"/>
      <c r="C36" s="432"/>
      <c r="D36" s="475"/>
      <c r="E36" s="475"/>
      <c r="F36" s="432"/>
      <c r="G36" s="475"/>
      <c r="H36" s="512"/>
      <c r="I36" s="517"/>
      <c r="J36" s="432"/>
      <c r="K36" s="514"/>
      <c r="L36" s="39"/>
      <c r="M36" s="25"/>
      <c r="N36" s="11"/>
      <c r="O36" s="11"/>
      <c r="P36" s="356">
        <v>0</v>
      </c>
    </row>
    <row r="37" spans="2:18" x14ac:dyDescent="0.15">
      <c r="B37" s="727"/>
      <c r="C37" s="475"/>
      <c r="D37" s="475"/>
      <c r="E37" s="475"/>
      <c r="F37" s="432"/>
      <c r="G37" s="475"/>
      <c r="H37" s="512"/>
      <c r="I37" s="517"/>
      <c r="J37" s="432"/>
      <c r="K37" s="514"/>
      <c r="L37" s="39"/>
      <c r="M37" s="25"/>
      <c r="N37" s="11"/>
      <c r="O37" s="11"/>
      <c r="P37" s="356">
        <v>0</v>
      </c>
    </row>
    <row r="38" spans="2:18" x14ac:dyDescent="0.15">
      <c r="B38" s="727"/>
      <c r="C38" s="432"/>
      <c r="D38" s="475"/>
      <c r="E38" s="475"/>
      <c r="F38" s="432"/>
      <c r="G38" s="475"/>
      <c r="H38" s="512"/>
      <c r="I38" s="517"/>
      <c r="J38" s="432"/>
      <c r="K38" s="514"/>
      <c r="L38" s="39"/>
      <c r="M38" s="25"/>
      <c r="N38" s="11"/>
      <c r="O38" s="11"/>
      <c r="P38" s="356">
        <v>0</v>
      </c>
    </row>
    <row r="39" spans="2:18" x14ac:dyDescent="0.15">
      <c r="B39" s="727"/>
      <c r="C39" s="432"/>
      <c r="D39" s="475"/>
      <c r="E39" s="475"/>
      <c r="F39" s="432"/>
      <c r="G39" s="475"/>
      <c r="H39" s="512"/>
      <c r="I39" s="517"/>
      <c r="J39" s="432"/>
      <c r="K39" s="514"/>
      <c r="L39" s="39"/>
      <c r="M39" s="25"/>
      <c r="N39" s="11"/>
      <c r="O39" s="11"/>
      <c r="P39" s="356">
        <v>0</v>
      </c>
    </row>
    <row r="40" spans="2:18" x14ac:dyDescent="0.15">
      <c r="B40" s="727"/>
      <c r="C40" s="518"/>
      <c r="D40" s="432"/>
      <c r="E40" s="518"/>
      <c r="F40" s="432"/>
      <c r="G40" s="475"/>
      <c r="H40" s="512"/>
      <c r="I40" s="517"/>
      <c r="J40" s="432"/>
      <c r="K40" s="514"/>
      <c r="L40" s="39"/>
      <c r="M40" s="25"/>
      <c r="N40" s="11"/>
      <c r="O40" s="11"/>
      <c r="P40" s="356">
        <v>0</v>
      </c>
    </row>
    <row r="41" spans="2:18" x14ac:dyDescent="0.15">
      <c r="B41" s="727"/>
      <c r="C41" s="518"/>
      <c r="D41" s="483"/>
      <c r="E41" s="518"/>
      <c r="F41" s="432"/>
      <c r="G41" s="475"/>
      <c r="H41" s="512"/>
      <c r="I41" s="517"/>
      <c r="J41" s="432"/>
      <c r="K41" s="514"/>
      <c r="L41" s="39"/>
      <c r="M41" s="25"/>
      <c r="N41" s="11"/>
      <c r="O41" s="11"/>
      <c r="P41" s="356">
        <v>0</v>
      </c>
    </row>
    <row r="42" spans="2:18" x14ac:dyDescent="0.15">
      <c r="B42" s="727"/>
      <c r="C42" s="519"/>
      <c r="D42" s="520"/>
      <c r="E42" s="519"/>
      <c r="F42" s="480"/>
      <c r="G42" s="481"/>
      <c r="H42" s="521"/>
      <c r="I42" s="517"/>
      <c r="J42" s="480"/>
      <c r="K42" s="522"/>
      <c r="L42" s="370"/>
      <c r="M42" s="416"/>
      <c r="N42" s="417"/>
      <c r="O42" s="417"/>
      <c r="P42" s="356">
        <v>0</v>
      </c>
    </row>
    <row r="43" spans="2:18" x14ac:dyDescent="0.15">
      <c r="B43" s="727"/>
      <c r="C43" s="475"/>
      <c r="D43" s="483"/>
      <c r="E43" s="475"/>
      <c r="F43" s="475"/>
      <c r="G43" s="475"/>
      <c r="H43" s="512"/>
      <c r="I43" s="517"/>
      <c r="J43" s="483"/>
      <c r="K43" s="514"/>
      <c r="L43" s="39"/>
      <c r="M43" s="25"/>
      <c r="N43" s="11"/>
      <c r="O43" s="11"/>
      <c r="P43" s="356">
        <v>0</v>
      </c>
    </row>
    <row r="44" spans="2:18" x14ac:dyDescent="0.15">
      <c r="B44" s="727"/>
      <c r="C44" s="475"/>
      <c r="D44" s="483"/>
      <c r="E44" s="475"/>
      <c r="F44" s="475"/>
      <c r="G44" s="475"/>
      <c r="H44" s="512"/>
      <c r="I44" s="517"/>
      <c r="J44" s="483"/>
      <c r="K44" s="514"/>
      <c r="L44" s="39"/>
      <c r="M44" s="25"/>
      <c r="N44" s="11"/>
      <c r="O44" s="11"/>
      <c r="P44" s="356">
        <v>0</v>
      </c>
    </row>
    <row r="45" spans="2:18" x14ac:dyDescent="0.15">
      <c r="B45" s="728"/>
      <c r="C45" s="42" t="s">
        <v>46</v>
      </c>
      <c r="D45" s="42"/>
      <c r="E45" s="42"/>
      <c r="F45" s="43"/>
      <c r="G45" s="42">
        <f>SUM(G16:G41)</f>
        <v>51108400.120000005</v>
      </c>
      <c r="H45" s="42"/>
      <c r="I45" s="42">
        <f>SUM(I16:I41)</f>
        <v>51108400.120000005</v>
      </c>
      <c r="J45" s="42"/>
      <c r="K45" s="44"/>
      <c r="L45" s="42">
        <f>SUM(L16:L41)</f>
        <v>1703613.3373333334</v>
      </c>
      <c r="M45" s="26"/>
      <c r="N45" s="26"/>
      <c r="O45" s="26"/>
      <c r="P45" s="357">
        <f>SUM(P16:P41)</f>
        <v>243373.33390476191</v>
      </c>
      <c r="R45" s="26"/>
    </row>
    <row r="46" spans="2:18" ht="13.5" customHeight="1" x14ac:dyDescent="0.15">
      <c r="B46" s="726" t="s">
        <v>147</v>
      </c>
      <c r="C46" s="39"/>
      <c r="D46" s="39"/>
      <c r="E46" s="39"/>
      <c r="F46" s="41"/>
      <c r="G46" s="39"/>
      <c r="H46" s="45"/>
      <c r="I46" s="39">
        <f t="shared" ref="I46:I49" si="21">G46*(1-H46)</f>
        <v>0</v>
      </c>
      <c r="J46" s="41"/>
      <c r="K46" s="40"/>
      <c r="L46" s="39">
        <f>I46*K46</f>
        <v>0</v>
      </c>
      <c r="M46" s="37"/>
      <c r="N46" s="11">
        <f>L46*M46</f>
        <v>0</v>
      </c>
      <c r="O46" s="11"/>
      <c r="P46" s="356" t="str">
        <f>IF(O46="","",(L46-N46)/O46)</f>
        <v/>
      </c>
    </row>
    <row r="47" spans="2:18" ht="13.5" customHeight="1" x14ac:dyDescent="0.15">
      <c r="B47" s="727"/>
      <c r="C47" s="39"/>
      <c r="D47" s="39"/>
      <c r="E47" s="39"/>
      <c r="F47" s="41"/>
      <c r="G47" s="39"/>
      <c r="H47" s="45"/>
      <c r="I47" s="39">
        <f t="shared" si="21"/>
        <v>0</v>
      </c>
      <c r="J47" s="39"/>
      <c r="K47" s="40"/>
      <c r="L47" s="39">
        <f>I47*K47</f>
        <v>0</v>
      </c>
      <c r="M47" s="37"/>
      <c r="N47" s="11">
        <f>L47*M47</f>
        <v>0</v>
      </c>
      <c r="O47" s="11"/>
      <c r="P47" s="356" t="str">
        <f>IF(O47="","",(L47-N47)/O47)</f>
        <v/>
      </c>
    </row>
    <row r="48" spans="2:18" ht="15" customHeight="1" x14ac:dyDescent="0.15">
      <c r="B48" s="727"/>
      <c r="C48" s="11"/>
      <c r="D48" s="11"/>
      <c r="E48" s="11"/>
      <c r="F48" s="24"/>
      <c r="G48" s="11"/>
      <c r="H48" s="37"/>
      <c r="I48" s="11">
        <f t="shared" si="21"/>
        <v>0</v>
      </c>
      <c r="J48" s="11"/>
      <c r="K48" s="38"/>
      <c r="L48" s="11">
        <f>I48*K48</f>
        <v>0</v>
      </c>
      <c r="M48" s="37"/>
      <c r="N48" s="11">
        <f>L48*M48</f>
        <v>0</v>
      </c>
      <c r="O48" s="11"/>
      <c r="P48" s="356" t="str">
        <f>IF(O48="","",(L48-N48)/O48)</f>
        <v/>
      </c>
    </row>
    <row r="49" spans="2:18" ht="13.5" customHeight="1" x14ac:dyDescent="0.15">
      <c r="B49" s="727"/>
      <c r="C49" s="11"/>
      <c r="D49" s="11"/>
      <c r="E49" s="11"/>
      <c r="F49" s="24"/>
      <c r="G49" s="11"/>
      <c r="H49" s="37"/>
      <c r="I49" s="11">
        <f t="shared" si="21"/>
        <v>0</v>
      </c>
      <c r="J49" s="11"/>
      <c r="K49" s="38"/>
      <c r="L49" s="11">
        <f>I49*K49</f>
        <v>0</v>
      </c>
      <c r="M49" s="37"/>
      <c r="N49" s="11">
        <f>L49*M49</f>
        <v>0</v>
      </c>
      <c r="O49" s="11"/>
      <c r="P49" s="356" t="str">
        <f>IF(O49="","",(L49-N49)/O49)</f>
        <v/>
      </c>
    </row>
    <row r="50" spans="2:18" ht="13.5" customHeight="1" x14ac:dyDescent="0.15">
      <c r="B50" s="728"/>
      <c r="C50" s="30" t="s">
        <v>46</v>
      </c>
      <c r="D50" s="26"/>
      <c r="E50" s="26"/>
      <c r="F50" s="27"/>
      <c r="G50" s="26">
        <f>SUM(G46:G49)</f>
        <v>0</v>
      </c>
      <c r="H50" s="26"/>
      <c r="I50" s="26">
        <f>SUM(I46:I49)</f>
        <v>0</v>
      </c>
      <c r="J50" s="26"/>
      <c r="K50" s="28"/>
      <c r="L50" s="26">
        <f>SUM(L46:L49)</f>
        <v>0</v>
      </c>
      <c r="M50" s="26"/>
      <c r="N50" s="26"/>
      <c r="O50" s="26"/>
      <c r="P50" s="357">
        <f>SUM(P46:P49)</f>
        <v>0</v>
      </c>
      <c r="R50" s="26"/>
    </row>
    <row r="51" spans="2:18" ht="14.25" thickBot="1" x14ac:dyDescent="0.2">
      <c r="B51" s="31"/>
      <c r="C51" s="32" t="s">
        <v>103</v>
      </c>
      <c r="D51" s="33"/>
      <c r="E51" s="33"/>
      <c r="F51" s="34"/>
      <c r="G51" s="33">
        <f>G15+G45+G50</f>
        <v>69502150.120000005</v>
      </c>
      <c r="H51" s="33"/>
      <c r="I51" s="33">
        <f>I15+I45+I50</f>
        <v>69502150.120000005</v>
      </c>
      <c r="J51" s="33"/>
      <c r="K51" s="35"/>
      <c r="L51" s="33">
        <f>L15+L45+L50</f>
        <v>2316738.3373333337</v>
      </c>
      <c r="M51" s="33"/>
      <c r="N51" s="33"/>
      <c r="O51" s="33"/>
      <c r="P51" s="358">
        <f>P15+P45+P50</f>
        <v>267898.33390476194</v>
      </c>
      <c r="R51" s="26"/>
    </row>
    <row r="52" spans="2:18" ht="11.25" customHeight="1" x14ac:dyDescent="0.15"/>
  </sheetData>
  <mergeCells count="9">
    <mergeCell ref="J3:J4"/>
    <mergeCell ref="B46:B50"/>
    <mergeCell ref="B16:B45"/>
    <mergeCell ref="B5:B15"/>
    <mergeCell ref="F2:G2"/>
    <mergeCell ref="B3:B4"/>
    <mergeCell ref="C3:C4"/>
    <mergeCell ref="D3:D4"/>
    <mergeCell ref="E3:F3"/>
  </mergeCells>
  <phoneticPr fontId="4"/>
  <pageMargins left="0.78740157480314965" right="0.78740157480314965" top="0.78740157480314965" bottom="0.78740157480314965" header="0.39370078740157483" footer="0.39370078740157483"/>
  <pageSetup paperSize="8" scale="61" orientation="landscape" verticalDpi="300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9" customWidth="1"/>
    <col min="2" max="2" width="5.875" style="139" customWidth="1"/>
    <col min="3" max="3" width="10.625" style="139" customWidth="1"/>
    <col min="4" max="4" width="12.375" style="139" customWidth="1"/>
    <col min="5" max="5" width="14.625" style="139" customWidth="1"/>
    <col min="6" max="7" width="15.875" style="139" customWidth="1"/>
    <col min="8" max="8" width="10.875" style="139"/>
    <col min="9" max="9" width="11.375" style="139" bestFit="1" customWidth="1"/>
    <col min="10" max="10" width="13.375" style="139" customWidth="1"/>
    <col min="11" max="11" width="7.125" style="139" customWidth="1"/>
    <col min="12" max="12" width="15.375" style="139" customWidth="1"/>
    <col min="13" max="13" width="9.375" style="139" bestFit="1" customWidth="1"/>
    <col min="14" max="14" width="10.875" style="139"/>
    <col min="15" max="15" width="7.25" style="139" customWidth="1"/>
    <col min="16" max="16" width="9.625" style="139" customWidth="1"/>
    <col min="17" max="17" width="10.875" style="139" customWidth="1"/>
    <col min="18" max="18" width="7.5" style="139" customWidth="1"/>
    <col min="19" max="19" width="3.75" style="139" customWidth="1"/>
    <col min="20" max="16384" width="10.875" style="139"/>
  </cols>
  <sheetData>
    <row r="1" spans="2:19" s="140" customFormat="1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2:19" s="140" customFormat="1" ht="24.95" customHeight="1" thickBot="1" x14ac:dyDescent="0.2">
      <c r="B2" s="140" t="s">
        <v>108</v>
      </c>
      <c r="H2" s="141" t="s">
        <v>259</v>
      </c>
      <c r="I2" s="3" t="s">
        <v>413</v>
      </c>
      <c r="K2" s="141" t="s">
        <v>260</v>
      </c>
      <c r="L2" s="3" t="s">
        <v>262</v>
      </c>
      <c r="N2" s="139"/>
      <c r="O2" s="139"/>
      <c r="Q2" s="4"/>
      <c r="R2" s="4"/>
    </row>
    <row r="3" spans="2:19" s="140" customFormat="1" ht="18" customHeight="1" x14ac:dyDescent="0.15">
      <c r="B3" s="780" t="s">
        <v>20</v>
      </c>
      <c r="C3" s="781"/>
      <c r="D3" s="781"/>
      <c r="E3" s="782"/>
      <c r="F3" s="169" t="s">
        <v>21</v>
      </c>
      <c r="G3" s="143"/>
      <c r="H3" s="144" t="s">
        <v>22</v>
      </c>
      <c r="I3" s="142"/>
      <c r="J3" s="142"/>
      <c r="K3" s="770" t="s">
        <v>224</v>
      </c>
      <c r="L3" s="771"/>
      <c r="M3" s="771"/>
      <c r="N3" s="771"/>
      <c r="O3" s="771"/>
      <c r="P3" s="771"/>
      <c r="Q3" s="771"/>
      <c r="R3" s="771"/>
      <c r="S3" s="772"/>
    </row>
    <row r="4" spans="2:19" s="140" customFormat="1" ht="18" customHeight="1" x14ac:dyDescent="0.15">
      <c r="B4" s="778" t="s">
        <v>23</v>
      </c>
      <c r="C4" s="779"/>
      <c r="D4" s="239" t="s">
        <v>217</v>
      </c>
      <c r="E4" s="258"/>
      <c r="F4" s="251">
        <f>+R11</f>
        <v>858000</v>
      </c>
      <c r="G4" s="239" t="s">
        <v>200</v>
      </c>
      <c r="H4" s="154"/>
      <c r="I4" s="154"/>
      <c r="J4" s="154"/>
      <c r="K4" s="247" t="s">
        <v>57</v>
      </c>
      <c r="L4" s="336" t="s">
        <v>264</v>
      </c>
      <c r="M4" s="248" t="s">
        <v>24</v>
      </c>
      <c r="N4" s="248" t="s">
        <v>23</v>
      </c>
      <c r="O4" s="248" t="s">
        <v>57</v>
      </c>
      <c r="P4" s="336" t="s">
        <v>265</v>
      </c>
      <c r="Q4" s="248" t="s">
        <v>24</v>
      </c>
      <c r="R4" s="773" t="s">
        <v>23</v>
      </c>
      <c r="S4" s="774"/>
    </row>
    <row r="5" spans="2:19" s="140" customFormat="1" ht="18" customHeight="1" x14ac:dyDescent="0.15">
      <c r="B5" s="778"/>
      <c r="C5" s="779"/>
      <c r="D5" s="239" t="s">
        <v>92</v>
      </c>
      <c r="E5" s="258"/>
      <c r="F5" s="251">
        <v>0</v>
      </c>
      <c r="G5" s="205"/>
      <c r="H5" s="259"/>
      <c r="I5" s="259"/>
      <c r="J5" s="259"/>
      <c r="K5" s="250" t="s">
        <v>409</v>
      </c>
      <c r="L5" s="251">
        <v>6000</v>
      </c>
      <c r="M5" s="251">
        <v>143</v>
      </c>
      <c r="N5" s="251">
        <f>L5*M5</f>
        <v>858000</v>
      </c>
      <c r="O5" s="251"/>
      <c r="P5" s="251"/>
      <c r="Q5" s="251"/>
      <c r="R5" s="747">
        <f>P5*Q5</f>
        <v>0</v>
      </c>
      <c r="S5" s="740"/>
    </row>
    <row r="6" spans="2:19" s="140" customFormat="1" ht="18" customHeight="1" x14ac:dyDescent="0.15">
      <c r="B6" s="786" t="s">
        <v>222</v>
      </c>
      <c r="C6" s="783" t="s">
        <v>208</v>
      </c>
      <c r="D6" s="251" t="s">
        <v>59</v>
      </c>
      <c r="E6" s="260"/>
      <c r="F6" s="251">
        <f>+P13</f>
        <v>19250</v>
      </c>
      <c r="G6" s="205" t="s">
        <v>201</v>
      </c>
      <c r="H6" s="259"/>
      <c r="I6" s="259"/>
      <c r="J6" s="259"/>
      <c r="K6" s="257"/>
      <c r="L6" s="413"/>
      <c r="M6" s="251"/>
      <c r="N6" s="251">
        <f>L6*M6</f>
        <v>0</v>
      </c>
      <c r="O6" s="251"/>
      <c r="P6" s="251"/>
      <c r="Q6" s="251"/>
      <c r="R6" s="747">
        <f t="shared" ref="R6:R9" si="0">P6*Q6</f>
        <v>0</v>
      </c>
      <c r="S6" s="740"/>
    </row>
    <row r="7" spans="2:19" s="140" customFormat="1" ht="18" customHeight="1" x14ac:dyDescent="0.15">
      <c r="B7" s="787"/>
      <c r="C7" s="784"/>
      <c r="D7" s="251" t="s">
        <v>60</v>
      </c>
      <c r="E7" s="260"/>
      <c r="F7" s="251">
        <f>P22</f>
        <v>132764.15</v>
      </c>
      <c r="G7" s="239" t="s">
        <v>483</v>
      </c>
      <c r="H7" s="154"/>
      <c r="I7" s="154"/>
      <c r="J7" s="261"/>
      <c r="K7" s="255"/>
      <c r="L7" s="414"/>
      <c r="M7" s="251"/>
      <c r="N7" s="251">
        <f t="shared" ref="N7:N11" si="1">L7*M7</f>
        <v>0</v>
      </c>
      <c r="O7" s="251"/>
      <c r="P7" s="251"/>
      <c r="Q7" s="251"/>
      <c r="R7" s="747">
        <f t="shared" si="0"/>
        <v>0</v>
      </c>
      <c r="S7" s="740"/>
    </row>
    <row r="8" spans="2:19" s="140" customFormat="1" ht="18" customHeight="1" x14ac:dyDescent="0.15">
      <c r="B8" s="787"/>
      <c r="C8" s="784"/>
      <c r="D8" s="251" t="s">
        <v>61</v>
      </c>
      <c r="E8" s="260"/>
      <c r="F8" s="251">
        <f>P28</f>
        <v>62757.266666666663</v>
      </c>
      <c r="G8" s="211" t="s">
        <v>484</v>
      </c>
      <c r="H8" s="226"/>
      <c r="I8" s="226"/>
      <c r="J8" s="262"/>
      <c r="K8" s="253"/>
      <c r="L8" s="251"/>
      <c r="M8" s="251"/>
      <c r="N8" s="251">
        <f t="shared" si="1"/>
        <v>0</v>
      </c>
      <c r="O8" s="251"/>
      <c r="P8" s="251"/>
      <c r="Q8" s="251"/>
      <c r="R8" s="747">
        <f t="shared" si="0"/>
        <v>0</v>
      </c>
      <c r="S8" s="740"/>
    </row>
    <row r="9" spans="2:19" s="140" customFormat="1" ht="18" customHeight="1" x14ac:dyDescent="0.15">
      <c r="B9" s="787"/>
      <c r="C9" s="784"/>
      <c r="D9" s="251" t="s">
        <v>93</v>
      </c>
      <c r="E9" s="260"/>
      <c r="F9" s="251">
        <f>P37</f>
        <v>49469.500399999997</v>
      </c>
      <c r="G9" s="211" t="s">
        <v>485</v>
      </c>
      <c r="H9" s="226"/>
      <c r="I9" s="226"/>
      <c r="J9" s="262"/>
      <c r="K9" s="253"/>
      <c r="L9" s="251"/>
      <c r="M9" s="251"/>
      <c r="N9" s="251">
        <f t="shared" si="1"/>
        <v>0</v>
      </c>
      <c r="O9" s="251"/>
      <c r="P9" s="251"/>
      <c r="Q9" s="251"/>
      <c r="R9" s="747">
        <f t="shared" si="0"/>
        <v>0</v>
      </c>
      <c r="S9" s="740"/>
    </row>
    <row r="10" spans="2:19" s="140" customFormat="1" ht="18" customHeight="1" x14ac:dyDescent="0.15">
      <c r="B10" s="787"/>
      <c r="C10" s="784"/>
      <c r="D10" s="251" t="s">
        <v>62</v>
      </c>
      <c r="E10" s="260"/>
      <c r="F10" s="251">
        <f>'８－１　水稲算出基礎（こいもみじ）'!V21</f>
        <v>5806.666666666667</v>
      </c>
      <c r="G10" s="738"/>
      <c r="H10" s="739"/>
      <c r="I10" s="739"/>
      <c r="J10" s="740"/>
      <c r="K10" s="253"/>
      <c r="L10" s="251"/>
      <c r="M10" s="251"/>
      <c r="N10" s="251">
        <f t="shared" si="1"/>
        <v>0</v>
      </c>
      <c r="O10" s="251"/>
      <c r="P10" s="251"/>
      <c r="Q10" s="251"/>
      <c r="R10" s="747"/>
      <c r="S10" s="740"/>
    </row>
    <row r="11" spans="2:19" s="140" customFormat="1" ht="18" customHeight="1" thickBot="1" x14ac:dyDescent="0.2">
      <c r="B11" s="787"/>
      <c r="C11" s="784"/>
      <c r="D11" s="251" t="s">
        <v>6</v>
      </c>
      <c r="E11" s="260"/>
      <c r="F11" s="251">
        <f>'８－１　水稲算出基礎（こいもみじ）'!V34</f>
        <v>83.333333333333329</v>
      </c>
      <c r="G11" s="738"/>
      <c r="H11" s="739"/>
      <c r="I11" s="739"/>
      <c r="J11" s="740"/>
      <c r="K11" s="160"/>
      <c r="L11" s="146"/>
      <c r="M11" s="146"/>
      <c r="N11" s="145">
        <f t="shared" si="1"/>
        <v>0</v>
      </c>
      <c r="O11" s="147" t="s">
        <v>25</v>
      </c>
      <c r="P11" s="148">
        <f>SUM(L5:L11,P5:Q10)</f>
        <v>6000</v>
      </c>
      <c r="Q11" s="148">
        <f>R11/P11</f>
        <v>143</v>
      </c>
      <c r="R11" s="759">
        <f>SUM(N5:N11,R5:S10)</f>
        <v>858000</v>
      </c>
      <c r="S11" s="760"/>
    </row>
    <row r="12" spans="2:19" s="140" customFormat="1" ht="18" customHeight="1" thickTop="1" x14ac:dyDescent="0.15">
      <c r="B12" s="787"/>
      <c r="C12" s="784"/>
      <c r="D12" s="251" t="s">
        <v>7</v>
      </c>
      <c r="E12" s="260"/>
      <c r="F12" s="491">
        <v>0</v>
      </c>
      <c r="G12" s="211"/>
      <c r="H12" s="226"/>
      <c r="I12" s="226"/>
      <c r="J12" s="262"/>
      <c r="K12" s="750" t="s">
        <v>223</v>
      </c>
      <c r="L12" s="241" t="s">
        <v>169</v>
      </c>
      <c r="M12" s="242" t="s">
        <v>9</v>
      </c>
      <c r="N12" s="338" t="s">
        <v>263</v>
      </c>
      <c r="O12" s="243" t="s">
        <v>24</v>
      </c>
      <c r="P12" s="243" t="s">
        <v>27</v>
      </c>
      <c r="Q12" s="761" t="s">
        <v>28</v>
      </c>
      <c r="R12" s="762"/>
      <c r="S12" s="763"/>
    </row>
    <row r="13" spans="2:19" s="140" customFormat="1" ht="18" customHeight="1" x14ac:dyDescent="0.15">
      <c r="B13" s="787"/>
      <c r="C13" s="784"/>
      <c r="D13" s="775" t="s">
        <v>63</v>
      </c>
      <c r="E13" s="264" t="s">
        <v>196</v>
      </c>
      <c r="F13" s="406">
        <f>'６　資本装備と減価償却'!L15*'７－１　水稲部門（こいもみじ）収支'!H13</f>
        <v>6131.25</v>
      </c>
      <c r="G13" s="211" t="s">
        <v>202</v>
      </c>
      <c r="H13" s="504">
        <v>0.01</v>
      </c>
      <c r="I13" s="748" t="s">
        <v>204</v>
      </c>
      <c r="J13" s="749"/>
      <c r="K13" s="751"/>
      <c r="L13" s="246" t="s">
        <v>409</v>
      </c>
      <c r="M13" s="240" t="s">
        <v>161</v>
      </c>
      <c r="N13" s="172">
        <v>35</v>
      </c>
      <c r="O13" s="172">
        <v>550</v>
      </c>
      <c r="P13" s="172">
        <f>N13*O13</f>
        <v>19250</v>
      </c>
      <c r="Q13" s="741" t="s">
        <v>258</v>
      </c>
      <c r="R13" s="742"/>
      <c r="S13" s="743"/>
    </row>
    <row r="14" spans="2:19" s="140" customFormat="1" ht="18" customHeight="1" x14ac:dyDescent="0.15">
      <c r="B14" s="787"/>
      <c r="C14" s="784"/>
      <c r="D14" s="776"/>
      <c r="E14" s="264" t="s">
        <v>197</v>
      </c>
      <c r="F14" s="251">
        <f>'６　資本装備と減価償却'!L45*'７－１　水稲部門（こいもみじ）収支'!H14</f>
        <v>85180.666866666681</v>
      </c>
      <c r="G14" s="211" t="s">
        <v>202</v>
      </c>
      <c r="H14" s="504">
        <v>0.05</v>
      </c>
      <c r="I14" s="748" t="s">
        <v>204</v>
      </c>
      <c r="J14" s="749"/>
      <c r="K14" s="751"/>
      <c r="L14" s="246"/>
      <c r="M14" s="240" t="s">
        <v>161</v>
      </c>
      <c r="N14" s="172"/>
      <c r="O14" s="172"/>
      <c r="P14" s="172">
        <f>N14*O14</f>
        <v>0</v>
      </c>
      <c r="Q14" s="741" t="s">
        <v>258</v>
      </c>
      <c r="R14" s="742"/>
      <c r="S14" s="743"/>
    </row>
    <row r="15" spans="2:19" s="140" customFormat="1" ht="18" customHeight="1" thickBot="1" x14ac:dyDescent="0.2">
      <c r="B15" s="787"/>
      <c r="C15" s="784"/>
      <c r="D15" s="775" t="s">
        <v>94</v>
      </c>
      <c r="E15" s="264" t="s">
        <v>196</v>
      </c>
      <c r="F15" s="251">
        <f>'６　資本装備と減価償却'!P15</f>
        <v>24525</v>
      </c>
      <c r="G15" s="211" t="s">
        <v>204</v>
      </c>
      <c r="H15" s="226"/>
      <c r="I15" s="226"/>
      <c r="J15" s="262"/>
      <c r="K15" s="751"/>
      <c r="L15" s="151" t="s">
        <v>29</v>
      </c>
      <c r="M15" s="150"/>
      <c r="N15" s="151"/>
      <c r="O15" s="151"/>
      <c r="P15" s="151">
        <f>SUM(P13:P14)</f>
        <v>19250</v>
      </c>
      <c r="Q15" s="753"/>
      <c r="R15" s="754"/>
      <c r="S15" s="755"/>
    </row>
    <row r="16" spans="2:19" s="140" customFormat="1" ht="18" customHeight="1" thickTop="1" x14ac:dyDescent="0.15">
      <c r="B16" s="787"/>
      <c r="C16" s="784"/>
      <c r="D16" s="777"/>
      <c r="E16" s="264" t="s">
        <v>197</v>
      </c>
      <c r="F16" s="251">
        <f>'６　資本装備と減価償却'!P45</f>
        <v>243373.33390476191</v>
      </c>
      <c r="G16" s="211" t="s">
        <v>204</v>
      </c>
      <c r="H16" s="226"/>
      <c r="I16" s="226"/>
      <c r="J16" s="262"/>
      <c r="K16" s="751"/>
      <c r="L16" s="235" t="s">
        <v>170</v>
      </c>
      <c r="M16" s="236"/>
      <c r="N16" s="337" t="s">
        <v>263</v>
      </c>
      <c r="O16" s="423" t="s">
        <v>24</v>
      </c>
      <c r="P16" s="238" t="s">
        <v>27</v>
      </c>
      <c r="Q16" s="756" t="s">
        <v>28</v>
      </c>
      <c r="R16" s="757"/>
      <c r="S16" s="758"/>
    </row>
    <row r="17" spans="1:19" s="140" customFormat="1" ht="18" customHeight="1" x14ac:dyDescent="0.15">
      <c r="B17" s="787"/>
      <c r="C17" s="784"/>
      <c r="D17" s="776"/>
      <c r="E17" s="251" t="s">
        <v>64</v>
      </c>
      <c r="F17" s="251">
        <f>'６　資本装備と減価償却'!P50</f>
        <v>0</v>
      </c>
      <c r="G17" s="211" t="s">
        <v>204</v>
      </c>
      <c r="H17" s="226"/>
      <c r="I17" s="226"/>
      <c r="J17" s="262"/>
      <c r="K17" s="751"/>
      <c r="L17" s="239" t="s">
        <v>176</v>
      </c>
      <c r="M17" s="240"/>
      <c r="N17" s="211" t="s">
        <v>325</v>
      </c>
      <c r="O17" s="230"/>
      <c r="P17" s="228">
        <f>'８－１　水稲算出基礎（こいもみじ）'!G7</f>
        <v>0</v>
      </c>
      <c r="Q17" s="744"/>
      <c r="R17" s="745"/>
      <c r="S17" s="746"/>
    </row>
    <row r="18" spans="1:19" s="140" customFormat="1" ht="18" customHeight="1" x14ac:dyDescent="0.15">
      <c r="A18" s="139"/>
      <c r="B18" s="787"/>
      <c r="C18" s="784"/>
      <c r="D18" s="800" t="s">
        <v>269</v>
      </c>
      <c r="E18" s="256" t="s">
        <v>128</v>
      </c>
      <c r="F18" s="251">
        <v>0</v>
      </c>
      <c r="G18" s="211"/>
      <c r="H18" s="226"/>
      <c r="I18" s="226"/>
      <c r="J18" s="262"/>
      <c r="K18" s="751"/>
      <c r="L18" s="239" t="s">
        <v>174</v>
      </c>
      <c r="M18" s="240"/>
      <c r="N18" s="211" t="s">
        <v>280</v>
      </c>
      <c r="O18" s="230"/>
      <c r="P18" s="228">
        <f>'８－１　水稲算出基礎（こいもみじ）'!G11</f>
        <v>38400</v>
      </c>
      <c r="Q18" s="744"/>
      <c r="R18" s="745"/>
      <c r="S18" s="746"/>
    </row>
    <row r="19" spans="1:19" s="140" customFormat="1" ht="18" customHeight="1" x14ac:dyDescent="0.15">
      <c r="A19" s="139"/>
      <c r="B19" s="787"/>
      <c r="C19" s="784"/>
      <c r="D19" s="800"/>
      <c r="E19" s="256" t="s">
        <v>124</v>
      </c>
      <c r="F19" s="251">
        <f>J19*'５－１　水稲（こいもみじ）作業時間'!AO34</f>
        <v>37290.000000000007</v>
      </c>
      <c r="G19" s="211"/>
      <c r="H19" s="226"/>
      <c r="I19" s="275" t="s">
        <v>338</v>
      </c>
      <c r="J19" s="473">
        <v>1100</v>
      </c>
      <c r="K19" s="751"/>
      <c r="L19" s="211" t="s">
        <v>175</v>
      </c>
      <c r="M19" s="226"/>
      <c r="N19" s="211" t="s">
        <v>280</v>
      </c>
      <c r="O19" s="230"/>
      <c r="P19" s="228">
        <f>'８－１　水稲算出基礎（こいもみじ）'!G16</f>
        <v>80000</v>
      </c>
      <c r="Q19" s="744"/>
      <c r="R19" s="745"/>
      <c r="S19" s="746"/>
    </row>
    <row r="20" spans="1:19" s="140" customFormat="1" ht="18" customHeight="1" x14ac:dyDescent="0.15">
      <c r="A20" s="139"/>
      <c r="B20" s="787"/>
      <c r="C20" s="784"/>
      <c r="D20" s="800"/>
      <c r="E20" s="256" t="s">
        <v>125</v>
      </c>
      <c r="F20" s="251">
        <f>J20*'５－１　水稲（こいもみじ）作業時間'!AP34</f>
        <v>55800</v>
      </c>
      <c r="G20" s="211"/>
      <c r="H20" s="226"/>
      <c r="I20" s="275" t="s">
        <v>339</v>
      </c>
      <c r="J20" s="473">
        <v>900</v>
      </c>
      <c r="K20" s="751"/>
      <c r="L20" s="211"/>
      <c r="M20" s="226"/>
      <c r="N20" s="211"/>
      <c r="O20" s="230"/>
      <c r="P20" s="228">
        <f>'８－１　水稲算出基礎（こいもみじ）'!G20</f>
        <v>0</v>
      </c>
      <c r="Q20" s="744"/>
      <c r="R20" s="745"/>
      <c r="S20" s="746"/>
    </row>
    <row r="21" spans="1:19" s="140" customFormat="1" ht="18" customHeight="1" x14ac:dyDescent="0.15">
      <c r="A21" s="139"/>
      <c r="B21" s="787"/>
      <c r="C21" s="784"/>
      <c r="D21" s="800"/>
      <c r="E21" s="256" t="s">
        <v>126</v>
      </c>
      <c r="F21" s="251">
        <f>(F19+F20)*0.012</f>
        <v>1117.08</v>
      </c>
      <c r="G21" s="211"/>
      <c r="H21" s="226"/>
      <c r="I21" s="226"/>
      <c r="J21" s="262"/>
      <c r="K21" s="751"/>
      <c r="L21" s="211" t="s">
        <v>178</v>
      </c>
      <c r="M21" s="226"/>
      <c r="N21" s="211" t="s">
        <v>325</v>
      </c>
      <c r="O21" s="228"/>
      <c r="P21" s="228">
        <f>'８－１　水稲算出基礎（こいもみじ）'!G24</f>
        <v>14364.15</v>
      </c>
      <c r="Q21" s="744"/>
      <c r="R21" s="745"/>
      <c r="S21" s="746"/>
    </row>
    <row r="22" spans="1:19" s="140" customFormat="1" ht="18" customHeight="1" thickBot="1" x14ac:dyDescent="0.2">
      <c r="A22" s="139"/>
      <c r="B22" s="787"/>
      <c r="C22" s="784"/>
      <c r="D22" s="800" t="s">
        <v>65</v>
      </c>
      <c r="E22" s="256" t="s">
        <v>66</v>
      </c>
      <c r="F22" s="251">
        <f t="shared" ref="F22:F23" si="2">I22*10</f>
        <v>23760</v>
      </c>
      <c r="G22" s="211"/>
      <c r="H22" s="226"/>
      <c r="I22" s="226">
        <v>2376</v>
      </c>
      <c r="J22" s="262" t="s">
        <v>337</v>
      </c>
      <c r="K22" s="751"/>
      <c r="L22" s="151" t="s">
        <v>29</v>
      </c>
      <c r="M22" s="150"/>
      <c r="N22" s="151"/>
      <c r="O22" s="151"/>
      <c r="P22" s="151">
        <f>SUM(P17:P21)</f>
        <v>132764.15</v>
      </c>
      <c r="Q22" s="753"/>
      <c r="R22" s="754"/>
      <c r="S22" s="755"/>
    </row>
    <row r="23" spans="1:19" s="140" customFormat="1" ht="18" customHeight="1" thickTop="1" x14ac:dyDescent="0.15">
      <c r="A23" s="139"/>
      <c r="B23" s="787"/>
      <c r="C23" s="784"/>
      <c r="D23" s="800"/>
      <c r="E23" s="256" t="s">
        <v>95</v>
      </c>
      <c r="F23" s="251">
        <f t="shared" si="2"/>
        <v>50000</v>
      </c>
      <c r="G23" s="211"/>
      <c r="H23" s="226"/>
      <c r="I23" s="226">
        <v>5000</v>
      </c>
      <c r="J23" s="262" t="s">
        <v>337</v>
      </c>
      <c r="K23" s="751"/>
      <c r="L23" s="211" t="s">
        <v>171</v>
      </c>
      <c r="M23" s="226"/>
      <c r="N23" s="227" t="s">
        <v>26</v>
      </c>
      <c r="O23" s="227" t="s">
        <v>24</v>
      </c>
      <c r="P23" s="227" t="s">
        <v>27</v>
      </c>
      <c r="Q23" s="756" t="s">
        <v>28</v>
      </c>
      <c r="R23" s="757"/>
      <c r="S23" s="758"/>
    </row>
    <row r="24" spans="1:19" s="140" customFormat="1" ht="18" customHeight="1" x14ac:dyDescent="0.15">
      <c r="A24" s="139"/>
      <c r="B24" s="787"/>
      <c r="C24" s="784"/>
      <c r="D24" s="251" t="s">
        <v>67</v>
      </c>
      <c r="E24" s="260"/>
      <c r="F24" s="251">
        <f>I24*10</f>
        <v>30000</v>
      </c>
      <c r="G24" s="211"/>
      <c r="H24" s="226"/>
      <c r="I24" s="474">
        <v>3000</v>
      </c>
      <c r="J24" s="262" t="s">
        <v>337</v>
      </c>
      <c r="K24" s="751"/>
      <c r="L24" s="228" t="s">
        <v>30</v>
      </c>
      <c r="M24" s="226"/>
      <c r="N24" s="211" t="s">
        <v>328</v>
      </c>
      <c r="O24" s="228"/>
      <c r="P24" s="228">
        <f>'８－１　水稲算出基礎（こいもみじ）'!G38</f>
        <v>5512.1</v>
      </c>
      <c r="Q24" s="744"/>
      <c r="R24" s="745"/>
      <c r="S24" s="746"/>
    </row>
    <row r="25" spans="1:19" s="140" customFormat="1" ht="18" customHeight="1" x14ac:dyDescent="0.15">
      <c r="A25" s="139"/>
      <c r="B25" s="787"/>
      <c r="C25" s="784"/>
      <c r="D25" s="251" t="s">
        <v>173</v>
      </c>
      <c r="E25" s="260"/>
      <c r="F25" s="251">
        <f>SUM(F6:F24)/99</f>
        <v>8356.6489680615668</v>
      </c>
      <c r="G25" s="266" t="s">
        <v>225</v>
      </c>
      <c r="H25" s="280">
        <v>0.01</v>
      </c>
      <c r="I25" s="497"/>
      <c r="J25" s="505"/>
      <c r="K25" s="751"/>
      <c r="L25" s="228" t="s">
        <v>329</v>
      </c>
      <c r="M25" s="226"/>
      <c r="N25" s="211" t="s">
        <v>331</v>
      </c>
      <c r="O25" s="228"/>
      <c r="P25" s="228">
        <f>'８－１　水稲算出基礎（こいもみじ）'!G49</f>
        <v>4975</v>
      </c>
      <c r="Q25" s="744"/>
      <c r="R25" s="745"/>
      <c r="S25" s="746"/>
    </row>
    <row r="26" spans="1:19" s="140" customFormat="1" ht="18" customHeight="1" x14ac:dyDescent="0.15">
      <c r="A26" s="139"/>
      <c r="B26" s="787"/>
      <c r="C26" s="785"/>
      <c r="D26" s="806" t="s">
        <v>216</v>
      </c>
      <c r="E26" s="807"/>
      <c r="F26" s="170">
        <f>SUM(F6:F25)</f>
        <v>835664.89680615673</v>
      </c>
      <c r="G26" s="220"/>
      <c r="H26" s="497"/>
      <c r="I26" s="497"/>
      <c r="J26" s="498"/>
      <c r="K26" s="751"/>
      <c r="L26" s="228" t="s">
        <v>32</v>
      </c>
      <c r="M26" s="226"/>
      <c r="N26" s="211" t="s">
        <v>325</v>
      </c>
      <c r="O26" s="228"/>
      <c r="P26" s="228">
        <f>'８－１　水稲算出基礎（こいもみじ）'!G53</f>
        <v>24330</v>
      </c>
      <c r="Q26" s="744"/>
      <c r="R26" s="745"/>
      <c r="S26" s="746"/>
    </row>
    <row r="27" spans="1:19" s="140" customFormat="1" ht="18" customHeight="1" x14ac:dyDescent="0.15">
      <c r="A27" s="139"/>
      <c r="B27" s="787"/>
      <c r="C27" s="801" t="s">
        <v>203</v>
      </c>
      <c r="D27" s="684" t="s">
        <v>68</v>
      </c>
      <c r="E27" s="55" t="s">
        <v>3</v>
      </c>
      <c r="F27" s="145">
        <f>P11/30*J27</f>
        <v>16000</v>
      </c>
      <c r="G27" s="239"/>
      <c r="H27" s="226"/>
      <c r="I27" s="149" t="s">
        <v>345</v>
      </c>
      <c r="J27" s="410">
        <v>80</v>
      </c>
      <c r="K27" s="751"/>
      <c r="L27" s="228" t="s">
        <v>326</v>
      </c>
      <c r="M27" s="226"/>
      <c r="N27" s="211" t="s">
        <v>331</v>
      </c>
      <c r="O27" s="228"/>
      <c r="P27" s="228">
        <f>'８－１　水稲算出基礎（こいもみじ）'!G57</f>
        <v>27940.166666666664</v>
      </c>
      <c r="Q27" s="744"/>
      <c r="R27" s="745"/>
      <c r="S27" s="746"/>
    </row>
    <row r="28" spans="1:19" s="140" customFormat="1" ht="18" customHeight="1" thickBot="1" x14ac:dyDescent="0.2">
      <c r="A28" s="139"/>
      <c r="B28" s="787"/>
      <c r="C28" s="802"/>
      <c r="D28" s="687"/>
      <c r="E28" s="55" t="s">
        <v>4</v>
      </c>
      <c r="F28" s="171">
        <v>0</v>
      </c>
      <c r="G28" s="239"/>
      <c r="H28" s="267"/>
      <c r="I28" s="267"/>
      <c r="J28" s="268"/>
      <c r="K28" s="751"/>
      <c r="L28" s="151" t="s">
        <v>29</v>
      </c>
      <c r="M28" s="150"/>
      <c r="N28" s="151"/>
      <c r="O28" s="151"/>
      <c r="P28" s="151">
        <f>SUM(P24:P27)</f>
        <v>62757.266666666663</v>
      </c>
      <c r="Q28" s="753"/>
      <c r="R28" s="754"/>
      <c r="S28" s="755"/>
    </row>
    <row r="29" spans="1:19" s="140" customFormat="1" ht="18" customHeight="1" thickTop="1" x14ac:dyDescent="0.15">
      <c r="A29" s="139"/>
      <c r="B29" s="787"/>
      <c r="C29" s="802"/>
      <c r="D29" s="685"/>
      <c r="E29" s="55" t="s">
        <v>8</v>
      </c>
      <c r="F29" s="145">
        <f>P11/30*J29</f>
        <v>5000</v>
      </c>
      <c r="G29" s="239"/>
      <c r="H29" s="497"/>
      <c r="I29" s="267" t="s">
        <v>346</v>
      </c>
      <c r="J29" s="411">
        <v>25</v>
      </c>
      <c r="K29" s="751"/>
      <c r="L29" s="211" t="s">
        <v>172</v>
      </c>
      <c r="M29" s="226"/>
      <c r="N29" s="227" t="s">
        <v>26</v>
      </c>
      <c r="O29" s="227" t="s">
        <v>24</v>
      </c>
      <c r="P29" s="227" t="s">
        <v>27</v>
      </c>
      <c r="Q29" s="756" t="s">
        <v>28</v>
      </c>
      <c r="R29" s="757"/>
      <c r="S29" s="758"/>
    </row>
    <row r="30" spans="1:19" s="140" customFormat="1" ht="18" customHeight="1" x14ac:dyDescent="0.15">
      <c r="A30" s="139"/>
      <c r="B30" s="787"/>
      <c r="C30" s="802"/>
      <c r="D30" s="55" t="s">
        <v>69</v>
      </c>
      <c r="E30" s="56"/>
      <c r="F30" s="145">
        <v>0</v>
      </c>
      <c r="G30" s="239"/>
      <c r="H30" s="497"/>
      <c r="I30" s="267"/>
      <c r="J30" s="269"/>
      <c r="K30" s="751"/>
      <c r="L30" s="228" t="s">
        <v>162</v>
      </c>
      <c r="M30" s="229"/>
      <c r="N30" s="211" t="s">
        <v>332</v>
      </c>
      <c r="O30" s="230"/>
      <c r="P30" s="228">
        <f>'８－１　水稲算出基礎（こいもみじ）'!N12</f>
        <v>19311.599999999999</v>
      </c>
      <c r="Q30" s="767"/>
      <c r="R30" s="768"/>
      <c r="S30" s="769"/>
    </row>
    <row r="31" spans="1:19" s="140" customFormat="1" ht="18" customHeight="1" x14ac:dyDescent="0.15">
      <c r="A31" s="139"/>
      <c r="B31" s="787"/>
      <c r="C31" s="802"/>
      <c r="D31" s="700" t="s">
        <v>270</v>
      </c>
      <c r="E31" s="65" t="s">
        <v>128</v>
      </c>
      <c r="F31" s="145">
        <v>0</v>
      </c>
      <c r="G31" s="239"/>
      <c r="H31" s="270"/>
      <c r="I31" s="270"/>
      <c r="J31" s="271"/>
      <c r="K31" s="751"/>
      <c r="L31" s="228" t="s">
        <v>163</v>
      </c>
      <c r="M31" s="229"/>
      <c r="N31" s="211" t="s">
        <v>333</v>
      </c>
      <c r="O31" s="230"/>
      <c r="P31" s="228">
        <f>'８－１　水稲算出基礎（こいもみじ）'!N16</f>
        <v>2299.9679999999998</v>
      </c>
      <c r="Q31" s="767"/>
      <c r="R31" s="768"/>
      <c r="S31" s="769"/>
    </row>
    <row r="32" spans="1:19" s="140" customFormat="1" ht="18" customHeight="1" x14ac:dyDescent="0.15">
      <c r="A32" s="139"/>
      <c r="B32" s="787"/>
      <c r="C32" s="802"/>
      <c r="D32" s="700"/>
      <c r="E32" s="65" t="s">
        <v>127</v>
      </c>
      <c r="F32" s="145">
        <v>0</v>
      </c>
      <c r="G32" s="239"/>
      <c r="H32" s="272"/>
      <c r="I32" s="272"/>
      <c r="J32" s="273"/>
      <c r="K32" s="751"/>
      <c r="L32" s="228" t="s">
        <v>165</v>
      </c>
      <c r="M32" s="226"/>
      <c r="N32" s="230"/>
      <c r="O32" s="230"/>
      <c r="P32" s="228">
        <f>SUM(P30:P31)*R32</f>
        <v>6483.4703999999992</v>
      </c>
      <c r="Q32" s="231" t="s">
        <v>164</v>
      </c>
      <c r="R32" s="232">
        <v>0.3</v>
      </c>
      <c r="S32" s="155"/>
    </row>
    <row r="33" spans="1:23" ht="18" customHeight="1" x14ac:dyDescent="0.15">
      <c r="B33" s="787"/>
      <c r="C33" s="802"/>
      <c r="D33" s="55" t="s">
        <v>70</v>
      </c>
      <c r="E33" s="66"/>
      <c r="F33" s="145">
        <v>0</v>
      </c>
      <c r="G33" s="239"/>
      <c r="H33" s="274"/>
      <c r="I33" s="275"/>
      <c r="J33" s="269"/>
      <c r="K33" s="751"/>
      <c r="L33" s="228" t="s">
        <v>166</v>
      </c>
      <c r="M33" s="229"/>
      <c r="N33" s="211"/>
      <c r="O33" s="230"/>
      <c r="P33" s="228">
        <f>'８－１　水稲算出基礎（こいもみじ）'!N20</f>
        <v>0</v>
      </c>
      <c r="Q33" s="744"/>
      <c r="R33" s="745"/>
      <c r="S33" s="746"/>
    </row>
    <row r="34" spans="1:23" ht="18" customHeight="1" x14ac:dyDescent="0.15">
      <c r="B34" s="787"/>
      <c r="C34" s="802"/>
      <c r="D34" s="55" t="s">
        <v>96</v>
      </c>
      <c r="E34" s="66"/>
      <c r="F34" s="145">
        <v>0</v>
      </c>
      <c r="G34" s="239"/>
      <c r="H34" s="276"/>
      <c r="I34" s="277"/>
      <c r="J34" s="278"/>
      <c r="K34" s="751"/>
      <c r="L34" s="228" t="s">
        <v>167</v>
      </c>
      <c r="M34" s="229"/>
      <c r="N34" s="211" t="s">
        <v>333</v>
      </c>
      <c r="O34" s="230"/>
      <c r="P34" s="228">
        <f>'８－１　水稲算出基礎（こいもみじ）'!N24</f>
        <v>17563.241999999998</v>
      </c>
      <c r="Q34" s="744"/>
      <c r="R34" s="745"/>
      <c r="S34" s="746"/>
    </row>
    <row r="35" spans="1:23" ht="18" customHeight="1" x14ac:dyDescent="0.15">
      <c r="B35" s="787"/>
      <c r="C35" s="802"/>
      <c r="D35" s="55" t="s">
        <v>131</v>
      </c>
      <c r="E35" s="56"/>
      <c r="F35" s="171">
        <f>'８－１　水稲算出基礎（こいもみじ）'!V57</f>
        <v>8425</v>
      </c>
      <c r="G35" s="329"/>
      <c r="H35" s="327"/>
      <c r="I35" s="327"/>
      <c r="J35" s="328"/>
      <c r="K35" s="751"/>
      <c r="L35" s="228" t="s">
        <v>268</v>
      </c>
      <c r="M35" s="229"/>
      <c r="N35" s="211"/>
      <c r="O35" s="230"/>
      <c r="P35" s="228">
        <f>'８－１　水稲算出基礎（こいもみじ）'!N28</f>
        <v>0</v>
      </c>
      <c r="Q35" s="744"/>
      <c r="R35" s="745"/>
      <c r="S35" s="746"/>
    </row>
    <row r="36" spans="1:23" ht="18" customHeight="1" x14ac:dyDescent="0.15">
      <c r="B36" s="787"/>
      <c r="C36" s="802"/>
      <c r="D36" s="76" t="s">
        <v>97</v>
      </c>
      <c r="E36" s="77"/>
      <c r="F36" s="279">
        <v>0</v>
      </c>
      <c r="G36" s="211"/>
      <c r="H36" s="276"/>
      <c r="I36" s="277"/>
      <c r="J36" s="269"/>
      <c r="K36" s="751"/>
      <c r="L36" s="228" t="s">
        <v>168</v>
      </c>
      <c r="M36" s="226"/>
      <c r="N36" s="211" t="s">
        <v>334</v>
      </c>
      <c r="O36" s="230"/>
      <c r="P36" s="228">
        <f>'８－１　水稲算出基礎（こいもみじ）'!N32</f>
        <v>3811.2200000000003</v>
      </c>
      <c r="Q36" s="744"/>
      <c r="R36" s="745"/>
      <c r="S36" s="746"/>
    </row>
    <row r="37" spans="1:23" ht="18" customHeight="1" thickBot="1" x14ac:dyDescent="0.2">
      <c r="B37" s="787"/>
      <c r="C37" s="802"/>
      <c r="D37" s="55" t="s">
        <v>71</v>
      </c>
      <c r="E37" s="56"/>
      <c r="F37" s="171">
        <f>'８－１　水稲算出基礎（こいもみじ）'!N57</f>
        <v>3835.125</v>
      </c>
      <c r="G37" s="329"/>
      <c r="H37" s="327"/>
      <c r="I37" s="327"/>
      <c r="J37" s="328"/>
      <c r="K37" s="752"/>
      <c r="L37" s="163" t="s">
        <v>29</v>
      </c>
      <c r="M37" s="162"/>
      <c r="N37" s="163"/>
      <c r="O37" s="163"/>
      <c r="P37" s="163">
        <f>SUM(P30:P36)</f>
        <v>49469.500399999997</v>
      </c>
      <c r="Q37" s="764"/>
      <c r="R37" s="765"/>
      <c r="S37" s="766"/>
    </row>
    <row r="38" spans="1:23" s="157" customFormat="1" ht="18" customHeight="1" x14ac:dyDescent="0.15">
      <c r="A38" s="139"/>
      <c r="B38" s="787"/>
      <c r="C38" s="802"/>
      <c r="D38" s="55" t="s">
        <v>0</v>
      </c>
      <c r="E38" s="66"/>
      <c r="F38" s="171">
        <v>0</v>
      </c>
      <c r="G38" s="15"/>
      <c r="H38" s="276"/>
      <c r="I38" s="277"/>
      <c r="J38" s="269"/>
    </row>
    <row r="39" spans="1:23" s="157" customFormat="1" ht="18" customHeight="1" thickBot="1" x14ac:dyDescent="0.2">
      <c r="A39" s="139"/>
      <c r="B39" s="788"/>
      <c r="C39" s="803"/>
      <c r="D39" s="804" t="s">
        <v>215</v>
      </c>
      <c r="E39" s="805"/>
      <c r="F39" s="213">
        <f>SUM(F27:F38)</f>
        <v>33260.125</v>
      </c>
      <c r="G39" s="214"/>
      <c r="H39" s="506"/>
      <c r="I39" s="507"/>
      <c r="J39" s="508"/>
      <c r="T39" s="158"/>
    </row>
    <row r="40" spans="1:23" s="157" customFormat="1" ht="18" customHeight="1" x14ac:dyDescent="0.15">
      <c r="A40" s="139"/>
      <c r="B40" s="789" t="s">
        <v>219</v>
      </c>
      <c r="C40" s="792" t="s">
        <v>73</v>
      </c>
      <c r="D40" s="208" t="s">
        <v>130</v>
      </c>
      <c r="E40" s="209"/>
      <c r="F40" s="210">
        <f>J40*10</f>
        <v>75000</v>
      </c>
      <c r="G40" s="211"/>
      <c r="H40" s="737" t="s">
        <v>490</v>
      </c>
      <c r="I40" s="737"/>
      <c r="J40" s="509">
        <v>7500</v>
      </c>
      <c r="T40" s="140"/>
      <c r="U40" s="140"/>
      <c r="V40" s="140"/>
      <c r="W40" s="140"/>
    </row>
    <row r="41" spans="1:23" s="157" customFormat="1" ht="18" customHeight="1" x14ac:dyDescent="0.15">
      <c r="A41" s="139"/>
      <c r="B41" s="790"/>
      <c r="C41" s="793"/>
      <c r="D41" s="55" t="s">
        <v>129</v>
      </c>
      <c r="E41" s="56"/>
      <c r="F41" s="203">
        <v>0</v>
      </c>
      <c r="G41" s="211"/>
      <c r="H41" s="164"/>
      <c r="I41" s="164"/>
      <c r="J41" s="224"/>
      <c r="T41" s="159"/>
      <c r="U41" s="160"/>
      <c r="V41" s="161"/>
      <c r="W41" s="159"/>
    </row>
    <row r="42" spans="1:23" s="157" customFormat="1" ht="18" customHeight="1" x14ac:dyDescent="0.15">
      <c r="A42" s="139"/>
      <c r="B42" s="790"/>
      <c r="C42" s="794"/>
      <c r="D42" s="76" t="s">
        <v>72</v>
      </c>
      <c r="E42" s="56"/>
      <c r="F42" s="203">
        <v>0</v>
      </c>
      <c r="G42" s="211"/>
      <c r="H42" s="164"/>
      <c r="I42" s="164"/>
      <c r="J42" s="224"/>
      <c r="T42" s="140"/>
      <c r="U42" s="140"/>
      <c r="V42" s="140"/>
      <c r="W42" s="140"/>
    </row>
    <row r="43" spans="1:23" s="157" customFormat="1" ht="18" customHeight="1" x14ac:dyDescent="0.15">
      <c r="B43" s="790"/>
      <c r="C43" s="795" t="s">
        <v>218</v>
      </c>
      <c r="D43" s="76" t="s">
        <v>271</v>
      </c>
      <c r="E43" s="77"/>
      <c r="F43" s="203">
        <v>0</v>
      </c>
      <c r="G43" s="211"/>
      <c r="H43" s="164"/>
      <c r="I43" s="164"/>
      <c r="J43" s="224"/>
      <c r="T43" s="141"/>
      <c r="U43" s="158"/>
      <c r="V43" s="140"/>
      <c r="W43" s="159"/>
    </row>
    <row r="44" spans="1:23" s="157" customFormat="1" ht="18" customHeight="1" x14ac:dyDescent="0.15">
      <c r="B44" s="790"/>
      <c r="C44" s="796"/>
      <c r="D44" s="78" t="s">
        <v>1</v>
      </c>
      <c r="E44" s="79"/>
      <c r="F44" s="203">
        <v>0</v>
      </c>
      <c r="G44" s="211"/>
      <c r="H44" s="164"/>
      <c r="I44" s="164"/>
      <c r="J44" s="224"/>
      <c r="T44" s="141"/>
      <c r="U44" s="158"/>
      <c r="V44" s="140"/>
      <c r="W44" s="159"/>
    </row>
    <row r="45" spans="1:23" s="157" customFormat="1" ht="18" customHeight="1" thickBot="1" x14ac:dyDescent="0.2">
      <c r="B45" s="791"/>
      <c r="C45" s="797" t="s">
        <v>99</v>
      </c>
      <c r="D45" s="798"/>
      <c r="E45" s="799"/>
      <c r="F45" s="204">
        <f>SUM(F40:F42)-SUM(F43:F44)</f>
        <v>75000</v>
      </c>
      <c r="G45" s="165"/>
      <c r="H45" s="166"/>
      <c r="I45" s="166"/>
      <c r="J45" s="225"/>
      <c r="T45" s="140"/>
      <c r="U45" s="140"/>
      <c r="V45" s="160"/>
      <c r="W45" s="140"/>
    </row>
  </sheetData>
  <mergeCells count="57">
    <mergeCell ref="B40:B45"/>
    <mergeCell ref="C40:C42"/>
    <mergeCell ref="C43:C44"/>
    <mergeCell ref="C45:E45"/>
    <mergeCell ref="D18:D21"/>
    <mergeCell ref="D22:D23"/>
    <mergeCell ref="C27:C39"/>
    <mergeCell ref="D27:D29"/>
    <mergeCell ref="D31:D32"/>
    <mergeCell ref="D39:E39"/>
    <mergeCell ref="D26:E26"/>
    <mergeCell ref="D13:D14"/>
    <mergeCell ref="D15:D17"/>
    <mergeCell ref="B4:C5"/>
    <mergeCell ref="B3:E3"/>
    <mergeCell ref="C6:C26"/>
    <mergeCell ref="B6:B39"/>
    <mergeCell ref="Q15:S15"/>
    <mergeCell ref="K3:S3"/>
    <mergeCell ref="R6:S6"/>
    <mergeCell ref="R7:S7"/>
    <mergeCell ref="R8:S8"/>
    <mergeCell ref="R9:S9"/>
    <mergeCell ref="R4:S4"/>
    <mergeCell ref="R5:S5"/>
    <mergeCell ref="Q23:S23"/>
    <mergeCell ref="R11:S11"/>
    <mergeCell ref="Q12:S12"/>
    <mergeCell ref="Q36:S36"/>
    <mergeCell ref="Q37:S37"/>
    <mergeCell ref="Q27:S27"/>
    <mergeCell ref="Q28:S28"/>
    <mergeCell ref="Q29:S29"/>
    <mergeCell ref="Q30:S30"/>
    <mergeCell ref="Q31:S31"/>
    <mergeCell ref="Q35:S35"/>
    <mergeCell ref="Q24:S24"/>
    <mergeCell ref="Q25:S25"/>
    <mergeCell ref="Q26:S26"/>
    <mergeCell ref="Q16:S16"/>
    <mergeCell ref="Q14:S14"/>
    <mergeCell ref="H40:I40"/>
    <mergeCell ref="G10:J10"/>
    <mergeCell ref="Q13:S13"/>
    <mergeCell ref="Q17:S17"/>
    <mergeCell ref="Q18:S18"/>
    <mergeCell ref="Q19:S19"/>
    <mergeCell ref="R10:S10"/>
    <mergeCell ref="I13:J13"/>
    <mergeCell ref="I14:J14"/>
    <mergeCell ref="K12:K37"/>
    <mergeCell ref="Q20:S20"/>
    <mergeCell ref="Q21:S21"/>
    <mergeCell ref="G11:J11"/>
    <mergeCell ref="Q33:S33"/>
    <mergeCell ref="Q34:S34"/>
    <mergeCell ref="Q22:S22"/>
  </mergeCells>
  <phoneticPr fontId="4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9" customWidth="1"/>
    <col min="2" max="2" width="5.875" style="139" customWidth="1"/>
    <col min="3" max="3" width="10.625" style="139" customWidth="1"/>
    <col min="4" max="4" width="12.375" style="139" customWidth="1"/>
    <col min="5" max="5" width="14.625" style="139" customWidth="1"/>
    <col min="6" max="7" width="15.875" style="139" customWidth="1"/>
    <col min="8" max="8" width="10.875" style="139"/>
    <col min="9" max="9" width="11.375" style="139" bestFit="1" customWidth="1"/>
    <col min="10" max="10" width="13.375" style="139" customWidth="1"/>
    <col min="11" max="11" width="7.125" style="139" customWidth="1"/>
    <col min="12" max="12" width="15.375" style="139" customWidth="1"/>
    <col min="13" max="13" width="9.375" style="139" bestFit="1" customWidth="1"/>
    <col min="14" max="14" width="10.875" style="139"/>
    <col min="15" max="15" width="7.25" style="139" customWidth="1"/>
    <col min="16" max="16" width="9.625" style="139" customWidth="1"/>
    <col min="17" max="17" width="10.875" style="139" customWidth="1"/>
    <col min="18" max="18" width="7.5" style="139" customWidth="1"/>
    <col min="19" max="19" width="3.75" style="139" customWidth="1"/>
    <col min="20" max="16384" width="10.875" style="139"/>
  </cols>
  <sheetData>
    <row r="1" spans="2:19" s="140" customFormat="1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2:19" s="140" customFormat="1" ht="24.95" customHeight="1" thickBot="1" x14ac:dyDescent="0.2">
      <c r="B2" s="140" t="s">
        <v>388</v>
      </c>
      <c r="H2" s="141" t="s">
        <v>259</v>
      </c>
      <c r="I2" s="3" t="s">
        <v>412</v>
      </c>
      <c r="K2" s="141" t="s">
        <v>260</v>
      </c>
      <c r="L2" s="3" t="s">
        <v>262</v>
      </c>
      <c r="N2" s="139"/>
      <c r="O2" s="139"/>
      <c r="Q2" s="4"/>
      <c r="R2" s="4"/>
    </row>
    <row r="3" spans="2:19" s="140" customFormat="1" ht="18" customHeight="1" x14ac:dyDescent="0.15">
      <c r="B3" s="780" t="s">
        <v>20</v>
      </c>
      <c r="C3" s="781"/>
      <c r="D3" s="781"/>
      <c r="E3" s="782"/>
      <c r="F3" s="353" t="s">
        <v>21</v>
      </c>
      <c r="G3" s="143"/>
      <c r="H3" s="144" t="s">
        <v>22</v>
      </c>
      <c r="I3" s="142"/>
      <c r="J3" s="142"/>
      <c r="K3" s="770" t="s">
        <v>224</v>
      </c>
      <c r="L3" s="771"/>
      <c r="M3" s="771"/>
      <c r="N3" s="771"/>
      <c r="O3" s="771"/>
      <c r="P3" s="771"/>
      <c r="Q3" s="771"/>
      <c r="R3" s="771"/>
      <c r="S3" s="772"/>
    </row>
    <row r="4" spans="2:19" s="140" customFormat="1" ht="18" customHeight="1" x14ac:dyDescent="0.15">
      <c r="B4" s="778" t="s">
        <v>23</v>
      </c>
      <c r="C4" s="779"/>
      <c r="D4" s="239" t="s">
        <v>217</v>
      </c>
      <c r="E4" s="258"/>
      <c r="F4" s="251">
        <f>+R11</f>
        <v>918000</v>
      </c>
      <c r="G4" s="239" t="s">
        <v>200</v>
      </c>
      <c r="H4" s="349"/>
      <c r="I4" s="349"/>
      <c r="J4" s="349"/>
      <c r="K4" s="247" t="s">
        <v>57</v>
      </c>
      <c r="L4" s="336" t="s">
        <v>264</v>
      </c>
      <c r="M4" s="345" t="s">
        <v>24</v>
      </c>
      <c r="N4" s="345" t="s">
        <v>23</v>
      </c>
      <c r="O4" s="345" t="s">
        <v>57</v>
      </c>
      <c r="P4" s="336" t="s">
        <v>264</v>
      </c>
      <c r="Q4" s="345" t="s">
        <v>24</v>
      </c>
      <c r="R4" s="773" t="s">
        <v>23</v>
      </c>
      <c r="S4" s="774"/>
    </row>
    <row r="5" spans="2:19" s="140" customFormat="1" ht="18" customHeight="1" x14ac:dyDescent="0.15">
      <c r="B5" s="778"/>
      <c r="C5" s="779"/>
      <c r="D5" s="239" t="s">
        <v>92</v>
      </c>
      <c r="E5" s="258"/>
      <c r="F5" s="251">
        <v>0</v>
      </c>
      <c r="G5" s="205"/>
      <c r="H5" s="259"/>
      <c r="I5" s="259"/>
      <c r="J5" s="259"/>
      <c r="K5" s="250" t="s">
        <v>410</v>
      </c>
      <c r="L5" s="251">
        <v>5100</v>
      </c>
      <c r="M5" s="251">
        <v>180</v>
      </c>
      <c r="N5" s="251">
        <f>L5*M5</f>
        <v>918000</v>
      </c>
      <c r="O5" s="251"/>
      <c r="P5" s="251"/>
      <c r="Q5" s="251"/>
      <c r="R5" s="747">
        <f>P5*Q5</f>
        <v>0</v>
      </c>
      <c r="S5" s="740"/>
    </row>
    <row r="6" spans="2:19" s="140" customFormat="1" ht="18" customHeight="1" x14ac:dyDescent="0.15">
      <c r="B6" s="786" t="s">
        <v>222</v>
      </c>
      <c r="C6" s="783" t="s">
        <v>208</v>
      </c>
      <c r="D6" s="251" t="s">
        <v>59</v>
      </c>
      <c r="E6" s="260"/>
      <c r="F6" s="251">
        <f>P15</f>
        <v>20650</v>
      </c>
      <c r="G6" s="205" t="s">
        <v>201</v>
      </c>
      <c r="H6" s="259"/>
      <c r="I6" s="259"/>
      <c r="J6" s="259"/>
      <c r="K6" s="257"/>
      <c r="L6" s="254"/>
      <c r="M6" s="251"/>
      <c r="N6" s="251">
        <f>L6*M6</f>
        <v>0</v>
      </c>
      <c r="O6" s="251"/>
      <c r="P6" s="251"/>
      <c r="Q6" s="251"/>
      <c r="R6" s="747">
        <f t="shared" ref="R6:R9" si="0">P6*Q6</f>
        <v>0</v>
      </c>
      <c r="S6" s="740"/>
    </row>
    <row r="7" spans="2:19" s="140" customFormat="1" ht="18" customHeight="1" x14ac:dyDescent="0.15">
      <c r="B7" s="787"/>
      <c r="C7" s="784"/>
      <c r="D7" s="251" t="s">
        <v>60</v>
      </c>
      <c r="E7" s="260"/>
      <c r="F7" s="251">
        <f>P22</f>
        <v>109114.15</v>
      </c>
      <c r="G7" s="239" t="s">
        <v>483</v>
      </c>
      <c r="H7" s="349"/>
      <c r="I7" s="349"/>
      <c r="J7" s="350"/>
      <c r="K7" s="255"/>
      <c r="L7" s="343"/>
      <c r="M7" s="251"/>
      <c r="N7" s="251">
        <f t="shared" ref="N7:N11" si="1">L7*M7</f>
        <v>0</v>
      </c>
      <c r="O7" s="251"/>
      <c r="P7" s="251"/>
      <c r="Q7" s="251"/>
      <c r="R7" s="747">
        <f t="shared" si="0"/>
        <v>0</v>
      </c>
      <c r="S7" s="740"/>
    </row>
    <row r="8" spans="2:19" s="140" customFormat="1" ht="18" customHeight="1" x14ac:dyDescent="0.15">
      <c r="B8" s="787"/>
      <c r="C8" s="784"/>
      <c r="D8" s="251" t="s">
        <v>61</v>
      </c>
      <c r="E8" s="260"/>
      <c r="F8" s="251">
        <f>P28</f>
        <v>62757.266666666663</v>
      </c>
      <c r="G8" s="211" t="s">
        <v>484</v>
      </c>
      <c r="H8" s="226"/>
      <c r="I8" s="226"/>
      <c r="J8" s="262"/>
      <c r="K8" s="253"/>
      <c r="L8" s="251"/>
      <c r="M8" s="251"/>
      <c r="N8" s="251">
        <f t="shared" si="1"/>
        <v>0</v>
      </c>
      <c r="O8" s="251"/>
      <c r="P8" s="251"/>
      <c r="Q8" s="251"/>
      <c r="R8" s="747">
        <f t="shared" si="0"/>
        <v>0</v>
      </c>
      <c r="S8" s="740"/>
    </row>
    <row r="9" spans="2:19" s="140" customFormat="1" ht="18" customHeight="1" x14ac:dyDescent="0.15">
      <c r="B9" s="787"/>
      <c r="C9" s="784"/>
      <c r="D9" s="251" t="s">
        <v>93</v>
      </c>
      <c r="E9" s="260"/>
      <c r="F9" s="251">
        <f>P37</f>
        <v>49469.500399999997</v>
      </c>
      <c r="G9" s="211" t="s">
        <v>485</v>
      </c>
      <c r="H9" s="226"/>
      <c r="I9" s="226"/>
      <c r="J9" s="262"/>
      <c r="K9" s="253"/>
      <c r="L9" s="251"/>
      <c r="M9" s="251"/>
      <c r="N9" s="251">
        <f t="shared" si="1"/>
        <v>0</v>
      </c>
      <c r="O9" s="251"/>
      <c r="P9" s="251"/>
      <c r="Q9" s="251"/>
      <c r="R9" s="747">
        <f t="shared" si="0"/>
        <v>0</v>
      </c>
      <c r="S9" s="740"/>
    </row>
    <row r="10" spans="2:19" s="140" customFormat="1" ht="18" customHeight="1" x14ac:dyDescent="0.15">
      <c r="B10" s="787"/>
      <c r="C10" s="784"/>
      <c r="D10" s="251" t="s">
        <v>62</v>
      </c>
      <c r="E10" s="260"/>
      <c r="F10" s="251">
        <f>'８－２　水稲算出基礎（コシヒカリ） '!V21</f>
        <v>5806.666666666667</v>
      </c>
      <c r="G10" s="738"/>
      <c r="H10" s="739"/>
      <c r="I10" s="739"/>
      <c r="J10" s="740"/>
      <c r="K10" s="253"/>
      <c r="L10" s="251"/>
      <c r="M10" s="251"/>
      <c r="N10" s="251">
        <f t="shared" si="1"/>
        <v>0</v>
      </c>
      <c r="O10" s="251"/>
      <c r="P10" s="251"/>
      <c r="Q10" s="251"/>
      <c r="R10" s="747"/>
      <c r="S10" s="740"/>
    </row>
    <row r="11" spans="2:19" s="140" customFormat="1" ht="18" customHeight="1" thickBot="1" x14ac:dyDescent="0.2">
      <c r="B11" s="787"/>
      <c r="C11" s="784"/>
      <c r="D11" s="251" t="s">
        <v>6</v>
      </c>
      <c r="E11" s="260"/>
      <c r="F11" s="251">
        <f>'８－２　水稲算出基礎（コシヒカリ） '!V34</f>
        <v>83.333333333333329</v>
      </c>
      <c r="G11" s="738"/>
      <c r="H11" s="739"/>
      <c r="I11" s="739"/>
      <c r="J11" s="740"/>
      <c r="K11" s="160"/>
      <c r="L11" s="146"/>
      <c r="M11" s="146"/>
      <c r="N11" s="145">
        <f t="shared" si="1"/>
        <v>0</v>
      </c>
      <c r="O11" s="147" t="s">
        <v>25</v>
      </c>
      <c r="P11" s="148">
        <f>SUM(L5:L11,P5:Q10)</f>
        <v>5100</v>
      </c>
      <c r="Q11" s="148">
        <f>R11/P11</f>
        <v>180</v>
      </c>
      <c r="R11" s="759">
        <f>SUM(N5:N11,R5:S10)</f>
        <v>918000</v>
      </c>
      <c r="S11" s="760"/>
    </row>
    <row r="12" spans="2:19" s="140" customFormat="1" ht="18" customHeight="1" thickTop="1" x14ac:dyDescent="0.15">
      <c r="B12" s="787"/>
      <c r="C12" s="784"/>
      <c r="D12" s="251" t="s">
        <v>7</v>
      </c>
      <c r="E12" s="260"/>
      <c r="F12" s="491">
        <v>0</v>
      </c>
      <c r="G12" s="211"/>
      <c r="H12" s="226"/>
      <c r="I12" s="226"/>
      <c r="J12" s="262"/>
      <c r="K12" s="750" t="s">
        <v>223</v>
      </c>
      <c r="L12" s="241" t="s">
        <v>169</v>
      </c>
      <c r="M12" s="347" t="s">
        <v>9</v>
      </c>
      <c r="N12" s="338" t="s">
        <v>263</v>
      </c>
      <c r="O12" s="346" t="s">
        <v>24</v>
      </c>
      <c r="P12" s="346" t="s">
        <v>27</v>
      </c>
      <c r="Q12" s="761" t="s">
        <v>28</v>
      </c>
      <c r="R12" s="762"/>
      <c r="S12" s="763"/>
    </row>
    <row r="13" spans="2:19" s="140" customFormat="1" ht="18" customHeight="1" x14ac:dyDescent="0.15">
      <c r="B13" s="787"/>
      <c r="C13" s="784"/>
      <c r="D13" s="775" t="s">
        <v>63</v>
      </c>
      <c r="E13" s="264" t="s">
        <v>196</v>
      </c>
      <c r="F13" s="251">
        <f>'６　資本装備と減価償却'!L15*'７－２　水稲部門（コシヒカリ）収支 '!H13</f>
        <v>6131.25</v>
      </c>
      <c r="G13" s="211" t="s">
        <v>202</v>
      </c>
      <c r="H13" s="504">
        <v>0.01</v>
      </c>
      <c r="I13" s="748" t="s">
        <v>204</v>
      </c>
      <c r="J13" s="749"/>
      <c r="K13" s="751"/>
      <c r="L13" s="344" t="s">
        <v>410</v>
      </c>
      <c r="M13" s="240" t="s">
        <v>161</v>
      </c>
      <c r="N13" s="352">
        <v>35</v>
      </c>
      <c r="O13" s="352">
        <v>590</v>
      </c>
      <c r="P13" s="352">
        <f>N13*O13</f>
        <v>20650</v>
      </c>
      <c r="Q13" s="741" t="s">
        <v>258</v>
      </c>
      <c r="R13" s="742"/>
      <c r="S13" s="743"/>
    </row>
    <row r="14" spans="2:19" s="140" customFormat="1" ht="18" customHeight="1" x14ac:dyDescent="0.15">
      <c r="B14" s="787"/>
      <c r="C14" s="784"/>
      <c r="D14" s="776"/>
      <c r="E14" s="264" t="s">
        <v>197</v>
      </c>
      <c r="F14" s="251">
        <f>'６　資本装備と減価償却'!L45*'７－２　水稲部門（コシヒカリ）収支 '!H14</f>
        <v>85180.666866666681</v>
      </c>
      <c r="G14" s="211" t="s">
        <v>202</v>
      </c>
      <c r="H14" s="504">
        <v>0.05</v>
      </c>
      <c r="I14" s="748" t="s">
        <v>204</v>
      </c>
      <c r="J14" s="749"/>
      <c r="K14" s="751"/>
      <c r="L14" s="344"/>
      <c r="M14" s="240" t="s">
        <v>161</v>
      </c>
      <c r="N14" s="352"/>
      <c r="O14" s="352"/>
      <c r="P14" s="352">
        <f>N14*O14</f>
        <v>0</v>
      </c>
      <c r="Q14" s="741" t="s">
        <v>258</v>
      </c>
      <c r="R14" s="742"/>
      <c r="S14" s="743"/>
    </row>
    <row r="15" spans="2:19" s="140" customFormat="1" ht="18" customHeight="1" thickBot="1" x14ac:dyDescent="0.2">
      <c r="B15" s="787"/>
      <c r="C15" s="784"/>
      <c r="D15" s="775" t="s">
        <v>94</v>
      </c>
      <c r="E15" s="264" t="s">
        <v>196</v>
      </c>
      <c r="F15" s="251">
        <f>'６　資本装備と減価償却'!P15</f>
        <v>24525</v>
      </c>
      <c r="G15" s="211" t="s">
        <v>204</v>
      </c>
      <c r="H15" s="226"/>
      <c r="I15" s="226"/>
      <c r="J15" s="262"/>
      <c r="K15" s="751"/>
      <c r="L15" s="151" t="s">
        <v>29</v>
      </c>
      <c r="M15" s="150"/>
      <c r="N15" s="151"/>
      <c r="O15" s="151"/>
      <c r="P15" s="151">
        <f>SUM(P13:P14)</f>
        <v>20650</v>
      </c>
      <c r="Q15" s="753"/>
      <c r="R15" s="754"/>
      <c r="S15" s="755"/>
    </row>
    <row r="16" spans="2:19" s="140" customFormat="1" ht="18" customHeight="1" thickTop="1" x14ac:dyDescent="0.15">
      <c r="B16" s="787"/>
      <c r="C16" s="784"/>
      <c r="D16" s="777"/>
      <c r="E16" s="264" t="s">
        <v>197</v>
      </c>
      <c r="F16" s="251">
        <f>'６　資本装備と減価償却'!P45</f>
        <v>243373.33390476191</v>
      </c>
      <c r="G16" s="211" t="s">
        <v>204</v>
      </c>
      <c r="H16" s="226"/>
      <c r="I16" s="226"/>
      <c r="J16" s="262"/>
      <c r="K16" s="751"/>
      <c r="L16" s="235" t="s">
        <v>170</v>
      </c>
      <c r="M16" s="236"/>
      <c r="N16" s="337" t="s">
        <v>263</v>
      </c>
      <c r="O16" s="351" t="s">
        <v>24</v>
      </c>
      <c r="P16" s="238" t="s">
        <v>27</v>
      </c>
      <c r="Q16" s="756" t="s">
        <v>28</v>
      </c>
      <c r="R16" s="757"/>
      <c r="S16" s="758"/>
    </row>
    <row r="17" spans="1:19" s="140" customFormat="1" ht="18" customHeight="1" x14ac:dyDescent="0.15">
      <c r="B17" s="787"/>
      <c r="C17" s="784"/>
      <c r="D17" s="776"/>
      <c r="E17" s="251" t="s">
        <v>64</v>
      </c>
      <c r="F17" s="251">
        <f>'６　資本装備と減価償却'!P50</f>
        <v>0</v>
      </c>
      <c r="G17" s="211" t="s">
        <v>204</v>
      </c>
      <c r="H17" s="226"/>
      <c r="I17" s="226"/>
      <c r="J17" s="262"/>
      <c r="K17" s="751"/>
      <c r="L17" s="239" t="s">
        <v>176</v>
      </c>
      <c r="M17" s="240"/>
      <c r="N17" s="211" t="s">
        <v>325</v>
      </c>
      <c r="O17" s="230"/>
      <c r="P17" s="228">
        <f>'８－２　水稲算出基礎（コシヒカリ） '!G7</f>
        <v>0</v>
      </c>
      <c r="Q17" s="744"/>
      <c r="R17" s="745"/>
      <c r="S17" s="746"/>
    </row>
    <row r="18" spans="1:19" s="140" customFormat="1" ht="18" customHeight="1" x14ac:dyDescent="0.15">
      <c r="A18" s="139"/>
      <c r="B18" s="787"/>
      <c r="C18" s="784"/>
      <c r="D18" s="800" t="s">
        <v>269</v>
      </c>
      <c r="E18" s="343" t="s">
        <v>128</v>
      </c>
      <c r="F18" s="251">
        <v>0</v>
      </c>
      <c r="G18" s="211"/>
      <c r="H18" s="226"/>
      <c r="I18" s="226"/>
      <c r="J18" s="262"/>
      <c r="K18" s="751"/>
      <c r="L18" s="239" t="s">
        <v>174</v>
      </c>
      <c r="M18" s="240"/>
      <c r="N18" s="211" t="s">
        <v>280</v>
      </c>
      <c r="O18" s="230"/>
      <c r="P18" s="228">
        <f>'８－２　水稲算出基礎（コシヒカリ） '!G11</f>
        <v>38400</v>
      </c>
      <c r="Q18" s="744"/>
      <c r="R18" s="745"/>
      <c r="S18" s="746"/>
    </row>
    <row r="19" spans="1:19" s="140" customFormat="1" ht="18" customHeight="1" x14ac:dyDescent="0.15">
      <c r="A19" s="139"/>
      <c r="B19" s="787"/>
      <c r="C19" s="784"/>
      <c r="D19" s="800"/>
      <c r="E19" s="343" t="s">
        <v>124</v>
      </c>
      <c r="F19" s="251">
        <f>J19*'５－２　水稲（コシヒカリ）作業時間'!AO34</f>
        <v>37290.000000000007</v>
      </c>
      <c r="G19" s="211"/>
      <c r="H19" s="226"/>
      <c r="I19" s="275" t="s">
        <v>338</v>
      </c>
      <c r="J19" s="473">
        <v>1100</v>
      </c>
      <c r="K19" s="751"/>
      <c r="L19" s="211" t="s">
        <v>175</v>
      </c>
      <c r="M19" s="226"/>
      <c r="N19" s="211" t="s">
        <v>280</v>
      </c>
      <c r="O19" s="230"/>
      <c r="P19" s="228">
        <f>'８－２　水稲算出基礎（コシヒカリ） '!G16</f>
        <v>56350</v>
      </c>
      <c r="Q19" s="744"/>
      <c r="R19" s="745"/>
      <c r="S19" s="746"/>
    </row>
    <row r="20" spans="1:19" s="140" customFormat="1" ht="18" customHeight="1" x14ac:dyDescent="0.15">
      <c r="A20" s="139"/>
      <c r="B20" s="787"/>
      <c r="C20" s="784"/>
      <c r="D20" s="800"/>
      <c r="E20" s="343" t="s">
        <v>125</v>
      </c>
      <c r="F20" s="251">
        <f>J20*'５－２　水稲（コシヒカリ）作業時間'!AP34</f>
        <v>55800</v>
      </c>
      <c r="G20" s="211"/>
      <c r="H20" s="226"/>
      <c r="I20" s="275" t="s">
        <v>339</v>
      </c>
      <c r="J20" s="473">
        <v>900</v>
      </c>
      <c r="K20" s="751"/>
      <c r="L20" s="211"/>
      <c r="M20" s="226"/>
      <c r="N20" s="211"/>
      <c r="O20" s="230"/>
      <c r="P20" s="228">
        <f>'８－２　水稲算出基礎（コシヒカリ） '!G20</f>
        <v>0</v>
      </c>
      <c r="Q20" s="744"/>
      <c r="R20" s="745"/>
      <c r="S20" s="746"/>
    </row>
    <row r="21" spans="1:19" s="140" customFormat="1" ht="18" customHeight="1" x14ac:dyDescent="0.15">
      <c r="A21" s="139"/>
      <c r="B21" s="787"/>
      <c r="C21" s="784"/>
      <c r="D21" s="800"/>
      <c r="E21" s="343" t="s">
        <v>126</v>
      </c>
      <c r="F21" s="251">
        <f>(F19+F20)*0.012</f>
        <v>1117.08</v>
      </c>
      <c r="G21" s="211"/>
      <c r="H21" s="226"/>
      <c r="I21" s="226"/>
      <c r="J21" s="262"/>
      <c r="K21" s="751"/>
      <c r="L21" s="211" t="s">
        <v>178</v>
      </c>
      <c r="M21" s="226"/>
      <c r="N21" s="211" t="s">
        <v>325</v>
      </c>
      <c r="O21" s="228"/>
      <c r="P21" s="228">
        <f>'８－２　水稲算出基礎（コシヒカリ） '!G24</f>
        <v>14364.15</v>
      </c>
      <c r="Q21" s="744"/>
      <c r="R21" s="745"/>
      <c r="S21" s="746"/>
    </row>
    <row r="22" spans="1:19" s="140" customFormat="1" ht="18" customHeight="1" thickBot="1" x14ac:dyDescent="0.2">
      <c r="A22" s="139"/>
      <c r="B22" s="787"/>
      <c r="C22" s="784"/>
      <c r="D22" s="800" t="s">
        <v>65</v>
      </c>
      <c r="E22" s="343" t="s">
        <v>66</v>
      </c>
      <c r="F22" s="251">
        <f t="shared" ref="F22:F23" si="2">I22*10</f>
        <v>23760</v>
      </c>
      <c r="G22" s="211"/>
      <c r="H22" s="226"/>
      <c r="I22" s="226">
        <v>2376</v>
      </c>
      <c r="J22" s="262" t="s">
        <v>337</v>
      </c>
      <c r="K22" s="751"/>
      <c r="L22" s="151" t="s">
        <v>29</v>
      </c>
      <c r="M22" s="150"/>
      <c r="N22" s="151"/>
      <c r="O22" s="151"/>
      <c r="P22" s="151">
        <f>SUM(P17:P21)</f>
        <v>109114.15</v>
      </c>
      <c r="Q22" s="753"/>
      <c r="R22" s="754"/>
      <c r="S22" s="755"/>
    </row>
    <row r="23" spans="1:19" s="140" customFormat="1" ht="18" customHeight="1" thickTop="1" x14ac:dyDescent="0.15">
      <c r="A23" s="139"/>
      <c r="B23" s="787"/>
      <c r="C23" s="784"/>
      <c r="D23" s="800"/>
      <c r="E23" s="343" t="s">
        <v>95</v>
      </c>
      <c r="F23" s="251">
        <f t="shared" si="2"/>
        <v>50000</v>
      </c>
      <c r="G23" s="211"/>
      <c r="H23" s="226"/>
      <c r="I23" s="226">
        <v>5000</v>
      </c>
      <c r="J23" s="262" t="s">
        <v>337</v>
      </c>
      <c r="K23" s="751"/>
      <c r="L23" s="211" t="s">
        <v>171</v>
      </c>
      <c r="M23" s="226"/>
      <c r="N23" s="227" t="s">
        <v>26</v>
      </c>
      <c r="O23" s="227" t="s">
        <v>24</v>
      </c>
      <c r="P23" s="227" t="s">
        <v>27</v>
      </c>
      <c r="Q23" s="756" t="s">
        <v>28</v>
      </c>
      <c r="R23" s="757"/>
      <c r="S23" s="758"/>
    </row>
    <row r="24" spans="1:19" s="140" customFormat="1" ht="18" customHeight="1" x14ac:dyDescent="0.15">
      <c r="A24" s="139"/>
      <c r="B24" s="787"/>
      <c r="C24" s="784"/>
      <c r="D24" s="251" t="s">
        <v>67</v>
      </c>
      <c r="E24" s="260"/>
      <c r="F24" s="251">
        <f>I24*10</f>
        <v>30000</v>
      </c>
      <c r="G24" s="211"/>
      <c r="H24" s="226"/>
      <c r="I24" s="474">
        <v>3000</v>
      </c>
      <c r="J24" s="262" t="s">
        <v>337</v>
      </c>
      <c r="K24" s="751"/>
      <c r="L24" s="228" t="s">
        <v>30</v>
      </c>
      <c r="M24" s="226"/>
      <c r="N24" s="211" t="s">
        <v>328</v>
      </c>
      <c r="O24" s="228"/>
      <c r="P24" s="228">
        <f>'８－２　水稲算出基礎（コシヒカリ） '!G38</f>
        <v>5512.1</v>
      </c>
      <c r="Q24" s="744"/>
      <c r="R24" s="745"/>
      <c r="S24" s="746"/>
    </row>
    <row r="25" spans="1:19" s="140" customFormat="1" ht="18" customHeight="1" x14ac:dyDescent="0.15">
      <c r="A25" s="139"/>
      <c r="B25" s="787"/>
      <c r="C25" s="784"/>
      <c r="D25" s="251" t="s">
        <v>173</v>
      </c>
      <c r="E25" s="260"/>
      <c r="F25" s="251">
        <f>SUM(F6:F24)/99</f>
        <v>8131.9014933140925</v>
      </c>
      <c r="G25" s="266" t="s">
        <v>225</v>
      </c>
      <c r="H25" s="280">
        <v>0.01</v>
      </c>
      <c r="I25" s="497"/>
      <c r="J25" s="505"/>
      <c r="K25" s="751"/>
      <c r="L25" s="228" t="s">
        <v>31</v>
      </c>
      <c r="M25" s="226"/>
      <c r="N25" s="211" t="s">
        <v>331</v>
      </c>
      <c r="O25" s="228"/>
      <c r="P25" s="228">
        <f>'８－２　水稲算出基礎（コシヒカリ） '!G49</f>
        <v>4975</v>
      </c>
      <c r="Q25" s="744"/>
      <c r="R25" s="745"/>
      <c r="S25" s="746"/>
    </row>
    <row r="26" spans="1:19" s="140" customFormat="1" ht="18" customHeight="1" x14ac:dyDescent="0.15">
      <c r="A26" s="139"/>
      <c r="B26" s="787"/>
      <c r="C26" s="785"/>
      <c r="D26" s="806" t="s">
        <v>216</v>
      </c>
      <c r="E26" s="807"/>
      <c r="F26" s="170">
        <f>SUM(F6:F25)</f>
        <v>813190.14933140925</v>
      </c>
      <c r="G26" s="220"/>
      <c r="H26" s="497"/>
      <c r="I26" s="497"/>
      <c r="J26" s="498"/>
      <c r="K26" s="751"/>
      <c r="L26" s="228" t="s">
        <v>32</v>
      </c>
      <c r="M26" s="226"/>
      <c r="N26" s="211" t="s">
        <v>325</v>
      </c>
      <c r="O26" s="228"/>
      <c r="P26" s="228">
        <f>'８－２　水稲算出基礎（コシヒカリ） '!G53</f>
        <v>24330</v>
      </c>
      <c r="Q26" s="744"/>
      <c r="R26" s="745"/>
      <c r="S26" s="746"/>
    </row>
    <row r="27" spans="1:19" s="140" customFormat="1" ht="18" customHeight="1" x14ac:dyDescent="0.15">
      <c r="A27" s="139"/>
      <c r="B27" s="787"/>
      <c r="C27" s="801" t="s">
        <v>203</v>
      </c>
      <c r="D27" s="684" t="s">
        <v>68</v>
      </c>
      <c r="E27" s="55" t="s">
        <v>3</v>
      </c>
      <c r="F27" s="145">
        <f>P11/30*J27</f>
        <v>13600</v>
      </c>
      <c r="G27" s="239"/>
      <c r="H27" s="226"/>
      <c r="I27" s="149" t="s">
        <v>345</v>
      </c>
      <c r="J27" s="410">
        <v>80</v>
      </c>
      <c r="K27" s="751"/>
      <c r="L27" s="228" t="s">
        <v>326</v>
      </c>
      <c r="M27" s="226"/>
      <c r="N27" s="211" t="s">
        <v>331</v>
      </c>
      <c r="O27" s="228"/>
      <c r="P27" s="228">
        <f>'８－２　水稲算出基礎（コシヒカリ） '!G57</f>
        <v>27940.166666666664</v>
      </c>
      <c r="Q27" s="744"/>
      <c r="R27" s="745"/>
      <c r="S27" s="746"/>
    </row>
    <row r="28" spans="1:19" s="140" customFormat="1" ht="18" customHeight="1" thickBot="1" x14ac:dyDescent="0.2">
      <c r="A28" s="139"/>
      <c r="B28" s="787"/>
      <c r="C28" s="802"/>
      <c r="D28" s="687"/>
      <c r="E28" s="55" t="s">
        <v>4</v>
      </c>
      <c r="F28" s="171">
        <v>0</v>
      </c>
      <c r="G28" s="239"/>
      <c r="H28" s="267"/>
      <c r="I28" s="267"/>
      <c r="J28" s="268"/>
      <c r="K28" s="751"/>
      <c r="L28" s="151" t="s">
        <v>29</v>
      </c>
      <c r="M28" s="150"/>
      <c r="N28" s="151"/>
      <c r="O28" s="151"/>
      <c r="P28" s="151">
        <f>SUM(P24:P27)</f>
        <v>62757.266666666663</v>
      </c>
      <c r="Q28" s="753"/>
      <c r="R28" s="754"/>
      <c r="S28" s="755"/>
    </row>
    <row r="29" spans="1:19" s="140" customFormat="1" ht="18" customHeight="1" thickTop="1" x14ac:dyDescent="0.15">
      <c r="A29" s="139"/>
      <c r="B29" s="787"/>
      <c r="C29" s="802"/>
      <c r="D29" s="685"/>
      <c r="E29" s="55" t="s">
        <v>8</v>
      </c>
      <c r="F29" s="145">
        <f>P11/30*J29</f>
        <v>21250</v>
      </c>
      <c r="G29" s="239"/>
      <c r="H29" s="497"/>
      <c r="I29" s="267" t="s">
        <v>346</v>
      </c>
      <c r="J29" s="411">
        <v>125</v>
      </c>
      <c r="K29" s="751"/>
      <c r="L29" s="211" t="s">
        <v>172</v>
      </c>
      <c r="M29" s="226"/>
      <c r="N29" s="227" t="s">
        <v>26</v>
      </c>
      <c r="O29" s="227" t="s">
        <v>24</v>
      </c>
      <c r="P29" s="227" t="s">
        <v>27</v>
      </c>
      <c r="Q29" s="756" t="s">
        <v>28</v>
      </c>
      <c r="R29" s="757"/>
      <c r="S29" s="758"/>
    </row>
    <row r="30" spans="1:19" s="140" customFormat="1" ht="18" customHeight="1" x14ac:dyDescent="0.15">
      <c r="A30" s="139"/>
      <c r="B30" s="787"/>
      <c r="C30" s="802"/>
      <c r="D30" s="55" t="s">
        <v>69</v>
      </c>
      <c r="E30" s="56"/>
      <c r="F30" s="145">
        <v>0</v>
      </c>
      <c r="G30" s="239"/>
      <c r="H30" s="497"/>
      <c r="I30" s="267"/>
      <c r="J30" s="269"/>
      <c r="K30" s="751"/>
      <c r="L30" s="228" t="s">
        <v>49</v>
      </c>
      <c r="M30" s="229"/>
      <c r="N30" s="211" t="s">
        <v>332</v>
      </c>
      <c r="O30" s="230"/>
      <c r="P30" s="228">
        <f>'８－２　水稲算出基礎（コシヒカリ） '!N12</f>
        <v>19311.599999999999</v>
      </c>
      <c r="Q30" s="767"/>
      <c r="R30" s="768"/>
      <c r="S30" s="769"/>
    </row>
    <row r="31" spans="1:19" s="140" customFormat="1" ht="18" customHeight="1" x14ac:dyDescent="0.15">
      <c r="A31" s="139"/>
      <c r="B31" s="787"/>
      <c r="C31" s="802"/>
      <c r="D31" s="700" t="s">
        <v>270</v>
      </c>
      <c r="E31" s="342" t="s">
        <v>128</v>
      </c>
      <c r="F31" s="145">
        <v>0</v>
      </c>
      <c r="G31" s="239"/>
      <c r="H31" s="270"/>
      <c r="I31" s="270"/>
      <c r="J31" s="271"/>
      <c r="K31" s="751"/>
      <c r="L31" s="228" t="s">
        <v>48</v>
      </c>
      <c r="M31" s="229"/>
      <c r="N31" s="211" t="s">
        <v>333</v>
      </c>
      <c r="O31" s="230"/>
      <c r="P31" s="228">
        <f>'８－２　水稲算出基礎（コシヒカリ） '!N16</f>
        <v>2299.9679999999998</v>
      </c>
      <c r="Q31" s="767"/>
      <c r="R31" s="768"/>
      <c r="S31" s="769"/>
    </row>
    <row r="32" spans="1:19" s="140" customFormat="1" ht="18" customHeight="1" x14ac:dyDescent="0.15">
      <c r="A32" s="139"/>
      <c r="B32" s="787"/>
      <c r="C32" s="802"/>
      <c r="D32" s="700"/>
      <c r="E32" s="342" t="s">
        <v>127</v>
      </c>
      <c r="F32" s="145">
        <v>0</v>
      </c>
      <c r="G32" s="239"/>
      <c r="H32" s="272"/>
      <c r="I32" s="272"/>
      <c r="J32" s="273"/>
      <c r="K32" s="751"/>
      <c r="L32" s="228" t="s">
        <v>50</v>
      </c>
      <c r="M32" s="226"/>
      <c r="N32" s="230"/>
      <c r="O32" s="230"/>
      <c r="P32" s="228">
        <f>SUM(P30:P31)*R32</f>
        <v>6483.4703999999992</v>
      </c>
      <c r="Q32" s="348" t="s">
        <v>33</v>
      </c>
      <c r="R32" s="232">
        <v>0.3</v>
      </c>
      <c r="S32" s="155"/>
    </row>
    <row r="33" spans="1:23" ht="18" customHeight="1" x14ac:dyDescent="0.15">
      <c r="B33" s="787"/>
      <c r="C33" s="802"/>
      <c r="D33" s="55" t="s">
        <v>70</v>
      </c>
      <c r="E33" s="66"/>
      <c r="F33" s="145">
        <v>0</v>
      </c>
      <c r="G33" s="239"/>
      <c r="H33" s="274"/>
      <c r="I33" s="275"/>
      <c r="J33" s="269"/>
      <c r="K33" s="751"/>
      <c r="L33" s="228" t="s">
        <v>51</v>
      </c>
      <c r="M33" s="229"/>
      <c r="N33" s="211"/>
      <c r="O33" s="230"/>
      <c r="P33" s="228">
        <f>'８－２　水稲算出基礎（コシヒカリ） '!N20</f>
        <v>0</v>
      </c>
      <c r="Q33" s="744"/>
      <c r="R33" s="745"/>
      <c r="S33" s="746"/>
    </row>
    <row r="34" spans="1:23" ht="18" customHeight="1" x14ac:dyDescent="0.15">
      <c r="B34" s="787"/>
      <c r="C34" s="802"/>
      <c r="D34" s="55" t="s">
        <v>96</v>
      </c>
      <c r="E34" s="66"/>
      <c r="F34" s="145">
        <v>0</v>
      </c>
      <c r="G34" s="239"/>
      <c r="H34" s="276"/>
      <c r="I34" s="277"/>
      <c r="J34" s="278"/>
      <c r="K34" s="751"/>
      <c r="L34" s="228" t="s">
        <v>52</v>
      </c>
      <c r="M34" s="229"/>
      <c r="N34" s="211" t="s">
        <v>333</v>
      </c>
      <c r="O34" s="230"/>
      <c r="P34" s="228">
        <f>'８－２　水稲算出基礎（コシヒカリ） '!N24</f>
        <v>17563.241999999998</v>
      </c>
      <c r="Q34" s="744"/>
      <c r="R34" s="745"/>
      <c r="S34" s="746"/>
    </row>
    <row r="35" spans="1:23" ht="18" customHeight="1" x14ac:dyDescent="0.15">
      <c r="B35" s="787"/>
      <c r="C35" s="802"/>
      <c r="D35" s="55" t="s">
        <v>131</v>
      </c>
      <c r="E35" s="56"/>
      <c r="F35" s="171">
        <f>'８－２　水稲算出基礎（コシヒカリ） '!V57</f>
        <v>8425</v>
      </c>
      <c r="G35" s="329"/>
      <c r="H35" s="327"/>
      <c r="I35" s="327"/>
      <c r="J35" s="328"/>
      <c r="K35" s="751"/>
      <c r="L35" s="228" t="s">
        <v>267</v>
      </c>
      <c r="M35" s="229"/>
      <c r="N35" s="211"/>
      <c r="O35" s="230"/>
      <c r="P35" s="228">
        <f>'８－２　水稲算出基礎（コシヒカリ） '!N28</f>
        <v>0</v>
      </c>
      <c r="Q35" s="744"/>
      <c r="R35" s="745"/>
      <c r="S35" s="746"/>
    </row>
    <row r="36" spans="1:23" ht="18" customHeight="1" x14ac:dyDescent="0.15">
      <c r="B36" s="787"/>
      <c r="C36" s="802"/>
      <c r="D36" s="76" t="s">
        <v>97</v>
      </c>
      <c r="E36" s="77"/>
      <c r="F36" s="279">
        <v>0</v>
      </c>
      <c r="G36" s="211"/>
      <c r="H36" s="276"/>
      <c r="I36" s="277"/>
      <c r="J36" s="269"/>
      <c r="K36" s="751"/>
      <c r="L36" s="228" t="s">
        <v>53</v>
      </c>
      <c r="M36" s="226"/>
      <c r="N36" s="211" t="s">
        <v>334</v>
      </c>
      <c r="O36" s="230"/>
      <c r="P36" s="228">
        <f>'８－２　水稲算出基礎（コシヒカリ） '!N32</f>
        <v>3811.2200000000003</v>
      </c>
      <c r="Q36" s="744"/>
      <c r="R36" s="745"/>
      <c r="S36" s="746"/>
    </row>
    <row r="37" spans="1:23" ht="18" customHeight="1" thickBot="1" x14ac:dyDescent="0.2">
      <c r="B37" s="787"/>
      <c r="C37" s="802"/>
      <c r="D37" s="55" t="s">
        <v>71</v>
      </c>
      <c r="E37" s="56"/>
      <c r="F37" s="171">
        <f>'８－２　水稲算出基礎（コシヒカリ） '!N57</f>
        <v>3835.125</v>
      </c>
      <c r="G37" s="329"/>
      <c r="H37" s="327"/>
      <c r="I37" s="327"/>
      <c r="J37" s="328"/>
      <c r="K37" s="752"/>
      <c r="L37" s="163" t="s">
        <v>29</v>
      </c>
      <c r="M37" s="162"/>
      <c r="N37" s="163"/>
      <c r="O37" s="163"/>
      <c r="P37" s="163">
        <f>SUM(P30:P36)</f>
        <v>49469.500399999997</v>
      </c>
      <c r="Q37" s="764"/>
      <c r="R37" s="765"/>
      <c r="S37" s="766"/>
    </row>
    <row r="38" spans="1:23" s="157" customFormat="1" ht="18" customHeight="1" x14ac:dyDescent="0.15">
      <c r="A38" s="139"/>
      <c r="B38" s="787"/>
      <c r="C38" s="802"/>
      <c r="D38" s="55" t="s">
        <v>0</v>
      </c>
      <c r="E38" s="66"/>
      <c r="F38" s="171">
        <v>0</v>
      </c>
      <c r="G38" s="16"/>
      <c r="H38" s="222"/>
      <c r="I38" s="223"/>
      <c r="J38" s="221"/>
    </row>
    <row r="39" spans="1:23" s="157" customFormat="1" ht="18" customHeight="1" thickBot="1" x14ac:dyDescent="0.2">
      <c r="A39" s="139"/>
      <c r="B39" s="788"/>
      <c r="C39" s="803"/>
      <c r="D39" s="804" t="s">
        <v>215</v>
      </c>
      <c r="E39" s="805"/>
      <c r="F39" s="213">
        <f>SUM(F27:F38)</f>
        <v>47110.125</v>
      </c>
      <c r="G39" s="214"/>
      <c r="H39" s="215"/>
      <c r="I39" s="216"/>
      <c r="J39" s="217"/>
      <c r="T39" s="158"/>
    </row>
    <row r="40" spans="1:23" s="157" customFormat="1" ht="18" customHeight="1" x14ac:dyDescent="0.15">
      <c r="A40" s="139"/>
      <c r="B40" s="789" t="s">
        <v>219</v>
      </c>
      <c r="C40" s="792" t="s">
        <v>73</v>
      </c>
      <c r="D40" s="208" t="s">
        <v>130</v>
      </c>
      <c r="E40" s="209"/>
      <c r="F40" s="210">
        <f>J40*10</f>
        <v>75000</v>
      </c>
      <c r="G40" s="211"/>
      <c r="H40" s="737" t="s">
        <v>490</v>
      </c>
      <c r="I40" s="737"/>
      <c r="J40" s="412">
        <v>7500</v>
      </c>
      <c r="T40" s="140"/>
      <c r="U40" s="140"/>
      <c r="V40" s="140"/>
      <c r="W40" s="140"/>
    </row>
    <row r="41" spans="1:23" s="157" customFormat="1" ht="18" customHeight="1" x14ac:dyDescent="0.15">
      <c r="A41" s="139"/>
      <c r="B41" s="790"/>
      <c r="C41" s="793"/>
      <c r="D41" s="55" t="s">
        <v>129</v>
      </c>
      <c r="E41" s="56"/>
      <c r="F41" s="203">
        <v>0</v>
      </c>
      <c r="G41" s="211"/>
      <c r="H41" s="164"/>
      <c r="I41" s="164"/>
      <c r="J41" s="224"/>
      <c r="T41" s="159"/>
      <c r="U41" s="160"/>
      <c r="V41" s="161"/>
      <c r="W41" s="159"/>
    </row>
    <row r="42" spans="1:23" s="157" customFormat="1" ht="18" customHeight="1" x14ac:dyDescent="0.15">
      <c r="A42" s="139"/>
      <c r="B42" s="790"/>
      <c r="C42" s="794"/>
      <c r="D42" s="76" t="s">
        <v>72</v>
      </c>
      <c r="E42" s="56"/>
      <c r="F42" s="203">
        <v>0</v>
      </c>
      <c r="G42" s="211"/>
      <c r="H42" s="164"/>
      <c r="I42" s="164"/>
      <c r="J42" s="224"/>
      <c r="T42" s="140"/>
      <c r="U42" s="140"/>
      <c r="V42" s="140"/>
      <c r="W42" s="140"/>
    </row>
    <row r="43" spans="1:23" s="157" customFormat="1" ht="18" customHeight="1" x14ac:dyDescent="0.15">
      <c r="B43" s="790"/>
      <c r="C43" s="795" t="s">
        <v>218</v>
      </c>
      <c r="D43" s="76" t="s">
        <v>271</v>
      </c>
      <c r="E43" s="77"/>
      <c r="F43" s="203">
        <v>0</v>
      </c>
      <c r="G43" s="211"/>
      <c r="H43" s="164"/>
      <c r="I43" s="164"/>
      <c r="J43" s="224"/>
      <c r="T43" s="141"/>
      <c r="U43" s="158"/>
      <c r="V43" s="140"/>
      <c r="W43" s="159"/>
    </row>
    <row r="44" spans="1:23" s="157" customFormat="1" ht="18" customHeight="1" x14ac:dyDescent="0.15">
      <c r="B44" s="790"/>
      <c r="C44" s="796"/>
      <c r="D44" s="78" t="s">
        <v>1</v>
      </c>
      <c r="E44" s="79"/>
      <c r="F44" s="203">
        <v>0</v>
      </c>
      <c r="G44" s="211"/>
      <c r="H44" s="164"/>
      <c r="I44" s="164"/>
      <c r="J44" s="224"/>
      <c r="T44" s="141"/>
      <c r="U44" s="158"/>
      <c r="V44" s="140"/>
      <c r="W44" s="159"/>
    </row>
    <row r="45" spans="1:23" s="157" customFormat="1" ht="18" customHeight="1" thickBot="1" x14ac:dyDescent="0.2">
      <c r="B45" s="791"/>
      <c r="C45" s="797" t="s">
        <v>99</v>
      </c>
      <c r="D45" s="798"/>
      <c r="E45" s="799"/>
      <c r="F45" s="204">
        <f>SUM(F40:F42)-SUM(F43:F44)</f>
        <v>75000</v>
      </c>
      <c r="G45" s="165"/>
      <c r="H45" s="166"/>
      <c r="I45" s="166"/>
      <c r="J45" s="225"/>
      <c r="T45" s="140"/>
      <c r="U45" s="140"/>
      <c r="V45" s="160"/>
      <c r="W45" s="140"/>
    </row>
  </sheetData>
  <mergeCells count="57">
    <mergeCell ref="Q36:S36"/>
    <mergeCell ref="Q37:S37"/>
    <mergeCell ref="D39:E39"/>
    <mergeCell ref="B40:B45"/>
    <mergeCell ref="C40:C42"/>
    <mergeCell ref="C43:C44"/>
    <mergeCell ref="C45:E45"/>
    <mergeCell ref="H40:I40"/>
    <mergeCell ref="D26:E26"/>
    <mergeCell ref="B6:B39"/>
    <mergeCell ref="Q26:S2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C6:C26"/>
    <mergeCell ref="R6:S6"/>
    <mergeCell ref="R7:S7"/>
    <mergeCell ref="R8:S8"/>
    <mergeCell ref="Q18:S18"/>
    <mergeCell ref="Q19:S19"/>
    <mergeCell ref="Q20:S20"/>
    <mergeCell ref="Q21:S21"/>
    <mergeCell ref="D22:D23"/>
    <mergeCell ref="Q22:S22"/>
    <mergeCell ref="Q23:S23"/>
    <mergeCell ref="D15:D17"/>
    <mergeCell ref="Q15:S15"/>
    <mergeCell ref="Q16:S16"/>
    <mergeCell ref="Q17:S17"/>
    <mergeCell ref="K12:K37"/>
    <mergeCell ref="Q12:S12"/>
    <mergeCell ref="Q24:S24"/>
    <mergeCell ref="Q25:S25"/>
    <mergeCell ref="D13:D14"/>
    <mergeCell ref="I13:J13"/>
    <mergeCell ref="Q13:S13"/>
    <mergeCell ref="I14:J14"/>
    <mergeCell ref="Q14:S14"/>
    <mergeCell ref="Q34:S34"/>
    <mergeCell ref="Q35:S35"/>
    <mergeCell ref="D18:D21"/>
    <mergeCell ref="R9:S9"/>
    <mergeCell ref="G10:J10"/>
    <mergeCell ref="R10:S10"/>
    <mergeCell ref="G11:J11"/>
    <mergeCell ref="R11:S11"/>
    <mergeCell ref="B3:E3"/>
    <mergeCell ref="K3:S3"/>
    <mergeCell ref="B4:C5"/>
    <mergeCell ref="R4:S4"/>
    <mergeCell ref="R5:S5"/>
  </mergeCells>
  <phoneticPr fontId="4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9" customWidth="1"/>
    <col min="2" max="2" width="5.875" style="139" customWidth="1"/>
    <col min="3" max="3" width="10.625" style="139" customWidth="1"/>
    <col min="4" max="4" width="12.375" style="139" customWidth="1"/>
    <col min="5" max="5" width="14.625" style="139" customWidth="1"/>
    <col min="6" max="7" width="15.875" style="139" customWidth="1"/>
    <col min="8" max="8" width="10.875" style="139"/>
    <col min="9" max="9" width="11.375" style="139" bestFit="1" customWidth="1"/>
    <col min="10" max="10" width="13.375" style="139" customWidth="1"/>
    <col min="11" max="11" width="7.125" style="139" customWidth="1"/>
    <col min="12" max="12" width="15.375" style="139" customWidth="1"/>
    <col min="13" max="13" width="9.375" style="139" bestFit="1" customWidth="1"/>
    <col min="14" max="14" width="10.875" style="139"/>
    <col min="15" max="15" width="7.25" style="139" customWidth="1"/>
    <col min="16" max="16" width="9.625" style="139" customWidth="1"/>
    <col min="17" max="17" width="10.875" style="139" customWidth="1"/>
    <col min="18" max="18" width="7.5" style="139" customWidth="1"/>
    <col min="19" max="19" width="3.75" style="139" customWidth="1"/>
    <col min="20" max="16384" width="10.875" style="139"/>
  </cols>
  <sheetData>
    <row r="1" spans="2:19" s="140" customFormat="1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2:19" s="140" customFormat="1" ht="24.95" customHeight="1" thickBot="1" x14ac:dyDescent="0.2">
      <c r="B2" s="3" t="s">
        <v>446</v>
      </c>
      <c r="H2" s="141" t="s">
        <v>259</v>
      </c>
      <c r="I2" s="3" t="s">
        <v>444</v>
      </c>
      <c r="K2" s="141" t="s">
        <v>260</v>
      </c>
      <c r="L2" s="3" t="s">
        <v>262</v>
      </c>
      <c r="N2" s="139"/>
      <c r="O2" s="139"/>
      <c r="Q2" s="4"/>
      <c r="R2" s="4"/>
    </row>
    <row r="3" spans="2:19" s="140" customFormat="1" ht="18" customHeight="1" x14ac:dyDescent="0.15">
      <c r="B3" s="780" t="s">
        <v>20</v>
      </c>
      <c r="C3" s="781"/>
      <c r="D3" s="781"/>
      <c r="E3" s="782"/>
      <c r="F3" s="169" t="s">
        <v>21</v>
      </c>
      <c r="G3" s="143"/>
      <c r="H3" s="144" t="s">
        <v>22</v>
      </c>
      <c r="I3" s="142"/>
      <c r="J3" s="142"/>
      <c r="K3" s="770" t="s">
        <v>224</v>
      </c>
      <c r="L3" s="771"/>
      <c r="M3" s="771"/>
      <c r="N3" s="771"/>
      <c r="O3" s="771"/>
      <c r="P3" s="771"/>
      <c r="Q3" s="771"/>
      <c r="R3" s="771"/>
      <c r="S3" s="772"/>
    </row>
    <row r="4" spans="2:19" s="140" customFormat="1" ht="18" customHeight="1" x14ac:dyDescent="0.15">
      <c r="B4" s="778" t="s">
        <v>23</v>
      </c>
      <c r="C4" s="779"/>
      <c r="D4" s="239" t="s">
        <v>217</v>
      </c>
      <c r="E4" s="258"/>
      <c r="F4" s="251">
        <f>+R11</f>
        <v>858000</v>
      </c>
      <c r="G4" s="239" t="s">
        <v>200</v>
      </c>
      <c r="H4" s="234"/>
      <c r="I4" s="234"/>
      <c r="J4" s="234"/>
      <c r="K4" s="247" t="s">
        <v>57</v>
      </c>
      <c r="L4" s="336" t="s">
        <v>264</v>
      </c>
      <c r="M4" s="249" t="s">
        <v>24</v>
      </c>
      <c r="N4" s="249" t="s">
        <v>23</v>
      </c>
      <c r="O4" s="249" t="s">
        <v>57</v>
      </c>
      <c r="P4" s="336" t="s">
        <v>265</v>
      </c>
      <c r="Q4" s="249" t="s">
        <v>24</v>
      </c>
      <c r="R4" s="773" t="s">
        <v>23</v>
      </c>
      <c r="S4" s="774"/>
    </row>
    <row r="5" spans="2:19" s="140" customFormat="1" ht="18" customHeight="1" x14ac:dyDescent="0.15">
      <c r="B5" s="778"/>
      <c r="C5" s="779"/>
      <c r="D5" s="239" t="s">
        <v>92</v>
      </c>
      <c r="E5" s="258"/>
      <c r="F5" s="251">
        <v>0</v>
      </c>
      <c r="G5" s="205"/>
      <c r="H5" s="259"/>
      <c r="I5" s="259"/>
      <c r="J5" s="259"/>
      <c r="K5" s="332" t="s">
        <v>357</v>
      </c>
      <c r="L5" s="251">
        <v>6000</v>
      </c>
      <c r="M5" s="251">
        <v>143</v>
      </c>
      <c r="N5" s="251">
        <f>L5*M5</f>
        <v>858000</v>
      </c>
      <c r="O5" s="251"/>
      <c r="P5" s="251"/>
      <c r="Q5" s="251"/>
      <c r="R5" s="747">
        <f>P5*Q5</f>
        <v>0</v>
      </c>
      <c r="S5" s="740"/>
    </row>
    <row r="6" spans="2:19" s="140" customFormat="1" ht="18" customHeight="1" x14ac:dyDescent="0.15">
      <c r="B6" s="786" t="s">
        <v>222</v>
      </c>
      <c r="C6" s="783" t="s">
        <v>208</v>
      </c>
      <c r="D6" s="251" t="s">
        <v>59</v>
      </c>
      <c r="E6" s="260"/>
      <c r="F6" s="251">
        <f>P15</f>
        <v>19250</v>
      </c>
      <c r="G6" s="205" t="s">
        <v>201</v>
      </c>
      <c r="H6" s="259"/>
      <c r="I6" s="259"/>
      <c r="J6" s="259"/>
      <c r="K6" s="257"/>
      <c r="L6" s="254"/>
      <c r="M6" s="251"/>
      <c r="N6" s="251">
        <f>L6*M6</f>
        <v>0</v>
      </c>
      <c r="O6" s="251"/>
      <c r="P6" s="251"/>
      <c r="Q6" s="251"/>
      <c r="R6" s="747">
        <f t="shared" ref="R6:R9" si="0">P6*Q6</f>
        <v>0</v>
      </c>
      <c r="S6" s="740"/>
    </row>
    <row r="7" spans="2:19" s="140" customFormat="1" ht="18" customHeight="1" x14ac:dyDescent="0.15">
      <c r="B7" s="787"/>
      <c r="C7" s="784"/>
      <c r="D7" s="251" t="s">
        <v>60</v>
      </c>
      <c r="E7" s="260"/>
      <c r="F7" s="251">
        <f>P22</f>
        <v>161148.85</v>
      </c>
      <c r="G7" s="239" t="s">
        <v>483</v>
      </c>
      <c r="H7" s="234"/>
      <c r="I7" s="234"/>
      <c r="J7" s="261"/>
      <c r="K7" s="255"/>
      <c r="L7" s="265"/>
      <c r="M7" s="251"/>
      <c r="N7" s="251">
        <f t="shared" ref="N7:N11" si="1">L7*M7</f>
        <v>0</v>
      </c>
      <c r="O7" s="251"/>
      <c r="P7" s="251"/>
      <c r="Q7" s="251"/>
      <c r="R7" s="747">
        <f t="shared" si="0"/>
        <v>0</v>
      </c>
      <c r="S7" s="740"/>
    </row>
    <row r="8" spans="2:19" s="140" customFormat="1" ht="18" customHeight="1" x14ac:dyDescent="0.15">
      <c r="B8" s="787"/>
      <c r="C8" s="784"/>
      <c r="D8" s="251" t="s">
        <v>61</v>
      </c>
      <c r="E8" s="260"/>
      <c r="F8" s="251">
        <f>P28</f>
        <v>62757.266666666663</v>
      </c>
      <c r="G8" s="211" t="s">
        <v>484</v>
      </c>
      <c r="H8" s="226"/>
      <c r="I8" s="226"/>
      <c r="J8" s="262"/>
      <c r="K8" s="253"/>
      <c r="L8" s="251"/>
      <c r="M8" s="251"/>
      <c r="N8" s="251">
        <f t="shared" si="1"/>
        <v>0</v>
      </c>
      <c r="O8" s="251"/>
      <c r="P8" s="251"/>
      <c r="Q8" s="251"/>
      <c r="R8" s="747">
        <f t="shared" si="0"/>
        <v>0</v>
      </c>
      <c r="S8" s="740"/>
    </row>
    <row r="9" spans="2:19" s="140" customFormat="1" ht="18" customHeight="1" x14ac:dyDescent="0.15">
      <c r="B9" s="787"/>
      <c r="C9" s="784"/>
      <c r="D9" s="251" t="s">
        <v>93</v>
      </c>
      <c r="E9" s="260"/>
      <c r="F9" s="251">
        <f>P37</f>
        <v>49469.500399999997</v>
      </c>
      <c r="G9" s="211" t="s">
        <v>485</v>
      </c>
      <c r="H9" s="226"/>
      <c r="I9" s="226"/>
      <c r="J9" s="262"/>
      <c r="K9" s="253"/>
      <c r="L9" s="251"/>
      <c r="M9" s="251"/>
      <c r="N9" s="251">
        <f t="shared" si="1"/>
        <v>0</v>
      </c>
      <c r="O9" s="251"/>
      <c r="P9" s="251"/>
      <c r="Q9" s="251"/>
      <c r="R9" s="747">
        <f t="shared" si="0"/>
        <v>0</v>
      </c>
      <c r="S9" s="740"/>
    </row>
    <row r="10" spans="2:19" s="140" customFormat="1" ht="18" customHeight="1" x14ac:dyDescent="0.15">
      <c r="B10" s="787"/>
      <c r="C10" s="784"/>
      <c r="D10" s="251" t="s">
        <v>62</v>
      </c>
      <c r="E10" s="260"/>
      <c r="F10" s="251">
        <f>'８－３　水稲算出基礎（あきろまん）'!V21</f>
        <v>5806.666666666667</v>
      </c>
      <c r="G10" s="738"/>
      <c r="H10" s="739"/>
      <c r="I10" s="739"/>
      <c r="J10" s="740"/>
      <c r="K10" s="253"/>
      <c r="L10" s="251"/>
      <c r="M10" s="251"/>
      <c r="N10" s="251">
        <f t="shared" si="1"/>
        <v>0</v>
      </c>
      <c r="O10" s="251"/>
      <c r="P10" s="251"/>
      <c r="Q10" s="251"/>
      <c r="R10" s="747"/>
      <c r="S10" s="740"/>
    </row>
    <row r="11" spans="2:19" s="140" customFormat="1" ht="18" customHeight="1" thickBot="1" x14ac:dyDescent="0.2">
      <c r="B11" s="787"/>
      <c r="C11" s="784"/>
      <c r="D11" s="251" t="s">
        <v>6</v>
      </c>
      <c r="E11" s="260"/>
      <c r="F11" s="251">
        <f>'８－３　水稲算出基礎（あきろまん）'!V34</f>
        <v>83.333333333333329</v>
      </c>
      <c r="G11" s="738"/>
      <c r="H11" s="739"/>
      <c r="I11" s="739"/>
      <c r="J11" s="740"/>
      <c r="K11" s="160"/>
      <c r="L11" s="146"/>
      <c r="M11" s="146"/>
      <c r="N11" s="145">
        <f t="shared" si="1"/>
        <v>0</v>
      </c>
      <c r="O11" s="147" t="s">
        <v>25</v>
      </c>
      <c r="P11" s="148">
        <f>SUM(L5:L11,P5:Q10)</f>
        <v>6000</v>
      </c>
      <c r="Q11" s="148">
        <f>R11/P11</f>
        <v>143</v>
      </c>
      <c r="R11" s="759">
        <f>SUM(N5:N11,R5:S10)</f>
        <v>858000</v>
      </c>
      <c r="S11" s="760"/>
    </row>
    <row r="12" spans="2:19" s="140" customFormat="1" ht="18" customHeight="1" thickTop="1" x14ac:dyDescent="0.15">
      <c r="B12" s="787"/>
      <c r="C12" s="784"/>
      <c r="D12" s="251" t="s">
        <v>7</v>
      </c>
      <c r="E12" s="260"/>
      <c r="F12" s="491">
        <v>0</v>
      </c>
      <c r="G12" s="211"/>
      <c r="H12" s="226"/>
      <c r="I12" s="226"/>
      <c r="J12" s="262"/>
      <c r="K12" s="750" t="s">
        <v>223</v>
      </c>
      <c r="L12" s="241" t="s">
        <v>169</v>
      </c>
      <c r="M12" s="245" t="s">
        <v>9</v>
      </c>
      <c r="N12" s="338" t="s">
        <v>263</v>
      </c>
      <c r="O12" s="244" t="s">
        <v>24</v>
      </c>
      <c r="P12" s="244" t="s">
        <v>27</v>
      </c>
      <c r="Q12" s="761" t="s">
        <v>28</v>
      </c>
      <c r="R12" s="762"/>
      <c r="S12" s="763"/>
    </row>
    <row r="13" spans="2:19" s="140" customFormat="1" ht="18" customHeight="1" x14ac:dyDescent="0.15">
      <c r="B13" s="787"/>
      <c r="C13" s="784"/>
      <c r="D13" s="775" t="s">
        <v>63</v>
      </c>
      <c r="E13" s="264" t="s">
        <v>196</v>
      </c>
      <c r="F13" s="251">
        <f>'６　資本装備と減価償却'!L15*'７－３　水稲部門（あきろまん）収支'!H13</f>
        <v>6131.25</v>
      </c>
      <c r="G13" s="211" t="s">
        <v>202</v>
      </c>
      <c r="H13" s="504">
        <v>0.01</v>
      </c>
      <c r="I13" s="748" t="s">
        <v>204</v>
      </c>
      <c r="J13" s="749"/>
      <c r="K13" s="787"/>
      <c r="L13" s="415" t="s">
        <v>454</v>
      </c>
      <c r="M13" s="240" t="s">
        <v>161</v>
      </c>
      <c r="N13" s="173">
        <v>35</v>
      </c>
      <c r="O13" s="173">
        <v>550</v>
      </c>
      <c r="P13" s="173">
        <f>N13*O13</f>
        <v>19250</v>
      </c>
      <c r="Q13" s="741" t="s">
        <v>258</v>
      </c>
      <c r="R13" s="742"/>
      <c r="S13" s="743"/>
    </row>
    <row r="14" spans="2:19" s="140" customFormat="1" ht="18" customHeight="1" x14ac:dyDescent="0.15">
      <c r="B14" s="787"/>
      <c r="C14" s="784"/>
      <c r="D14" s="776"/>
      <c r="E14" s="264" t="s">
        <v>197</v>
      </c>
      <c r="F14" s="251">
        <f>'６　資本装備と減価償却'!L45*'７－３　水稲部門（あきろまん）収支'!H14</f>
        <v>85180.666866666681</v>
      </c>
      <c r="G14" s="211" t="s">
        <v>202</v>
      </c>
      <c r="H14" s="504">
        <v>0.05</v>
      </c>
      <c r="I14" s="748" t="s">
        <v>204</v>
      </c>
      <c r="J14" s="749"/>
      <c r="K14" s="751"/>
      <c r="L14" s="252"/>
      <c r="M14" s="240"/>
      <c r="N14" s="173"/>
      <c r="O14" s="173"/>
      <c r="P14" s="173">
        <f>N14*O14</f>
        <v>0</v>
      </c>
      <c r="Q14" s="808"/>
      <c r="R14" s="742"/>
      <c r="S14" s="743"/>
    </row>
    <row r="15" spans="2:19" s="140" customFormat="1" ht="18" customHeight="1" thickBot="1" x14ac:dyDescent="0.2">
      <c r="B15" s="787"/>
      <c r="C15" s="784"/>
      <c r="D15" s="775" t="s">
        <v>94</v>
      </c>
      <c r="E15" s="264" t="s">
        <v>196</v>
      </c>
      <c r="F15" s="251">
        <f>'６　資本装備と減価償却'!P15</f>
        <v>24525</v>
      </c>
      <c r="G15" s="211" t="s">
        <v>204</v>
      </c>
      <c r="H15" s="226"/>
      <c r="I15" s="218"/>
      <c r="J15" s="219"/>
      <c r="K15" s="751"/>
      <c r="L15" s="151" t="s">
        <v>29</v>
      </c>
      <c r="M15" s="150"/>
      <c r="N15" s="151"/>
      <c r="O15" s="151"/>
      <c r="P15" s="151">
        <f>SUM(P13:P14)</f>
        <v>19250</v>
      </c>
      <c r="Q15" s="753"/>
      <c r="R15" s="754"/>
      <c r="S15" s="755"/>
    </row>
    <row r="16" spans="2:19" s="140" customFormat="1" ht="18" customHeight="1" thickTop="1" x14ac:dyDescent="0.15">
      <c r="B16" s="787"/>
      <c r="C16" s="784"/>
      <c r="D16" s="777"/>
      <c r="E16" s="264" t="s">
        <v>197</v>
      </c>
      <c r="F16" s="251">
        <f>'６　資本装備と減価償却'!P45</f>
        <v>243373.33390476191</v>
      </c>
      <c r="G16" s="211" t="s">
        <v>204</v>
      </c>
      <c r="H16" s="226"/>
      <c r="I16" s="218"/>
      <c r="J16" s="219"/>
      <c r="K16" s="751"/>
      <c r="L16" s="235" t="s">
        <v>170</v>
      </c>
      <c r="M16" s="236"/>
      <c r="N16" s="337" t="s">
        <v>263</v>
      </c>
      <c r="O16" s="237" t="s">
        <v>24</v>
      </c>
      <c r="P16" s="238" t="s">
        <v>27</v>
      </c>
      <c r="Q16" s="756" t="s">
        <v>28</v>
      </c>
      <c r="R16" s="757"/>
      <c r="S16" s="758"/>
    </row>
    <row r="17" spans="1:19" s="140" customFormat="1" ht="18" customHeight="1" x14ac:dyDescent="0.15">
      <c r="B17" s="787"/>
      <c r="C17" s="784"/>
      <c r="D17" s="776"/>
      <c r="E17" s="251" t="s">
        <v>64</v>
      </c>
      <c r="F17" s="251">
        <f>'６　資本装備と減価償却'!P50</f>
        <v>0</v>
      </c>
      <c r="G17" s="211" t="s">
        <v>204</v>
      </c>
      <c r="H17" s="226"/>
      <c r="I17" s="218"/>
      <c r="J17" s="219"/>
      <c r="K17" s="751"/>
      <c r="L17" s="239" t="s">
        <v>176</v>
      </c>
      <c r="M17" s="240"/>
      <c r="N17" s="211" t="s">
        <v>325</v>
      </c>
      <c r="O17" s="230"/>
      <c r="P17" s="228">
        <f>'８－３　水稲算出基礎（あきろまん）'!G7</f>
        <v>0</v>
      </c>
      <c r="Q17" s="744"/>
      <c r="R17" s="745"/>
      <c r="S17" s="746"/>
    </row>
    <row r="18" spans="1:19" s="140" customFormat="1" ht="18" customHeight="1" x14ac:dyDescent="0.15">
      <c r="A18" s="139"/>
      <c r="B18" s="787"/>
      <c r="C18" s="784"/>
      <c r="D18" s="800" t="s">
        <v>269</v>
      </c>
      <c r="E18" s="265" t="s">
        <v>128</v>
      </c>
      <c r="F18" s="251">
        <v>0</v>
      </c>
      <c r="G18" s="211"/>
      <c r="H18" s="218"/>
      <c r="I18" s="218"/>
      <c r="J18" s="219"/>
      <c r="K18" s="751"/>
      <c r="L18" s="239" t="s">
        <v>174</v>
      </c>
      <c r="M18" s="240"/>
      <c r="N18" s="211" t="s">
        <v>280</v>
      </c>
      <c r="O18" s="230"/>
      <c r="P18" s="228">
        <f>'８－３　水稲算出基礎（あきろまん）'!G11</f>
        <v>38400</v>
      </c>
      <c r="Q18" s="744"/>
      <c r="R18" s="745"/>
      <c r="S18" s="746"/>
    </row>
    <row r="19" spans="1:19" s="140" customFormat="1" ht="18" customHeight="1" x14ac:dyDescent="0.15">
      <c r="A19" s="139"/>
      <c r="B19" s="787"/>
      <c r="C19" s="784"/>
      <c r="D19" s="800"/>
      <c r="E19" s="265" t="s">
        <v>124</v>
      </c>
      <c r="F19" s="251">
        <f>J19*'５－３　水稲（あきろまん）作業時間'!AO34</f>
        <v>37290.000000000007</v>
      </c>
      <c r="G19" s="211"/>
      <c r="H19" s="218"/>
      <c r="I19" s="152" t="s">
        <v>338</v>
      </c>
      <c r="J19" s="409">
        <v>1100</v>
      </c>
      <c r="K19" s="751"/>
      <c r="L19" s="211" t="s">
        <v>175</v>
      </c>
      <c r="M19" s="226"/>
      <c r="N19" s="211" t="s">
        <v>280</v>
      </c>
      <c r="O19" s="230"/>
      <c r="P19" s="228">
        <f>'８－３　水稲算出基礎（あきろまん）'!G16</f>
        <v>102025</v>
      </c>
      <c r="Q19" s="744"/>
      <c r="R19" s="745"/>
      <c r="S19" s="746"/>
    </row>
    <row r="20" spans="1:19" s="140" customFormat="1" ht="18" customHeight="1" x14ac:dyDescent="0.15">
      <c r="A20" s="139"/>
      <c r="B20" s="787"/>
      <c r="C20" s="784"/>
      <c r="D20" s="800"/>
      <c r="E20" s="265" t="s">
        <v>125</v>
      </c>
      <c r="F20" s="251">
        <f>J20*'５－３　水稲（あきろまん）作業時間'!AP34</f>
        <v>55800</v>
      </c>
      <c r="G20" s="211"/>
      <c r="H20" s="218"/>
      <c r="I20" s="152" t="s">
        <v>339</v>
      </c>
      <c r="J20" s="409">
        <v>900</v>
      </c>
      <c r="K20" s="751"/>
      <c r="L20" s="211" t="s">
        <v>177</v>
      </c>
      <c r="M20" s="226"/>
      <c r="N20" s="211"/>
      <c r="O20" s="230"/>
      <c r="P20" s="228">
        <f>'８－３　水稲算出基礎（あきろまん）'!G20</f>
        <v>0</v>
      </c>
      <c r="Q20" s="744"/>
      <c r="R20" s="745"/>
      <c r="S20" s="746"/>
    </row>
    <row r="21" spans="1:19" s="140" customFormat="1" ht="18" customHeight="1" x14ac:dyDescent="0.15">
      <c r="A21" s="139"/>
      <c r="B21" s="787"/>
      <c r="C21" s="784"/>
      <c r="D21" s="800"/>
      <c r="E21" s="265" t="s">
        <v>126</v>
      </c>
      <c r="F21" s="251">
        <f>(F19+F20)*0.012</f>
        <v>1117.08</v>
      </c>
      <c r="G21" s="211"/>
      <c r="H21" s="218"/>
      <c r="I21" s="218"/>
      <c r="J21" s="219"/>
      <c r="K21" s="751"/>
      <c r="L21" s="211" t="s">
        <v>178</v>
      </c>
      <c r="M21" s="226"/>
      <c r="N21" s="211" t="s">
        <v>325</v>
      </c>
      <c r="O21" s="228"/>
      <c r="P21" s="228">
        <f>'８－３　水稲算出基礎（あきろまん）'!G24</f>
        <v>20723.849999999999</v>
      </c>
      <c r="Q21" s="744"/>
      <c r="R21" s="745"/>
      <c r="S21" s="746"/>
    </row>
    <row r="22" spans="1:19" s="140" customFormat="1" ht="18" customHeight="1" thickBot="1" x14ac:dyDescent="0.2">
      <c r="A22" s="139"/>
      <c r="B22" s="787"/>
      <c r="C22" s="784"/>
      <c r="D22" s="800" t="s">
        <v>65</v>
      </c>
      <c r="E22" s="265" t="s">
        <v>66</v>
      </c>
      <c r="F22" s="251">
        <f t="shared" ref="F22:F23" si="2">I22*10</f>
        <v>23760</v>
      </c>
      <c r="G22" s="211"/>
      <c r="H22" s="218"/>
      <c r="I22" s="226">
        <v>2376</v>
      </c>
      <c r="J22" s="219" t="s">
        <v>337</v>
      </c>
      <c r="K22" s="751"/>
      <c r="L22" s="151" t="s">
        <v>29</v>
      </c>
      <c r="M22" s="150"/>
      <c r="N22" s="151"/>
      <c r="O22" s="151"/>
      <c r="P22" s="151">
        <f>SUM(P17:P21)</f>
        <v>161148.85</v>
      </c>
      <c r="Q22" s="753"/>
      <c r="R22" s="754"/>
      <c r="S22" s="755"/>
    </row>
    <row r="23" spans="1:19" s="140" customFormat="1" ht="18" customHeight="1" thickTop="1" x14ac:dyDescent="0.15">
      <c r="A23" s="139"/>
      <c r="B23" s="787"/>
      <c r="C23" s="784"/>
      <c r="D23" s="800"/>
      <c r="E23" s="265" t="s">
        <v>95</v>
      </c>
      <c r="F23" s="251">
        <f t="shared" si="2"/>
        <v>50000</v>
      </c>
      <c r="G23" s="211"/>
      <c r="H23" s="218"/>
      <c r="I23" s="226">
        <v>5000</v>
      </c>
      <c r="J23" s="219" t="s">
        <v>337</v>
      </c>
      <c r="K23" s="751"/>
      <c r="L23" s="211" t="s">
        <v>171</v>
      </c>
      <c r="M23" s="226"/>
      <c r="N23" s="227" t="s">
        <v>26</v>
      </c>
      <c r="O23" s="227" t="s">
        <v>24</v>
      </c>
      <c r="P23" s="227" t="s">
        <v>27</v>
      </c>
      <c r="Q23" s="756" t="s">
        <v>28</v>
      </c>
      <c r="R23" s="757"/>
      <c r="S23" s="758"/>
    </row>
    <row r="24" spans="1:19" s="140" customFormat="1" ht="18" customHeight="1" x14ac:dyDescent="0.15">
      <c r="A24" s="139"/>
      <c r="B24" s="787"/>
      <c r="C24" s="784"/>
      <c r="D24" s="251" t="s">
        <v>67</v>
      </c>
      <c r="E24" s="260"/>
      <c r="F24" s="251">
        <f>I24*10</f>
        <v>30000</v>
      </c>
      <c r="G24" s="211"/>
      <c r="H24" s="218"/>
      <c r="I24" s="474">
        <v>3000</v>
      </c>
      <c r="J24" s="219" t="s">
        <v>337</v>
      </c>
      <c r="K24" s="751"/>
      <c r="L24" s="228" t="s">
        <v>30</v>
      </c>
      <c r="M24" s="226"/>
      <c r="N24" s="211" t="s">
        <v>328</v>
      </c>
      <c r="O24" s="228"/>
      <c r="P24" s="228">
        <f>'８－３　水稲算出基礎（あきろまん）'!G38</f>
        <v>5512.1</v>
      </c>
      <c r="Q24" s="744"/>
      <c r="R24" s="745"/>
      <c r="S24" s="746"/>
    </row>
    <row r="25" spans="1:19" s="140" customFormat="1" ht="18" customHeight="1" x14ac:dyDescent="0.15">
      <c r="A25" s="139"/>
      <c r="B25" s="787"/>
      <c r="C25" s="784"/>
      <c r="D25" s="251" t="s">
        <v>173</v>
      </c>
      <c r="E25" s="260"/>
      <c r="F25" s="251">
        <f>SUM(F6:F24)/99</f>
        <v>8643.3631094757093</v>
      </c>
      <c r="G25" s="266" t="s">
        <v>225</v>
      </c>
      <c r="H25" s="280">
        <v>0.01</v>
      </c>
      <c r="I25" s="153"/>
      <c r="J25" s="17"/>
      <c r="K25" s="751"/>
      <c r="L25" s="228" t="s">
        <v>31</v>
      </c>
      <c r="M25" s="226"/>
      <c r="N25" s="211" t="s">
        <v>331</v>
      </c>
      <c r="O25" s="228"/>
      <c r="P25" s="228">
        <f>'８－３　水稲算出基礎（あきろまん）'!G49</f>
        <v>4975</v>
      </c>
      <c r="Q25" s="744"/>
      <c r="R25" s="745"/>
      <c r="S25" s="746"/>
    </row>
    <row r="26" spans="1:19" s="140" customFormat="1" ht="18" customHeight="1" x14ac:dyDescent="0.15">
      <c r="A26" s="139"/>
      <c r="B26" s="787"/>
      <c r="C26" s="785"/>
      <c r="D26" s="806" t="s">
        <v>216</v>
      </c>
      <c r="E26" s="807"/>
      <c r="F26" s="170">
        <f>SUM(F6:F25)</f>
        <v>864336.31094757095</v>
      </c>
      <c r="G26" s="220"/>
      <c r="H26" s="153"/>
      <c r="I26" s="153"/>
      <c r="J26" s="156"/>
      <c r="K26" s="751"/>
      <c r="L26" s="228" t="s">
        <v>32</v>
      </c>
      <c r="M26" s="226"/>
      <c r="N26" s="211" t="s">
        <v>325</v>
      </c>
      <c r="O26" s="228"/>
      <c r="P26" s="228">
        <f>'８－３　水稲算出基礎（あきろまん）'!G53</f>
        <v>24330</v>
      </c>
      <c r="Q26" s="744"/>
      <c r="R26" s="745"/>
      <c r="S26" s="746"/>
    </row>
    <row r="27" spans="1:19" s="140" customFormat="1" ht="18" customHeight="1" x14ac:dyDescent="0.15">
      <c r="A27" s="139"/>
      <c r="B27" s="787"/>
      <c r="C27" s="801" t="s">
        <v>203</v>
      </c>
      <c r="D27" s="684" t="s">
        <v>68</v>
      </c>
      <c r="E27" s="55" t="s">
        <v>3</v>
      </c>
      <c r="F27" s="145">
        <f>P11/30*J27</f>
        <v>16000</v>
      </c>
      <c r="G27" s="239"/>
      <c r="H27" s="226"/>
      <c r="I27" s="149" t="s">
        <v>345</v>
      </c>
      <c r="J27" s="410">
        <v>80</v>
      </c>
      <c r="K27" s="751"/>
      <c r="L27" s="228" t="s">
        <v>326</v>
      </c>
      <c r="M27" s="226"/>
      <c r="N27" s="211" t="s">
        <v>331</v>
      </c>
      <c r="O27" s="228"/>
      <c r="P27" s="228">
        <f>'８－３　水稲算出基礎（あきろまん）'!G57</f>
        <v>27940.166666666664</v>
      </c>
      <c r="Q27" s="744"/>
      <c r="R27" s="745"/>
      <c r="S27" s="746"/>
    </row>
    <row r="28" spans="1:19" s="140" customFormat="1" ht="18" customHeight="1" thickBot="1" x14ac:dyDescent="0.2">
      <c r="A28" s="139"/>
      <c r="B28" s="787"/>
      <c r="C28" s="802"/>
      <c r="D28" s="687"/>
      <c r="E28" s="55" t="s">
        <v>4</v>
      </c>
      <c r="F28" s="171">
        <v>0</v>
      </c>
      <c r="G28" s="239"/>
      <c r="H28" s="267"/>
      <c r="I28" s="267"/>
      <c r="J28" s="268"/>
      <c r="K28" s="751"/>
      <c r="L28" s="151" t="s">
        <v>29</v>
      </c>
      <c r="M28" s="150"/>
      <c r="N28" s="151"/>
      <c r="O28" s="151"/>
      <c r="P28" s="151">
        <f>SUM(P24:P27)</f>
        <v>62757.266666666663</v>
      </c>
      <c r="Q28" s="753"/>
      <c r="R28" s="754"/>
      <c r="S28" s="755"/>
    </row>
    <row r="29" spans="1:19" s="140" customFormat="1" ht="18" customHeight="1" thickTop="1" x14ac:dyDescent="0.15">
      <c r="A29" s="139"/>
      <c r="B29" s="787"/>
      <c r="C29" s="802"/>
      <c r="D29" s="685"/>
      <c r="E29" s="55" t="s">
        <v>8</v>
      </c>
      <c r="F29" s="145">
        <f>P11/30*J29</f>
        <v>5000</v>
      </c>
      <c r="G29" s="239"/>
      <c r="H29" s="234"/>
      <c r="I29" s="267" t="s">
        <v>346</v>
      </c>
      <c r="J29" s="411">
        <v>25</v>
      </c>
      <c r="K29" s="751"/>
      <c r="L29" s="211" t="s">
        <v>172</v>
      </c>
      <c r="M29" s="226"/>
      <c r="N29" s="227" t="s">
        <v>26</v>
      </c>
      <c r="O29" s="227" t="s">
        <v>24</v>
      </c>
      <c r="P29" s="227" t="s">
        <v>27</v>
      </c>
      <c r="Q29" s="756" t="s">
        <v>28</v>
      </c>
      <c r="R29" s="757"/>
      <c r="S29" s="758"/>
    </row>
    <row r="30" spans="1:19" s="140" customFormat="1" ht="18" customHeight="1" x14ac:dyDescent="0.15">
      <c r="A30" s="139"/>
      <c r="B30" s="787"/>
      <c r="C30" s="802"/>
      <c r="D30" s="55" t="s">
        <v>69</v>
      </c>
      <c r="E30" s="56"/>
      <c r="F30" s="145">
        <v>0</v>
      </c>
      <c r="G30" s="239"/>
      <c r="H30" s="234"/>
      <c r="I30" s="267"/>
      <c r="J30" s="269"/>
      <c r="K30" s="751"/>
      <c r="L30" s="228" t="s">
        <v>49</v>
      </c>
      <c r="M30" s="229"/>
      <c r="N30" s="211" t="s">
        <v>332</v>
      </c>
      <c r="O30" s="230"/>
      <c r="P30" s="228">
        <f>'８－３　水稲算出基礎（あきろまん）'!N12</f>
        <v>19311.599999999999</v>
      </c>
      <c r="Q30" s="767"/>
      <c r="R30" s="768"/>
      <c r="S30" s="769"/>
    </row>
    <row r="31" spans="1:19" s="140" customFormat="1" ht="18" customHeight="1" x14ac:dyDescent="0.15">
      <c r="A31" s="139"/>
      <c r="B31" s="787"/>
      <c r="C31" s="802"/>
      <c r="D31" s="700" t="s">
        <v>270</v>
      </c>
      <c r="E31" s="65" t="s">
        <v>128</v>
      </c>
      <c r="F31" s="145">
        <v>0</v>
      </c>
      <c r="G31" s="239"/>
      <c r="H31" s="270"/>
      <c r="I31" s="270"/>
      <c r="J31" s="271"/>
      <c r="K31" s="751"/>
      <c r="L31" s="228" t="s">
        <v>48</v>
      </c>
      <c r="M31" s="229"/>
      <c r="N31" s="211" t="s">
        <v>333</v>
      </c>
      <c r="O31" s="230"/>
      <c r="P31" s="228">
        <f>'８－３　水稲算出基礎（あきろまん）'!N16</f>
        <v>2299.9679999999998</v>
      </c>
      <c r="Q31" s="767"/>
      <c r="R31" s="768"/>
      <c r="S31" s="769"/>
    </row>
    <row r="32" spans="1:19" s="140" customFormat="1" ht="18" customHeight="1" x14ac:dyDescent="0.15">
      <c r="A32" s="139"/>
      <c r="B32" s="787"/>
      <c r="C32" s="802"/>
      <c r="D32" s="700"/>
      <c r="E32" s="65" t="s">
        <v>127</v>
      </c>
      <c r="F32" s="145">
        <v>0</v>
      </c>
      <c r="G32" s="239"/>
      <c r="H32" s="272"/>
      <c r="I32" s="272"/>
      <c r="J32" s="273"/>
      <c r="K32" s="751"/>
      <c r="L32" s="228" t="s">
        <v>50</v>
      </c>
      <c r="M32" s="226"/>
      <c r="N32" s="230"/>
      <c r="O32" s="230"/>
      <c r="P32" s="228">
        <f>SUM(P30:P31)*R32</f>
        <v>6483.4703999999992</v>
      </c>
      <c r="Q32" s="233" t="s">
        <v>33</v>
      </c>
      <c r="R32" s="232">
        <v>0.3</v>
      </c>
      <c r="S32" s="155"/>
    </row>
    <row r="33" spans="1:23" ht="18" customHeight="1" x14ac:dyDescent="0.15">
      <c r="B33" s="787"/>
      <c r="C33" s="802"/>
      <c r="D33" s="55" t="s">
        <v>70</v>
      </c>
      <c r="E33" s="66"/>
      <c r="F33" s="145">
        <v>0</v>
      </c>
      <c r="G33" s="239"/>
      <c r="H33" s="274"/>
      <c r="I33" s="275"/>
      <c r="J33" s="269"/>
      <c r="K33" s="751"/>
      <c r="L33" s="228" t="s">
        <v>51</v>
      </c>
      <c r="M33" s="229"/>
      <c r="N33" s="211"/>
      <c r="O33" s="230"/>
      <c r="P33" s="228">
        <f>'８－３　水稲算出基礎（あきろまん）'!N20</f>
        <v>0</v>
      </c>
      <c r="Q33" s="744"/>
      <c r="R33" s="745"/>
      <c r="S33" s="746"/>
    </row>
    <row r="34" spans="1:23" ht="18" customHeight="1" x14ac:dyDescent="0.15">
      <c r="B34" s="787"/>
      <c r="C34" s="802"/>
      <c r="D34" s="55" t="s">
        <v>96</v>
      </c>
      <c r="E34" s="66"/>
      <c r="F34" s="145">
        <v>0</v>
      </c>
      <c r="G34" s="239"/>
      <c r="H34" s="276"/>
      <c r="I34" s="277"/>
      <c r="J34" s="278"/>
      <c r="K34" s="751"/>
      <c r="L34" s="228" t="s">
        <v>52</v>
      </c>
      <c r="M34" s="229"/>
      <c r="N34" s="211" t="s">
        <v>333</v>
      </c>
      <c r="O34" s="230"/>
      <c r="P34" s="228">
        <f>'８－３　水稲算出基礎（あきろまん）'!N24</f>
        <v>17563.241999999998</v>
      </c>
      <c r="Q34" s="744"/>
      <c r="R34" s="745"/>
      <c r="S34" s="746"/>
    </row>
    <row r="35" spans="1:23" ht="18" customHeight="1" x14ac:dyDescent="0.15">
      <c r="B35" s="787"/>
      <c r="C35" s="802"/>
      <c r="D35" s="55" t="s">
        <v>131</v>
      </c>
      <c r="E35" s="56"/>
      <c r="F35" s="171">
        <f>'８－３　水稲算出基礎（あきろまん）'!V57</f>
        <v>8425</v>
      </c>
      <c r="G35" s="738"/>
      <c r="H35" s="739"/>
      <c r="I35" s="739"/>
      <c r="J35" s="740"/>
      <c r="K35" s="751"/>
      <c r="L35" s="228" t="s">
        <v>268</v>
      </c>
      <c r="M35" s="229"/>
      <c r="N35" s="211"/>
      <c r="O35" s="230"/>
      <c r="P35" s="228">
        <f>'８－３　水稲算出基礎（あきろまん）'!N28</f>
        <v>0</v>
      </c>
      <c r="Q35" s="744"/>
      <c r="R35" s="745"/>
      <c r="S35" s="746"/>
    </row>
    <row r="36" spans="1:23" ht="18" customHeight="1" x14ac:dyDescent="0.15">
      <c r="B36" s="787"/>
      <c r="C36" s="802"/>
      <c r="D36" s="76" t="s">
        <v>97</v>
      </c>
      <c r="E36" s="77"/>
      <c r="F36" s="279">
        <v>0</v>
      </c>
      <c r="G36" s="211"/>
      <c r="H36" s="276"/>
      <c r="I36" s="277"/>
      <c r="J36" s="269"/>
      <c r="K36" s="751"/>
      <c r="L36" s="228" t="s">
        <v>53</v>
      </c>
      <c r="M36" s="226"/>
      <c r="N36" s="211" t="s">
        <v>334</v>
      </c>
      <c r="O36" s="230"/>
      <c r="P36" s="228">
        <f>'８－３　水稲算出基礎（あきろまん）'!N32</f>
        <v>3811.2200000000003</v>
      </c>
      <c r="Q36" s="744"/>
      <c r="R36" s="745"/>
      <c r="S36" s="746"/>
    </row>
    <row r="37" spans="1:23" ht="18" customHeight="1" thickBot="1" x14ac:dyDescent="0.2">
      <c r="B37" s="787"/>
      <c r="C37" s="802"/>
      <c r="D37" s="55" t="s">
        <v>71</v>
      </c>
      <c r="E37" s="56"/>
      <c r="F37" s="171">
        <f>'８－３　水稲算出基礎（あきろまん）'!N57</f>
        <v>3835.125</v>
      </c>
      <c r="G37" s="738"/>
      <c r="H37" s="739"/>
      <c r="I37" s="739"/>
      <c r="J37" s="740"/>
      <c r="K37" s="752"/>
      <c r="L37" s="163" t="s">
        <v>29</v>
      </c>
      <c r="M37" s="162"/>
      <c r="N37" s="163"/>
      <c r="O37" s="163"/>
      <c r="P37" s="163">
        <f>SUM(P30:P36)</f>
        <v>49469.500399999997</v>
      </c>
      <c r="Q37" s="764"/>
      <c r="R37" s="765"/>
      <c r="S37" s="766"/>
    </row>
    <row r="38" spans="1:23" s="157" customFormat="1" ht="18" customHeight="1" x14ac:dyDescent="0.15">
      <c r="A38" s="139"/>
      <c r="B38" s="787"/>
      <c r="C38" s="802"/>
      <c r="D38" s="55" t="s">
        <v>0</v>
      </c>
      <c r="E38" s="66"/>
      <c r="F38" s="171">
        <v>0</v>
      </c>
      <c r="G38" s="16"/>
      <c r="H38" s="222"/>
      <c r="I38" s="223"/>
      <c r="J38" s="221"/>
    </row>
    <row r="39" spans="1:23" s="157" customFormat="1" ht="18" customHeight="1" thickBot="1" x14ac:dyDescent="0.2">
      <c r="A39" s="139"/>
      <c r="B39" s="788"/>
      <c r="C39" s="803"/>
      <c r="D39" s="804" t="s">
        <v>215</v>
      </c>
      <c r="E39" s="805"/>
      <c r="F39" s="213">
        <f>SUM(F27:F38)</f>
        <v>33260.125</v>
      </c>
      <c r="G39" s="214"/>
      <c r="H39" s="215"/>
      <c r="I39" s="216"/>
      <c r="J39" s="217"/>
      <c r="T39" s="158"/>
    </row>
    <row r="40" spans="1:23" s="157" customFormat="1" ht="18" customHeight="1" x14ac:dyDescent="0.15">
      <c r="A40" s="139"/>
      <c r="B40" s="789" t="s">
        <v>219</v>
      </c>
      <c r="C40" s="792" t="s">
        <v>73</v>
      </c>
      <c r="D40" s="208" t="s">
        <v>130</v>
      </c>
      <c r="E40" s="209"/>
      <c r="F40" s="210">
        <f>J40*10</f>
        <v>75000</v>
      </c>
      <c r="G40" s="211"/>
      <c r="H40" s="737" t="s">
        <v>490</v>
      </c>
      <c r="I40" s="737"/>
      <c r="J40" s="412">
        <v>7500</v>
      </c>
      <c r="T40" s="140"/>
      <c r="U40" s="140"/>
      <c r="V40" s="140"/>
      <c r="W40" s="140"/>
    </row>
    <row r="41" spans="1:23" s="157" customFormat="1" ht="18" customHeight="1" x14ac:dyDescent="0.15">
      <c r="A41" s="139"/>
      <c r="B41" s="790"/>
      <c r="C41" s="793"/>
      <c r="D41" s="55" t="s">
        <v>129</v>
      </c>
      <c r="E41" s="56"/>
      <c r="F41" s="203">
        <v>0</v>
      </c>
      <c r="G41" s="211"/>
      <c r="H41" s="164"/>
      <c r="I41" s="164"/>
      <c r="J41" s="224"/>
      <c r="T41" s="159"/>
      <c r="U41" s="160"/>
      <c r="V41" s="161"/>
      <c r="W41" s="159"/>
    </row>
    <row r="42" spans="1:23" s="157" customFormat="1" ht="18" customHeight="1" x14ac:dyDescent="0.15">
      <c r="A42" s="139"/>
      <c r="B42" s="790"/>
      <c r="C42" s="794"/>
      <c r="D42" s="76" t="s">
        <v>72</v>
      </c>
      <c r="E42" s="56"/>
      <c r="F42" s="203">
        <v>0</v>
      </c>
      <c r="G42" s="211"/>
      <c r="H42" s="164"/>
      <c r="I42" s="164"/>
      <c r="J42" s="224"/>
      <c r="T42" s="140"/>
      <c r="U42" s="140"/>
      <c r="V42" s="140"/>
      <c r="W42" s="140"/>
    </row>
    <row r="43" spans="1:23" s="157" customFormat="1" ht="18" customHeight="1" x14ac:dyDescent="0.15">
      <c r="B43" s="790"/>
      <c r="C43" s="795" t="s">
        <v>218</v>
      </c>
      <c r="D43" s="76" t="s">
        <v>271</v>
      </c>
      <c r="E43" s="77"/>
      <c r="F43" s="203">
        <v>0</v>
      </c>
      <c r="G43" s="211"/>
      <c r="H43" s="164"/>
      <c r="I43" s="164"/>
      <c r="J43" s="224"/>
      <c r="T43" s="141"/>
      <c r="U43" s="158"/>
      <c r="V43" s="140"/>
      <c r="W43" s="159"/>
    </row>
    <row r="44" spans="1:23" s="157" customFormat="1" ht="18" customHeight="1" x14ac:dyDescent="0.15">
      <c r="B44" s="790"/>
      <c r="C44" s="796"/>
      <c r="D44" s="78" t="s">
        <v>1</v>
      </c>
      <c r="E44" s="79"/>
      <c r="F44" s="203">
        <v>0</v>
      </c>
      <c r="G44" s="211"/>
      <c r="H44" s="164"/>
      <c r="I44" s="164"/>
      <c r="J44" s="224"/>
      <c r="T44" s="141"/>
      <c r="U44" s="158"/>
      <c r="V44" s="140"/>
      <c r="W44" s="159"/>
    </row>
    <row r="45" spans="1:23" s="157" customFormat="1" ht="18" customHeight="1" thickBot="1" x14ac:dyDescent="0.2">
      <c r="B45" s="791"/>
      <c r="C45" s="797" t="s">
        <v>99</v>
      </c>
      <c r="D45" s="798"/>
      <c r="E45" s="799"/>
      <c r="F45" s="204">
        <f>SUM(F40:F42)-SUM(F43:F44)</f>
        <v>75000</v>
      </c>
      <c r="G45" s="165"/>
      <c r="H45" s="166"/>
      <c r="I45" s="166"/>
      <c r="J45" s="225"/>
      <c r="T45" s="140"/>
      <c r="U45" s="140"/>
      <c r="V45" s="160"/>
      <c r="W45" s="140"/>
    </row>
  </sheetData>
  <mergeCells count="59">
    <mergeCell ref="Q35:S35"/>
    <mergeCell ref="B3:E3"/>
    <mergeCell ref="K3:S3"/>
    <mergeCell ref="B4:C5"/>
    <mergeCell ref="R4:S4"/>
    <mergeCell ref="R5:S5"/>
    <mergeCell ref="Q30:S30"/>
    <mergeCell ref="Q19:S19"/>
    <mergeCell ref="Q20:S20"/>
    <mergeCell ref="Q21:S21"/>
    <mergeCell ref="Q29:S29"/>
    <mergeCell ref="Q12:S12"/>
    <mergeCell ref="C6:C26"/>
    <mergeCell ref="D18:D21"/>
    <mergeCell ref="D13:D14"/>
    <mergeCell ref="D15:D17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4:S24"/>
    <mergeCell ref="B40:B45"/>
    <mergeCell ref="C40:C42"/>
    <mergeCell ref="C43:C44"/>
    <mergeCell ref="C45:E45"/>
    <mergeCell ref="H40:I40"/>
    <mergeCell ref="D22:D23"/>
    <mergeCell ref="D31:D32"/>
    <mergeCell ref="Q31:S31"/>
    <mergeCell ref="Q15:S15"/>
    <mergeCell ref="Q16:S16"/>
    <mergeCell ref="Q17:S17"/>
    <mergeCell ref="Q33:S3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</mergeCells>
  <phoneticPr fontId="4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39" customWidth="1"/>
    <col min="2" max="2" width="5.875" style="139" customWidth="1"/>
    <col min="3" max="3" width="10.625" style="139" customWidth="1"/>
    <col min="4" max="4" width="12.375" style="139" customWidth="1"/>
    <col min="5" max="5" width="14.625" style="139" customWidth="1"/>
    <col min="6" max="7" width="15.875" style="139" customWidth="1"/>
    <col min="8" max="8" width="10.875" style="139"/>
    <col min="9" max="9" width="11.375" style="139" bestFit="1" customWidth="1"/>
    <col min="10" max="10" width="15.5" style="139" customWidth="1"/>
    <col min="11" max="11" width="7.125" style="139" customWidth="1"/>
    <col min="12" max="12" width="15.375" style="139" customWidth="1"/>
    <col min="13" max="13" width="9.375" style="139" bestFit="1" customWidth="1"/>
    <col min="14" max="14" width="10.875" style="139"/>
    <col min="15" max="15" width="7.25" style="139" customWidth="1"/>
    <col min="16" max="16" width="9.625" style="139" customWidth="1"/>
    <col min="17" max="17" width="10.875" style="139" customWidth="1"/>
    <col min="18" max="18" width="7.5" style="139" customWidth="1"/>
    <col min="19" max="19" width="3.75" style="139" customWidth="1"/>
    <col min="20" max="16384" width="10.875" style="139"/>
  </cols>
  <sheetData>
    <row r="1" spans="2:19" s="140" customFormat="1" ht="9.9499999999999993" customHeight="1" x14ac:dyDescent="0.15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2:19" s="140" customFormat="1" ht="24.95" customHeight="1" thickBot="1" x14ac:dyDescent="0.2">
      <c r="B2" s="3" t="s">
        <v>455</v>
      </c>
      <c r="H2" s="141" t="s">
        <v>259</v>
      </c>
      <c r="I2" s="3" t="s">
        <v>285</v>
      </c>
      <c r="K2" s="141" t="s">
        <v>260</v>
      </c>
      <c r="L2" s="3"/>
      <c r="N2" s="139"/>
      <c r="O2" s="139"/>
      <c r="Q2" s="4"/>
      <c r="R2" s="4"/>
    </row>
    <row r="3" spans="2:19" s="140" customFormat="1" ht="18" customHeight="1" x14ac:dyDescent="0.15">
      <c r="B3" s="780" t="s">
        <v>20</v>
      </c>
      <c r="C3" s="781"/>
      <c r="D3" s="781"/>
      <c r="E3" s="782"/>
      <c r="F3" s="169" t="s">
        <v>21</v>
      </c>
      <c r="G3" s="143"/>
      <c r="H3" s="144" t="s">
        <v>22</v>
      </c>
      <c r="I3" s="142"/>
      <c r="J3" s="142"/>
      <c r="K3" s="770" t="s">
        <v>224</v>
      </c>
      <c r="L3" s="771"/>
      <c r="M3" s="771"/>
      <c r="N3" s="771"/>
      <c r="O3" s="771"/>
      <c r="P3" s="771"/>
      <c r="Q3" s="771"/>
      <c r="R3" s="771"/>
      <c r="S3" s="772"/>
    </row>
    <row r="4" spans="2:19" s="140" customFormat="1" ht="18" customHeight="1" x14ac:dyDescent="0.15">
      <c r="B4" s="778" t="s">
        <v>23</v>
      </c>
      <c r="C4" s="779"/>
      <c r="D4" s="239" t="s">
        <v>217</v>
      </c>
      <c r="E4" s="258"/>
      <c r="F4" s="251">
        <f>+R11</f>
        <v>9100</v>
      </c>
      <c r="G4" s="239" t="s">
        <v>200</v>
      </c>
      <c r="H4" s="234"/>
      <c r="I4" s="234"/>
      <c r="J4" s="234"/>
      <c r="K4" s="247" t="s">
        <v>57</v>
      </c>
      <c r="L4" s="336" t="s">
        <v>264</v>
      </c>
      <c r="M4" s="249" t="s">
        <v>24</v>
      </c>
      <c r="N4" s="249" t="s">
        <v>23</v>
      </c>
      <c r="O4" s="249" t="s">
        <v>266</v>
      </c>
      <c r="P4" s="336" t="s">
        <v>265</v>
      </c>
      <c r="Q4" s="249" t="s">
        <v>24</v>
      </c>
      <c r="R4" s="773" t="s">
        <v>23</v>
      </c>
      <c r="S4" s="774"/>
    </row>
    <row r="5" spans="2:19" s="140" customFormat="1" ht="18" customHeight="1" x14ac:dyDescent="0.15">
      <c r="B5" s="778"/>
      <c r="C5" s="779"/>
      <c r="D5" s="239" t="s">
        <v>92</v>
      </c>
      <c r="E5" s="258"/>
      <c r="F5" s="251">
        <v>0</v>
      </c>
      <c r="G5" s="205"/>
      <c r="H5" s="259"/>
      <c r="I5" s="259"/>
      <c r="J5" s="259"/>
      <c r="K5" s="332" t="s">
        <v>411</v>
      </c>
      <c r="L5" s="251">
        <v>650</v>
      </c>
      <c r="M5" s="251">
        <v>14</v>
      </c>
      <c r="N5" s="251">
        <f>L5*M5</f>
        <v>9100</v>
      </c>
      <c r="O5" s="251"/>
      <c r="P5" s="251"/>
      <c r="Q5" s="251"/>
      <c r="R5" s="747">
        <f>P5*Q5</f>
        <v>0</v>
      </c>
      <c r="S5" s="740"/>
    </row>
    <row r="6" spans="2:19" s="140" customFormat="1" ht="18" customHeight="1" x14ac:dyDescent="0.15">
      <c r="B6" s="786" t="s">
        <v>222</v>
      </c>
      <c r="C6" s="783" t="s">
        <v>208</v>
      </c>
      <c r="D6" s="251" t="s">
        <v>59</v>
      </c>
      <c r="E6" s="260"/>
      <c r="F6" s="251">
        <f>P15</f>
        <v>19250</v>
      </c>
      <c r="G6" s="205" t="s">
        <v>201</v>
      </c>
      <c r="H6" s="259"/>
      <c r="I6" s="259"/>
      <c r="J6" s="259"/>
      <c r="K6" s="257"/>
      <c r="L6" s="254"/>
      <c r="M6" s="251"/>
      <c r="N6" s="251">
        <f>L6*M6</f>
        <v>0</v>
      </c>
      <c r="O6" s="251"/>
      <c r="P6" s="251"/>
      <c r="Q6" s="251"/>
      <c r="R6" s="747">
        <f t="shared" ref="R6:R9" si="0">P6*Q6</f>
        <v>0</v>
      </c>
      <c r="S6" s="740"/>
    </row>
    <row r="7" spans="2:19" s="140" customFormat="1" ht="18" customHeight="1" x14ac:dyDescent="0.15">
      <c r="B7" s="787"/>
      <c r="C7" s="784"/>
      <c r="D7" s="251" t="s">
        <v>60</v>
      </c>
      <c r="E7" s="260"/>
      <c r="F7" s="251">
        <f>P22</f>
        <v>186389.15</v>
      </c>
      <c r="G7" s="239" t="s">
        <v>483</v>
      </c>
      <c r="H7" s="234"/>
      <c r="I7" s="234"/>
      <c r="J7" s="261"/>
      <c r="K7" s="255"/>
      <c r="L7" s="265"/>
      <c r="M7" s="251"/>
      <c r="N7" s="251">
        <f t="shared" ref="N7:N11" si="1">L7*M7</f>
        <v>0</v>
      </c>
      <c r="O7" s="251"/>
      <c r="P7" s="251"/>
      <c r="Q7" s="251"/>
      <c r="R7" s="747">
        <f t="shared" si="0"/>
        <v>0</v>
      </c>
      <c r="S7" s="740"/>
    </row>
    <row r="8" spans="2:19" s="140" customFormat="1" ht="18" customHeight="1" x14ac:dyDescent="0.15">
      <c r="B8" s="787"/>
      <c r="C8" s="784"/>
      <c r="D8" s="251" t="s">
        <v>61</v>
      </c>
      <c r="E8" s="260"/>
      <c r="F8" s="251">
        <f>P28</f>
        <v>62757.266666666663</v>
      </c>
      <c r="G8" s="211" t="s">
        <v>484</v>
      </c>
      <c r="H8" s="226"/>
      <c r="I8" s="226"/>
      <c r="J8" s="262"/>
      <c r="K8" s="253"/>
      <c r="L8" s="251"/>
      <c r="M8" s="251"/>
      <c r="N8" s="251">
        <f t="shared" si="1"/>
        <v>0</v>
      </c>
      <c r="O8" s="251"/>
      <c r="P8" s="251"/>
      <c r="Q8" s="251"/>
      <c r="R8" s="747">
        <f t="shared" si="0"/>
        <v>0</v>
      </c>
      <c r="S8" s="740"/>
    </row>
    <row r="9" spans="2:19" s="140" customFormat="1" ht="18" customHeight="1" x14ac:dyDescent="0.15">
      <c r="B9" s="787"/>
      <c r="C9" s="784"/>
      <c r="D9" s="251" t="s">
        <v>93</v>
      </c>
      <c r="E9" s="260"/>
      <c r="F9" s="251">
        <f>P37</f>
        <v>50432.962899999999</v>
      </c>
      <c r="G9" s="211" t="s">
        <v>485</v>
      </c>
      <c r="H9" s="226"/>
      <c r="I9" s="226"/>
      <c r="J9" s="262"/>
      <c r="K9" s="253"/>
      <c r="L9" s="251"/>
      <c r="M9" s="251"/>
      <c r="N9" s="251">
        <f t="shared" si="1"/>
        <v>0</v>
      </c>
      <c r="O9" s="251"/>
      <c r="P9" s="251"/>
      <c r="Q9" s="251"/>
      <c r="R9" s="747">
        <f t="shared" si="0"/>
        <v>0</v>
      </c>
      <c r="S9" s="740"/>
    </row>
    <row r="10" spans="2:19" s="140" customFormat="1" ht="18" customHeight="1" x14ac:dyDescent="0.15">
      <c r="B10" s="787"/>
      <c r="C10" s="784"/>
      <c r="D10" s="251" t="s">
        <v>62</v>
      </c>
      <c r="E10" s="260"/>
      <c r="F10" s="251">
        <f>'８－４　水稲算出基礎（飼料用米）'!V21</f>
        <v>5806.666666666667</v>
      </c>
      <c r="G10" s="738"/>
      <c r="H10" s="739"/>
      <c r="I10" s="739"/>
      <c r="J10" s="740"/>
      <c r="K10" s="253"/>
      <c r="L10" s="251"/>
      <c r="M10" s="251"/>
      <c r="N10" s="251">
        <f t="shared" si="1"/>
        <v>0</v>
      </c>
      <c r="O10" s="251"/>
      <c r="P10" s="251"/>
      <c r="Q10" s="251"/>
      <c r="R10" s="747"/>
      <c r="S10" s="740"/>
    </row>
    <row r="11" spans="2:19" s="140" customFormat="1" ht="18" customHeight="1" thickBot="1" x14ac:dyDescent="0.2">
      <c r="B11" s="787"/>
      <c r="C11" s="784"/>
      <c r="D11" s="251" t="s">
        <v>6</v>
      </c>
      <c r="E11" s="260"/>
      <c r="F11" s="251">
        <f>'８－４　水稲算出基礎（飼料用米）'!V34</f>
        <v>83.333333333333329</v>
      </c>
      <c r="G11" s="738"/>
      <c r="H11" s="739"/>
      <c r="I11" s="739"/>
      <c r="J11" s="740"/>
      <c r="K11" s="160"/>
      <c r="L11" s="146"/>
      <c r="M11" s="146"/>
      <c r="N11" s="145">
        <f t="shared" si="1"/>
        <v>0</v>
      </c>
      <c r="O11" s="147" t="s">
        <v>25</v>
      </c>
      <c r="P11" s="148">
        <f>SUM(L5:L11,P5:Q10)</f>
        <v>650</v>
      </c>
      <c r="Q11" s="148">
        <f>R11/P11</f>
        <v>14</v>
      </c>
      <c r="R11" s="759">
        <f>SUM(N5:N11,R5:S10)</f>
        <v>9100</v>
      </c>
      <c r="S11" s="760"/>
    </row>
    <row r="12" spans="2:19" s="140" customFormat="1" ht="18" customHeight="1" thickTop="1" x14ac:dyDescent="0.15">
      <c r="B12" s="787"/>
      <c r="C12" s="784"/>
      <c r="D12" s="251" t="s">
        <v>7</v>
      </c>
      <c r="E12" s="260"/>
      <c r="F12" s="491">
        <v>0</v>
      </c>
      <c r="G12" s="211"/>
      <c r="H12" s="226"/>
      <c r="I12" s="226"/>
      <c r="J12" s="262"/>
      <c r="K12" s="750" t="s">
        <v>223</v>
      </c>
      <c r="L12" s="241" t="s">
        <v>169</v>
      </c>
      <c r="M12" s="245" t="s">
        <v>9</v>
      </c>
      <c r="N12" s="338" t="s">
        <v>263</v>
      </c>
      <c r="O12" s="244" t="s">
        <v>24</v>
      </c>
      <c r="P12" s="244" t="s">
        <v>27</v>
      </c>
      <c r="Q12" s="761" t="s">
        <v>28</v>
      </c>
      <c r="R12" s="762"/>
      <c r="S12" s="763"/>
    </row>
    <row r="13" spans="2:19" s="140" customFormat="1" ht="18" customHeight="1" x14ac:dyDescent="0.15">
      <c r="B13" s="787"/>
      <c r="C13" s="784"/>
      <c r="D13" s="775" t="s">
        <v>63</v>
      </c>
      <c r="E13" s="264" t="s">
        <v>196</v>
      </c>
      <c r="F13" s="251">
        <f>'６　資本装備と減価償却'!L15*'７－４　水稲部門（飼料用米）収支'!H13</f>
        <v>6131.25</v>
      </c>
      <c r="G13" s="211" t="s">
        <v>202</v>
      </c>
      <c r="H13" s="504">
        <v>0.01</v>
      </c>
      <c r="I13" s="748" t="s">
        <v>204</v>
      </c>
      <c r="J13" s="749"/>
      <c r="K13" s="751"/>
      <c r="L13" s="263" t="s">
        <v>411</v>
      </c>
      <c r="M13" s="240" t="s">
        <v>161</v>
      </c>
      <c r="N13" s="429">
        <v>35</v>
      </c>
      <c r="O13" s="461">
        <v>550</v>
      </c>
      <c r="P13" s="173">
        <f>N13*O13</f>
        <v>19250</v>
      </c>
      <c r="Q13" s="741"/>
      <c r="R13" s="742"/>
      <c r="S13" s="743"/>
    </row>
    <row r="14" spans="2:19" s="140" customFormat="1" ht="18" customHeight="1" x14ac:dyDescent="0.15">
      <c r="B14" s="787"/>
      <c r="C14" s="784"/>
      <c r="D14" s="776"/>
      <c r="E14" s="264" t="s">
        <v>197</v>
      </c>
      <c r="F14" s="251">
        <f>'６　資本装備と減価償却'!L45*'７－４　水稲部門（飼料用米）収支'!H14</f>
        <v>85180.666866666681</v>
      </c>
      <c r="G14" s="211" t="s">
        <v>202</v>
      </c>
      <c r="H14" s="504">
        <v>0.05</v>
      </c>
      <c r="I14" s="748" t="s">
        <v>204</v>
      </c>
      <c r="J14" s="749"/>
      <c r="K14" s="751"/>
      <c r="L14" s="252"/>
      <c r="M14" s="240"/>
      <c r="N14" s="429"/>
      <c r="O14" s="461"/>
      <c r="P14" s="173">
        <f>N14*O14</f>
        <v>0</v>
      </c>
      <c r="Q14" s="808"/>
      <c r="R14" s="742"/>
      <c r="S14" s="743"/>
    </row>
    <row r="15" spans="2:19" s="140" customFormat="1" ht="18" customHeight="1" thickBot="1" x14ac:dyDescent="0.2">
      <c r="B15" s="787"/>
      <c r="C15" s="784"/>
      <c r="D15" s="775" t="s">
        <v>94</v>
      </c>
      <c r="E15" s="264" t="s">
        <v>196</v>
      </c>
      <c r="F15" s="251">
        <f>'６　資本装備と減価償却'!P15</f>
        <v>24525</v>
      </c>
      <c r="G15" s="211" t="s">
        <v>204</v>
      </c>
      <c r="H15" s="226"/>
      <c r="I15" s="218"/>
      <c r="J15" s="219"/>
      <c r="K15" s="751"/>
      <c r="L15" s="151" t="s">
        <v>29</v>
      </c>
      <c r="M15" s="150"/>
      <c r="N15" s="151"/>
      <c r="O15" s="151"/>
      <c r="P15" s="151">
        <f>SUM(P13:P14)</f>
        <v>19250</v>
      </c>
      <c r="Q15" s="753"/>
      <c r="R15" s="754"/>
      <c r="S15" s="755"/>
    </row>
    <row r="16" spans="2:19" s="140" customFormat="1" ht="18" customHeight="1" thickTop="1" x14ac:dyDescent="0.15">
      <c r="B16" s="787"/>
      <c r="C16" s="784"/>
      <c r="D16" s="777"/>
      <c r="E16" s="264" t="s">
        <v>197</v>
      </c>
      <c r="F16" s="251">
        <f>'６　資本装備と減価償却'!P45</f>
        <v>243373.33390476191</v>
      </c>
      <c r="G16" s="211" t="s">
        <v>204</v>
      </c>
      <c r="H16" s="218"/>
      <c r="I16" s="218"/>
      <c r="J16" s="219"/>
      <c r="K16" s="751"/>
      <c r="L16" s="235" t="s">
        <v>170</v>
      </c>
      <c r="M16" s="236"/>
      <c r="N16" s="337" t="s">
        <v>263</v>
      </c>
      <c r="O16" s="237" t="s">
        <v>24</v>
      </c>
      <c r="P16" s="238" t="s">
        <v>27</v>
      </c>
      <c r="Q16" s="756" t="s">
        <v>28</v>
      </c>
      <c r="R16" s="757"/>
      <c r="S16" s="758"/>
    </row>
    <row r="17" spans="1:19" s="140" customFormat="1" ht="18" customHeight="1" x14ac:dyDescent="0.15">
      <c r="B17" s="787"/>
      <c r="C17" s="784"/>
      <c r="D17" s="776"/>
      <c r="E17" s="251" t="s">
        <v>64</v>
      </c>
      <c r="F17" s="251">
        <f>'６　資本装備と減価償却'!P50</f>
        <v>0</v>
      </c>
      <c r="G17" s="211" t="s">
        <v>204</v>
      </c>
      <c r="H17" s="218"/>
      <c r="I17" s="218"/>
      <c r="J17" s="219"/>
      <c r="K17" s="751"/>
      <c r="L17" s="239" t="s">
        <v>176</v>
      </c>
      <c r="M17" s="240"/>
      <c r="N17" s="211" t="s">
        <v>325</v>
      </c>
      <c r="O17" s="230"/>
      <c r="P17" s="228">
        <f>'８－４　水稲算出基礎（飼料用米）'!G7</f>
        <v>70000</v>
      </c>
      <c r="Q17" s="744"/>
      <c r="R17" s="745"/>
      <c r="S17" s="746"/>
    </row>
    <row r="18" spans="1:19" s="140" customFormat="1" ht="18" customHeight="1" x14ac:dyDescent="0.15">
      <c r="A18" s="139"/>
      <c r="B18" s="787"/>
      <c r="C18" s="784"/>
      <c r="D18" s="800" t="s">
        <v>269</v>
      </c>
      <c r="E18" s="265" t="s">
        <v>128</v>
      </c>
      <c r="F18" s="251">
        <v>0</v>
      </c>
      <c r="G18" s="211"/>
      <c r="H18" s="218"/>
      <c r="I18" s="218"/>
      <c r="J18" s="219"/>
      <c r="K18" s="751"/>
      <c r="L18" s="239" t="s">
        <v>174</v>
      </c>
      <c r="M18" s="240"/>
      <c r="N18" s="211"/>
      <c r="O18" s="230"/>
      <c r="P18" s="228">
        <f>'８－４　水稲算出基礎（飼料用米）'!G11</f>
        <v>0</v>
      </c>
      <c r="Q18" s="744"/>
      <c r="R18" s="745"/>
      <c r="S18" s="746"/>
    </row>
    <row r="19" spans="1:19" s="140" customFormat="1" ht="18" customHeight="1" x14ac:dyDescent="0.15">
      <c r="A19" s="139"/>
      <c r="B19" s="787"/>
      <c r="C19" s="784"/>
      <c r="D19" s="800"/>
      <c r="E19" s="265" t="s">
        <v>124</v>
      </c>
      <c r="F19" s="251">
        <f>J19*'５－４　水稲（飼料用米）作業時間'!AO34</f>
        <v>37290.000000000007</v>
      </c>
      <c r="G19" s="211"/>
      <c r="H19" s="218"/>
      <c r="I19" s="152" t="s">
        <v>338</v>
      </c>
      <c r="J19" s="409">
        <v>1100</v>
      </c>
      <c r="K19" s="751"/>
      <c r="L19" s="211" t="s">
        <v>175</v>
      </c>
      <c r="M19" s="226"/>
      <c r="N19" s="211" t="s">
        <v>325</v>
      </c>
      <c r="O19" s="230"/>
      <c r="P19" s="228">
        <f>'８－４　水稲算出基礎（飼料用米）'!G16</f>
        <v>102025</v>
      </c>
      <c r="Q19" s="744"/>
      <c r="R19" s="745"/>
      <c r="S19" s="746"/>
    </row>
    <row r="20" spans="1:19" s="140" customFormat="1" ht="18" customHeight="1" x14ac:dyDescent="0.15">
      <c r="A20" s="139"/>
      <c r="B20" s="787"/>
      <c r="C20" s="784"/>
      <c r="D20" s="800"/>
      <c r="E20" s="265" t="s">
        <v>125</v>
      </c>
      <c r="F20" s="251">
        <f>J20*'５－４　水稲（飼料用米）作業時間'!AP34</f>
        <v>47250</v>
      </c>
      <c r="G20" s="211"/>
      <c r="H20" s="218"/>
      <c r="I20" s="152" t="s">
        <v>339</v>
      </c>
      <c r="J20" s="409">
        <v>900</v>
      </c>
      <c r="K20" s="751"/>
      <c r="L20" s="211" t="s">
        <v>177</v>
      </c>
      <c r="M20" s="226"/>
      <c r="N20" s="211"/>
      <c r="O20" s="230"/>
      <c r="P20" s="228">
        <f>'８－４　水稲算出基礎（飼料用米）'!G20</f>
        <v>0</v>
      </c>
      <c r="Q20" s="744"/>
      <c r="R20" s="745"/>
      <c r="S20" s="746"/>
    </row>
    <row r="21" spans="1:19" s="140" customFormat="1" ht="18" customHeight="1" x14ac:dyDescent="0.15">
      <c r="A21" s="139"/>
      <c r="B21" s="787"/>
      <c r="C21" s="784"/>
      <c r="D21" s="800"/>
      <c r="E21" s="265" t="s">
        <v>126</v>
      </c>
      <c r="F21" s="251">
        <f>(F19+F20)*0.012</f>
        <v>1014.48</v>
      </c>
      <c r="G21" s="211"/>
      <c r="H21" s="218"/>
      <c r="I21" s="218"/>
      <c r="J21" s="219"/>
      <c r="K21" s="751"/>
      <c r="L21" s="211" t="s">
        <v>178</v>
      </c>
      <c r="M21" s="226"/>
      <c r="N21" s="211" t="s">
        <v>325</v>
      </c>
      <c r="O21" s="228"/>
      <c r="P21" s="228">
        <f>'８－４　水稲算出基礎（飼料用米）'!G24</f>
        <v>14364.15</v>
      </c>
      <c r="Q21" s="744"/>
      <c r="R21" s="745"/>
      <c r="S21" s="746"/>
    </row>
    <row r="22" spans="1:19" s="140" customFormat="1" ht="18" customHeight="1" thickBot="1" x14ac:dyDescent="0.2">
      <c r="A22" s="139"/>
      <c r="B22" s="787"/>
      <c r="C22" s="784"/>
      <c r="D22" s="800" t="s">
        <v>65</v>
      </c>
      <c r="E22" s="265" t="s">
        <v>66</v>
      </c>
      <c r="F22" s="251">
        <f t="shared" ref="F22:F23" si="2">I22*10</f>
        <v>23760</v>
      </c>
      <c r="G22" s="211"/>
      <c r="H22" s="218"/>
      <c r="I22" s="226">
        <v>2376</v>
      </c>
      <c r="J22" s="219" t="s">
        <v>337</v>
      </c>
      <c r="K22" s="751"/>
      <c r="L22" s="151" t="s">
        <v>29</v>
      </c>
      <c r="M22" s="150"/>
      <c r="N22" s="151"/>
      <c r="O22" s="151"/>
      <c r="P22" s="151">
        <f>SUM(P17:P21)</f>
        <v>186389.15</v>
      </c>
      <c r="Q22" s="753"/>
      <c r="R22" s="754"/>
      <c r="S22" s="755"/>
    </row>
    <row r="23" spans="1:19" s="140" customFormat="1" ht="18" customHeight="1" thickTop="1" x14ac:dyDescent="0.15">
      <c r="A23" s="139"/>
      <c r="B23" s="787"/>
      <c r="C23" s="784"/>
      <c r="D23" s="800"/>
      <c r="E23" s="265" t="s">
        <v>95</v>
      </c>
      <c r="F23" s="251">
        <f t="shared" si="2"/>
        <v>50000</v>
      </c>
      <c r="G23" s="211"/>
      <c r="H23" s="218"/>
      <c r="I23" s="226">
        <v>5000</v>
      </c>
      <c r="J23" s="219" t="s">
        <v>337</v>
      </c>
      <c r="K23" s="751"/>
      <c r="L23" s="211" t="s">
        <v>171</v>
      </c>
      <c r="M23" s="226"/>
      <c r="N23" s="227" t="s">
        <v>26</v>
      </c>
      <c r="O23" s="227" t="s">
        <v>24</v>
      </c>
      <c r="P23" s="227" t="s">
        <v>27</v>
      </c>
      <c r="Q23" s="756" t="s">
        <v>28</v>
      </c>
      <c r="R23" s="757"/>
      <c r="S23" s="758"/>
    </row>
    <row r="24" spans="1:19" s="140" customFormat="1" ht="18" customHeight="1" x14ac:dyDescent="0.15">
      <c r="A24" s="139"/>
      <c r="B24" s="787"/>
      <c r="C24" s="784"/>
      <c r="D24" s="251" t="s">
        <v>67</v>
      </c>
      <c r="E24" s="260"/>
      <c r="F24" s="251">
        <f>I24*10</f>
        <v>30000</v>
      </c>
      <c r="G24" s="211"/>
      <c r="H24" s="218"/>
      <c r="I24" s="474">
        <v>3000</v>
      </c>
      <c r="J24" s="219" t="s">
        <v>337</v>
      </c>
      <c r="K24" s="751"/>
      <c r="L24" s="228" t="s">
        <v>30</v>
      </c>
      <c r="M24" s="226"/>
      <c r="N24" s="211" t="s">
        <v>327</v>
      </c>
      <c r="O24" s="228"/>
      <c r="P24" s="228">
        <f>'８－４　水稲算出基礎（飼料用米）'!G38</f>
        <v>5512.1</v>
      </c>
      <c r="Q24" s="744"/>
      <c r="R24" s="745"/>
      <c r="S24" s="746"/>
    </row>
    <row r="25" spans="1:19" s="140" customFormat="1" ht="18" customHeight="1" x14ac:dyDescent="0.15">
      <c r="A25" s="139"/>
      <c r="B25" s="787"/>
      <c r="C25" s="784"/>
      <c r="D25" s="251" t="s">
        <v>173</v>
      </c>
      <c r="E25" s="260"/>
      <c r="F25" s="251">
        <f>SUM(F6:F24)/99</f>
        <v>8820.6475791726789</v>
      </c>
      <c r="G25" s="266" t="s">
        <v>225</v>
      </c>
      <c r="H25" s="280">
        <v>0.01</v>
      </c>
      <c r="I25" s="153"/>
      <c r="J25" s="17"/>
      <c r="K25" s="751"/>
      <c r="L25" s="228" t="s">
        <v>31</v>
      </c>
      <c r="M25" s="226"/>
      <c r="N25" s="211" t="s">
        <v>330</v>
      </c>
      <c r="O25" s="228"/>
      <c r="P25" s="228">
        <f>'８－４　水稲算出基礎（飼料用米）'!G49</f>
        <v>4975</v>
      </c>
      <c r="Q25" s="744"/>
      <c r="R25" s="745"/>
      <c r="S25" s="746"/>
    </row>
    <row r="26" spans="1:19" s="140" customFormat="1" ht="18" customHeight="1" x14ac:dyDescent="0.15">
      <c r="A26" s="139"/>
      <c r="B26" s="787"/>
      <c r="C26" s="785"/>
      <c r="D26" s="806" t="s">
        <v>216</v>
      </c>
      <c r="E26" s="807"/>
      <c r="F26" s="170">
        <f>SUM(F6:F25)</f>
        <v>882064.75791726785</v>
      </c>
      <c r="G26" s="220"/>
      <c r="H26" s="153"/>
      <c r="I26" s="153"/>
      <c r="J26" s="156"/>
      <c r="K26" s="751"/>
      <c r="L26" s="228" t="s">
        <v>32</v>
      </c>
      <c r="M26" s="226"/>
      <c r="N26" s="211" t="s">
        <v>325</v>
      </c>
      <c r="O26" s="228"/>
      <c r="P26" s="228">
        <f>'８－４　水稲算出基礎（飼料用米）'!G53</f>
        <v>24330</v>
      </c>
      <c r="Q26" s="744"/>
      <c r="R26" s="745"/>
      <c r="S26" s="746"/>
    </row>
    <row r="27" spans="1:19" s="140" customFormat="1" ht="18" customHeight="1" x14ac:dyDescent="0.15">
      <c r="A27" s="139"/>
      <c r="B27" s="787"/>
      <c r="C27" s="801" t="s">
        <v>203</v>
      </c>
      <c r="D27" s="684" t="s">
        <v>68</v>
      </c>
      <c r="E27" s="55" t="s">
        <v>3</v>
      </c>
      <c r="F27" s="145">
        <f>P11/30*J27</f>
        <v>1733.3333333333335</v>
      </c>
      <c r="G27" s="239"/>
      <c r="H27" s="226"/>
      <c r="I27" s="149" t="s">
        <v>345</v>
      </c>
      <c r="J27" s="410">
        <v>80</v>
      </c>
      <c r="K27" s="751"/>
      <c r="L27" s="228" t="s">
        <v>326</v>
      </c>
      <c r="M27" s="226"/>
      <c r="N27" s="211" t="s">
        <v>330</v>
      </c>
      <c r="O27" s="228"/>
      <c r="P27" s="228">
        <f>'８－４　水稲算出基礎（飼料用米）'!G57</f>
        <v>27940.166666666664</v>
      </c>
      <c r="Q27" s="744"/>
      <c r="R27" s="745"/>
      <c r="S27" s="746"/>
    </row>
    <row r="28" spans="1:19" s="140" customFormat="1" ht="18" customHeight="1" thickBot="1" x14ac:dyDescent="0.2">
      <c r="A28" s="139"/>
      <c r="B28" s="787"/>
      <c r="C28" s="802"/>
      <c r="D28" s="687"/>
      <c r="E28" s="55" t="s">
        <v>4</v>
      </c>
      <c r="F28" s="171">
        <v>0</v>
      </c>
      <c r="G28" s="239"/>
      <c r="H28" s="267"/>
      <c r="I28" s="267"/>
      <c r="J28" s="268"/>
      <c r="K28" s="751"/>
      <c r="L28" s="151" t="s">
        <v>29</v>
      </c>
      <c r="M28" s="150"/>
      <c r="N28" s="151"/>
      <c r="O28" s="151"/>
      <c r="P28" s="151">
        <f>SUM(P24:P27)</f>
        <v>62757.266666666663</v>
      </c>
      <c r="Q28" s="753"/>
      <c r="R28" s="754"/>
      <c r="S28" s="755"/>
    </row>
    <row r="29" spans="1:19" s="140" customFormat="1" ht="18" customHeight="1" thickTop="1" x14ac:dyDescent="0.15">
      <c r="A29" s="139"/>
      <c r="B29" s="787"/>
      <c r="C29" s="802"/>
      <c r="D29" s="685"/>
      <c r="E29" s="55" t="s">
        <v>8</v>
      </c>
      <c r="F29" s="145">
        <f>P11/30*J29</f>
        <v>541.66666666666674</v>
      </c>
      <c r="G29" s="239"/>
      <c r="H29" s="234"/>
      <c r="I29" s="267" t="s">
        <v>346</v>
      </c>
      <c r="J29" s="411">
        <v>25</v>
      </c>
      <c r="K29" s="751"/>
      <c r="L29" s="211" t="s">
        <v>172</v>
      </c>
      <c r="M29" s="226"/>
      <c r="N29" s="227" t="s">
        <v>26</v>
      </c>
      <c r="O29" s="227" t="s">
        <v>24</v>
      </c>
      <c r="P29" s="227" t="s">
        <v>27</v>
      </c>
      <c r="Q29" s="756" t="s">
        <v>28</v>
      </c>
      <c r="R29" s="757"/>
      <c r="S29" s="758"/>
    </row>
    <row r="30" spans="1:19" s="140" customFormat="1" ht="18" customHeight="1" x14ac:dyDescent="0.15">
      <c r="A30" s="139"/>
      <c r="B30" s="787"/>
      <c r="C30" s="802"/>
      <c r="D30" s="55" t="s">
        <v>69</v>
      </c>
      <c r="E30" s="56"/>
      <c r="F30" s="145">
        <v>0</v>
      </c>
      <c r="G30" s="239"/>
      <c r="H30" s="234"/>
      <c r="I30" s="267"/>
      <c r="J30" s="269"/>
      <c r="K30" s="751"/>
      <c r="L30" s="228" t="s">
        <v>49</v>
      </c>
      <c r="M30" s="229"/>
      <c r="N30" s="211" t="s">
        <v>332</v>
      </c>
      <c r="O30" s="230"/>
      <c r="P30" s="228">
        <f>'８－４　水稲算出基礎（飼料用米）'!N12</f>
        <v>20052.724999999999</v>
      </c>
      <c r="Q30" s="767"/>
      <c r="R30" s="768"/>
      <c r="S30" s="769"/>
    </row>
    <row r="31" spans="1:19" s="140" customFormat="1" ht="18" customHeight="1" x14ac:dyDescent="0.15">
      <c r="A31" s="139"/>
      <c r="B31" s="787"/>
      <c r="C31" s="802"/>
      <c r="D31" s="700" t="s">
        <v>270</v>
      </c>
      <c r="E31" s="65" t="s">
        <v>128</v>
      </c>
      <c r="F31" s="145">
        <v>0</v>
      </c>
      <c r="G31" s="239"/>
      <c r="H31" s="270"/>
      <c r="I31" s="270"/>
      <c r="J31" s="271"/>
      <c r="K31" s="751"/>
      <c r="L31" s="228" t="s">
        <v>48</v>
      </c>
      <c r="M31" s="229"/>
      <c r="N31" s="211" t="s">
        <v>333</v>
      </c>
      <c r="O31" s="230"/>
      <c r="P31" s="228">
        <f>'８－４　水稲算出基礎（飼料用米）'!N16</f>
        <v>2299.9679999999998</v>
      </c>
      <c r="Q31" s="767"/>
      <c r="R31" s="768"/>
      <c r="S31" s="769"/>
    </row>
    <row r="32" spans="1:19" s="140" customFormat="1" ht="18" customHeight="1" x14ac:dyDescent="0.15">
      <c r="A32" s="139"/>
      <c r="B32" s="787"/>
      <c r="C32" s="802"/>
      <c r="D32" s="700"/>
      <c r="E32" s="65" t="s">
        <v>127</v>
      </c>
      <c r="F32" s="145">
        <v>0</v>
      </c>
      <c r="G32" s="239"/>
      <c r="H32" s="272"/>
      <c r="I32" s="272"/>
      <c r="J32" s="273"/>
      <c r="K32" s="751"/>
      <c r="L32" s="228" t="s">
        <v>50</v>
      </c>
      <c r="M32" s="226"/>
      <c r="N32" s="230"/>
      <c r="O32" s="230"/>
      <c r="P32" s="228">
        <f>SUM(P30:P31)*R32</f>
        <v>6705.8078999999998</v>
      </c>
      <c r="Q32" s="233" t="s">
        <v>33</v>
      </c>
      <c r="R32" s="232">
        <v>0.3</v>
      </c>
      <c r="S32" s="155"/>
    </row>
    <row r="33" spans="1:23" ht="18" customHeight="1" x14ac:dyDescent="0.15">
      <c r="B33" s="787"/>
      <c r="C33" s="802"/>
      <c r="D33" s="55" t="s">
        <v>70</v>
      </c>
      <c r="E33" s="66"/>
      <c r="F33" s="145">
        <v>0</v>
      </c>
      <c r="G33" s="239"/>
      <c r="H33" s="274"/>
      <c r="I33" s="275"/>
      <c r="J33" s="269"/>
      <c r="K33" s="751"/>
      <c r="L33" s="228" t="s">
        <v>51</v>
      </c>
      <c r="M33" s="229"/>
      <c r="N33" s="211"/>
      <c r="O33" s="230"/>
      <c r="P33" s="228">
        <f>'８－４　水稲算出基礎（飼料用米）'!N20</f>
        <v>0</v>
      </c>
      <c r="Q33" s="744"/>
      <c r="R33" s="745"/>
      <c r="S33" s="746"/>
    </row>
    <row r="34" spans="1:23" ht="18" customHeight="1" x14ac:dyDescent="0.15">
      <c r="B34" s="787"/>
      <c r="C34" s="802"/>
      <c r="D34" s="55" t="s">
        <v>96</v>
      </c>
      <c r="E34" s="66"/>
      <c r="F34" s="145">
        <v>0</v>
      </c>
      <c r="G34" s="239"/>
      <c r="H34" s="276"/>
      <c r="I34" s="277"/>
      <c r="J34" s="278"/>
      <c r="K34" s="751"/>
      <c r="L34" s="228" t="s">
        <v>52</v>
      </c>
      <c r="M34" s="229"/>
      <c r="N34" s="211" t="s">
        <v>333</v>
      </c>
      <c r="O34" s="230"/>
      <c r="P34" s="228">
        <f>'８－４　水稲算出基礎（飼料用米）'!N24</f>
        <v>17563.241999999998</v>
      </c>
      <c r="Q34" s="744"/>
      <c r="R34" s="745"/>
      <c r="S34" s="746"/>
    </row>
    <row r="35" spans="1:23" ht="18" customHeight="1" x14ac:dyDescent="0.15">
      <c r="B35" s="787"/>
      <c r="C35" s="802"/>
      <c r="D35" s="55" t="s">
        <v>131</v>
      </c>
      <c r="E35" s="56"/>
      <c r="F35" s="171">
        <f>'８－４　水稲算出基礎（飼料用米）'!V57</f>
        <v>8425</v>
      </c>
      <c r="G35" s="738"/>
      <c r="H35" s="739"/>
      <c r="I35" s="739"/>
      <c r="J35" s="740"/>
      <c r="K35" s="751"/>
      <c r="L35" s="228" t="s">
        <v>267</v>
      </c>
      <c r="M35" s="229"/>
      <c r="N35" s="211"/>
      <c r="O35" s="230"/>
      <c r="P35" s="228">
        <f>'８－４　水稲算出基礎（飼料用米）'!N28</f>
        <v>0</v>
      </c>
      <c r="Q35" s="744"/>
      <c r="R35" s="745"/>
      <c r="S35" s="746"/>
    </row>
    <row r="36" spans="1:23" ht="18" customHeight="1" x14ac:dyDescent="0.15">
      <c r="B36" s="787"/>
      <c r="C36" s="802"/>
      <c r="D36" s="76" t="s">
        <v>97</v>
      </c>
      <c r="E36" s="77"/>
      <c r="F36" s="279">
        <v>0</v>
      </c>
      <c r="G36" s="211"/>
      <c r="H36" s="276"/>
      <c r="I36" s="277"/>
      <c r="J36" s="269"/>
      <c r="K36" s="751"/>
      <c r="L36" s="228" t="s">
        <v>53</v>
      </c>
      <c r="M36" s="226"/>
      <c r="N36" s="211" t="s">
        <v>334</v>
      </c>
      <c r="O36" s="230"/>
      <c r="P36" s="228">
        <f>'８－４　水稲算出基礎（飼料用米）'!N32</f>
        <v>3811.2200000000003</v>
      </c>
      <c r="Q36" s="744"/>
      <c r="R36" s="745"/>
      <c r="S36" s="746"/>
    </row>
    <row r="37" spans="1:23" ht="18" customHeight="1" thickBot="1" x14ac:dyDescent="0.2">
      <c r="B37" s="787"/>
      <c r="C37" s="802"/>
      <c r="D37" s="55" t="s">
        <v>71</v>
      </c>
      <c r="E37" s="56"/>
      <c r="F37" s="171">
        <f>'８－４　水稲算出基礎（飼料用米）'!N57</f>
        <v>3835.125</v>
      </c>
      <c r="G37" s="738"/>
      <c r="H37" s="739"/>
      <c r="I37" s="739"/>
      <c r="J37" s="740"/>
      <c r="K37" s="752"/>
      <c r="L37" s="163" t="s">
        <v>29</v>
      </c>
      <c r="M37" s="162"/>
      <c r="N37" s="163"/>
      <c r="O37" s="163"/>
      <c r="P37" s="163">
        <f>SUM(P30:P36)</f>
        <v>50432.962899999999</v>
      </c>
      <c r="Q37" s="764"/>
      <c r="R37" s="765"/>
      <c r="S37" s="766"/>
    </row>
    <row r="38" spans="1:23" s="157" customFormat="1" ht="18" customHeight="1" x14ac:dyDescent="0.15">
      <c r="A38" s="139"/>
      <c r="B38" s="787"/>
      <c r="C38" s="802"/>
      <c r="D38" s="55" t="s">
        <v>0</v>
      </c>
      <c r="E38" s="66"/>
      <c r="F38" s="171">
        <v>0</v>
      </c>
      <c r="G38" s="16"/>
      <c r="H38" s="222"/>
      <c r="I38" s="223"/>
      <c r="J38" s="221"/>
    </row>
    <row r="39" spans="1:23" s="157" customFormat="1" ht="18" customHeight="1" thickBot="1" x14ac:dyDescent="0.2">
      <c r="A39" s="139"/>
      <c r="B39" s="788"/>
      <c r="C39" s="803"/>
      <c r="D39" s="804" t="s">
        <v>215</v>
      </c>
      <c r="E39" s="805"/>
      <c r="F39" s="213">
        <f>SUM(F27:F38)</f>
        <v>14535.125</v>
      </c>
      <c r="G39" s="214"/>
      <c r="H39" s="215"/>
      <c r="I39" s="216"/>
      <c r="J39" s="217"/>
      <c r="T39" s="158"/>
    </row>
    <row r="40" spans="1:23" s="157" customFormat="1" ht="18" customHeight="1" x14ac:dyDescent="0.15">
      <c r="A40" s="139"/>
      <c r="B40" s="789" t="s">
        <v>219</v>
      </c>
      <c r="C40" s="792" t="s">
        <v>73</v>
      </c>
      <c r="D40" s="208" t="s">
        <v>130</v>
      </c>
      <c r="E40" s="209"/>
      <c r="F40" s="210">
        <f>J40*10</f>
        <v>1270000</v>
      </c>
      <c r="G40" s="211" t="s">
        <v>491</v>
      </c>
      <c r="H40" s="212"/>
      <c r="I40" s="212"/>
      <c r="J40" s="412">
        <f>100000+7500+7500+12000</f>
        <v>127000</v>
      </c>
      <c r="T40" s="140"/>
      <c r="U40" s="140"/>
      <c r="V40" s="140"/>
      <c r="W40" s="140"/>
    </row>
    <row r="41" spans="1:23" s="157" customFormat="1" ht="18" customHeight="1" x14ac:dyDescent="0.15">
      <c r="A41" s="139"/>
      <c r="B41" s="790"/>
      <c r="C41" s="793"/>
      <c r="D41" s="55" t="s">
        <v>129</v>
      </c>
      <c r="E41" s="56"/>
      <c r="F41" s="203">
        <v>0</v>
      </c>
      <c r="G41" s="211"/>
      <c r="H41" s="164"/>
      <c r="I41" s="164"/>
      <c r="J41" s="224"/>
      <c r="T41" s="159"/>
      <c r="U41" s="160"/>
      <c r="V41" s="161"/>
      <c r="W41" s="159"/>
    </row>
    <row r="42" spans="1:23" s="157" customFormat="1" ht="18" customHeight="1" x14ac:dyDescent="0.15">
      <c r="A42" s="139"/>
      <c r="B42" s="790"/>
      <c r="C42" s="794"/>
      <c r="D42" s="76" t="s">
        <v>72</v>
      </c>
      <c r="E42" s="56"/>
      <c r="F42" s="203">
        <v>0</v>
      </c>
      <c r="G42" s="211"/>
      <c r="H42" s="164"/>
      <c r="I42" s="164"/>
      <c r="J42" s="224"/>
      <c r="T42" s="140"/>
      <c r="U42" s="140"/>
      <c r="V42" s="140"/>
      <c r="W42" s="140"/>
    </row>
    <row r="43" spans="1:23" s="157" customFormat="1" ht="18" customHeight="1" x14ac:dyDescent="0.15">
      <c r="B43" s="790"/>
      <c r="C43" s="795" t="s">
        <v>218</v>
      </c>
      <c r="D43" s="76" t="s">
        <v>271</v>
      </c>
      <c r="E43" s="77"/>
      <c r="F43" s="203">
        <v>0</v>
      </c>
      <c r="G43" s="211"/>
      <c r="H43" s="164"/>
      <c r="I43" s="164"/>
      <c r="J43" s="224"/>
      <c r="T43" s="141"/>
      <c r="U43" s="158"/>
      <c r="V43" s="140"/>
      <c r="W43" s="159"/>
    </row>
    <row r="44" spans="1:23" s="157" customFormat="1" ht="18" customHeight="1" x14ac:dyDescent="0.15">
      <c r="B44" s="790"/>
      <c r="C44" s="796"/>
      <c r="D44" s="78" t="s">
        <v>1</v>
      </c>
      <c r="E44" s="79"/>
      <c r="F44" s="203">
        <v>0</v>
      </c>
      <c r="G44" s="211"/>
      <c r="H44" s="164"/>
      <c r="I44" s="164"/>
      <c r="J44" s="224"/>
      <c r="T44" s="141"/>
      <c r="U44" s="158"/>
      <c r="V44" s="140"/>
      <c r="W44" s="159"/>
    </row>
    <row r="45" spans="1:23" s="157" customFormat="1" ht="18" customHeight="1" thickBot="1" x14ac:dyDescent="0.2">
      <c r="B45" s="791"/>
      <c r="C45" s="797" t="s">
        <v>99</v>
      </c>
      <c r="D45" s="798"/>
      <c r="E45" s="799"/>
      <c r="F45" s="204">
        <f>SUM(F40:F42)-SUM(F43:F44)</f>
        <v>1270000</v>
      </c>
      <c r="G45" s="165"/>
      <c r="H45" s="166"/>
      <c r="I45" s="166"/>
      <c r="J45" s="225"/>
      <c r="T45" s="140"/>
      <c r="U45" s="140"/>
      <c r="V45" s="160"/>
      <c r="W45" s="140"/>
    </row>
  </sheetData>
  <mergeCells count="58">
    <mergeCell ref="B3:E3"/>
    <mergeCell ref="K3:S3"/>
    <mergeCell ref="B4:C5"/>
    <mergeCell ref="R4:S4"/>
    <mergeCell ref="R5:S5"/>
    <mergeCell ref="Q33:S33"/>
    <mergeCell ref="Q36:S36"/>
    <mergeCell ref="R9:S9"/>
    <mergeCell ref="G10:J10"/>
    <mergeCell ref="R10:S10"/>
    <mergeCell ref="G11:J11"/>
    <mergeCell ref="R11:S11"/>
    <mergeCell ref="I13:J13"/>
    <mergeCell ref="Q13:S13"/>
    <mergeCell ref="I14:J14"/>
    <mergeCell ref="Q14:S14"/>
    <mergeCell ref="Q22:S22"/>
    <mergeCell ref="Q23:S23"/>
    <mergeCell ref="G35:J35"/>
    <mergeCell ref="K12:K37"/>
    <mergeCell ref="Q25:S25"/>
    <mergeCell ref="Q29:S29"/>
    <mergeCell ref="Q30:S30"/>
    <mergeCell ref="D31:D32"/>
    <mergeCell ref="Q31:S31"/>
    <mergeCell ref="Q15:S15"/>
    <mergeCell ref="Q16:S16"/>
    <mergeCell ref="Q17:S17"/>
    <mergeCell ref="Q12:S12"/>
    <mergeCell ref="Q24:S24"/>
    <mergeCell ref="Q19:S19"/>
    <mergeCell ref="Q20:S20"/>
    <mergeCell ref="Q21:S21"/>
    <mergeCell ref="B40:B45"/>
    <mergeCell ref="C40:C42"/>
    <mergeCell ref="C43:C44"/>
    <mergeCell ref="C45:E45"/>
    <mergeCell ref="C6:C26"/>
    <mergeCell ref="D18:D21"/>
    <mergeCell ref="D13:D14"/>
    <mergeCell ref="D15:D17"/>
    <mergeCell ref="D22:D23"/>
    <mergeCell ref="G37:J37"/>
    <mergeCell ref="B6:B39"/>
    <mergeCell ref="D26:E26"/>
    <mergeCell ref="Q26:S26"/>
    <mergeCell ref="C27:C39"/>
    <mergeCell ref="D27:D29"/>
    <mergeCell ref="Q27:S27"/>
    <mergeCell ref="Q28:S28"/>
    <mergeCell ref="Q37:S37"/>
    <mergeCell ref="D39:E39"/>
    <mergeCell ref="R6:S6"/>
    <mergeCell ref="R7:S7"/>
    <mergeCell ref="R8:S8"/>
    <mergeCell ref="Q34:S34"/>
    <mergeCell ref="Q18:S18"/>
    <mergeCell ref="Q35:S35"/>
  </mergeCells>
  <phoneticPr fontId="4"/>
  <pageMargins left="1.1811023622047245" right="0.78740157480314965" top="0.78740157480314965" bottom="0" header="0.39370078740157483" footer="0.39370078740157483"/>
  <pageSetup paperSize="9" scale="63"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V192"/>
  <sheetViews>
    <sheetView zoomScale="75" zoomScaleNormal="75" zoomScaleSheetLayoutView="85" workbookViewId="0"/>
  </sheetViews>
  <sheetFormatPr defaultRowHeight="13.5" x14ac:dyDescent="0.15"/>
  <cols>
    <col min="1" max="1" width="1.625" style="85" customWidth="1"/>
    <col min="2" max="2" width="3.625" style="85" customWidth="1"/>
    <col min="3" max="3" width="19.5" style="85" customWidth="1"/>
    <col min="4" max="7" width="8.625" style="85" customWidth="1"/>
    <col min="8" max="8" width="2.375" style="196" customWidth="1"/>
    <col min="9" max="9" width="3.625" style="85" customWidth="1"/>
    <col min="10" max="10" width="15.625" style="85" customWidth="1"/>
    <col min="11" max="14" width="8.625" style="85" customWidth="1"/>
    <col min="15" max="15" width="3.5" style="85" customWidth="1"/>
    <col min="16" max="16" width="15.625" style="167" customWidth="1"/>
    <col min="17" max="17" width="8.625" style="85" customWidth="1"/>
    <col min="18" max="18" width="8.625" style="86" customWidth="1"/>
    <col min="19" max="21" width="8.625" style="85" customWidth="1"/>
    <col min="22" max="22" width="10.625" style="86" customWidth="1"/>
    <col min="23" max="262" width="9" style="85"/>
    <col min="263" max="263" width="1.375" style="85" customWidth="1"/>
    <col min="264" max="264" width="3.5" style="85" customWidth="1"/>
    <col min="265" max="265" width="22.125" style="85" customWidth="1"/>
    <col min="266" max="266" width="9.75" style="85" customWidth="1"/>
    <col min="267" max="267" width="7.375" style="85" customWidth="1"/>
    <col min="268" max="268" width="9" style="85"/>
    <col min="269" max="269" width="9.25" style="85" customWidth="1"/>
    <col min="270" max="270" width="3.5" style="85" customWidth="1"/>
    <col min="271" max="272" width="12.625" style="85" customWidth="1"/>
    <col min="273" max="273" width="9" style="85"/>
    <col min="274" max="274" width="7.75" style="85" customWidth="1"/>
    <col min="275" max="275" width="13.125" style="85" customWidth="1"/>
    <col min="276" max="276" width="6.125" style="85" customWidth="1"/>
    <col min="277" max="277" width="9.75" style="85" customWidth="1"/>
    <col min="278" max="278" width="1.375" style="85" customWidth="1"/>
    <col min="279" max="518" width="9" style="85"/>
    <col min="519" max="519" width="1.375" style="85" customWidth="1"/>
    <col min="520" max="520" width="3.5" style="85" customWidth="1"/>
    <col min="521" max="521" width="22.125" style="85" customWidth="1"/>
    <col min="522" max="522" width="9.75" style="85" customWidth="1"/>
    <col min="523" max="523" width="7.375" style="85" customWidth="1"/>
    <col min="524" max="524" width="9" style="85"/>
    <col min="525" max="525" width="9.25" style="85" customWidth="1"/>
    <col min="526" max="526" width="3.5" style="85" customWidth="1"/>
    <col min="527" max="528" width="12.625" style="85" customWidth="1"/>
    <col min="529" max="529" width="9" style="85"/>
    <col min="530" max="530" width="7.75" style="85" customWidth="1"/>
    <col min="531" max="531" width="13.125" style="85" customWidth="1"/>
    <col min="532" max="532" width="6.125" style="85" customWidth="1"/>
    <col min="533" max="533" width="9.75" style="85" customWidth="1"/>
    <col min="534" max="534" width="1.375" style="85" customWidth="1"/>
    <col min="535" max="774" width="9" style="85"/>
    <col min="775" max="775" width="1.375" style="85" customWidth="1"/>
    <col min="776" max="776" width="3.5" style="85" customWidth="1"/>
    <col min="777" max="777" width="22.125" style="85" customWidth="1"/>
    <col min="778" max="778" width="9.75" style="85" customWidth="1"/>
    <col min="779" max="779" width="7.375" style="85" customWidth="1"/>
    <col min="780" max="780" width="9" style="85"/>
    <col min="781" max="781" width="9.25" style="85" customWidth="1"/>
    <col min="782" max="782" width="3.5" style="85" customWidth="1"/>
    <col min="783" max="784" width="12.625" style="85" customWidth="1"/>
    <col min="785" max="785" width="9" style="85"/>
    <col min="786" max="786" width="7.75" style="85" customWidth="1"/>
    <col min="787" max="787" width="13.125" style="85" customWidth="1"/>
    <col min="788" max="788" width="6.125" style="85" customWidth="1"/>
    <col min="789" max="789" width="9.75" style="85" customWidth="1"/>
    <col min="790" max="790" width="1.375" style="85" customWidth="1"/>
    <col min="791" max="1030" width="9" style="85"/>
    <col min="1031" max="1031" width="1.375" style="85" customWidth="1"/>
    <col min="1032" max="1032" width="3.5" style="85" customWidth="1"/>
    <col min="1033" max="1033" width="22.125" style="85" customWidth="1"/>
    <col min="1034" max="1034" width="9.75" style="85" customWidth="1"/>
    <col min="1035" max="1035" width="7.375" style="85" customWidth="1"/>
    <col min="1036" max="1036" width="9" style="85"/>
    <col min="1037" max="1037" width="9.25" style="85" customWidth="1"/>
    <col min="1038" max="1038" width="3.5" style="85" customWidth="1"/>
    <col min="1039" max="1040" width="12.625" style="85" customWidth="1"/>
    <col min="1041" max="1041" width="9" style="85"/>
    <col min="1042" max="1042" width="7.75" style="85" customWidth="1"/>
    <col min="1043" max="1043" width="13.125" style="85" customWidth="1"/>
    <col min="1044" max="1044" width="6.125" style="85" customWidth="1"/>
    <col min="1045" max="1045" width="9.75" style="85" customWidth="1"/>
    <col min="1046" max="1046" width="1.375" style="85" customWidth="1"/>
    <col min="1047" max="1286" width="9" style="85"/>
    <col min="1287" max="1287" width="1.375" style="85" customWidth="1"/>
    <col min="1288" max="1288" width="3.5" style="85" customWidth="1"/>
    <col min="1289" max="1289" width="22.125" style="85" customWidth="1"/>
    <col min="1290" max="1290" width="9.75" style="85" customWidth="1"/>
    <col min="1291" max="1291" width="7.375" style="85" customWidth="1"/>
    <col min="1292" max="1292" width="9" style="85"/>
    <col min="1293" max="1293" width="9.25" style="85" customWidth="1"/>
    <col min="1294" max="1294" width="3.5" style="85" customWidth="1"/>
    <col min="1295" max="1296" width="12.625" style="85" customWidth="1"/>
    <col min="1297" max="1297" width="9" style="85"/>
    <col min="1298" max="1298" width="7.75" style="85" customWidth="1"/>
    <col min="1299" max="1299" width="13.125" style="85" customWidth="1"/>
    <col min="1300" max="1300" width="6.125" style="85" customWidth="1"/>
    <col min="1301" max="1301" width="9.75" style="85" customWidth="1"/>
    <col min="1302" max="1302" width="1.375" style="85" customWidth="1"/>
    <col min="1303" max="1542" width="9" style="85"/>
    <col min="1543" max="1543" width="1.375" style="85" customWidth="1"/>
    <col min="1544" max="1544" width="3.5" style="85" customWidth="1"/>
    <col min="1545" max="1545" width="22.125" style="85" customWidth="1"/>
    <col min="1546" max="1546" width="9.75" style="85" customWidth="1"/>
    <col min="1547" max="1547" width="7.375" style="85" customWidth="1"/>
    <col min="1548" max="1548" width="9" style="85"/>
    <col min="1549" max="1549" width="9.25" style="85" customWidth="1"/>
    <col min="1550" max="1550" width="3.5" style="85" customWidth="1"/>
    <col min="1551" max="1552" width="12.625" style="85" customWidth="1"/>
    <col min="1553" max="1553" width="9" style="85"/>
    <col min="1554" max="1554" width="7.75" style="85" customWidth="1"/>
    <col min="1555" max="1555" width="13.125" style="85" customWidth="1"/>
    <col min="1556" max="1556" width="6.125" style="85" customWidth="1"/>
    <col min="1557" max="1557" width="9.75" style="85" customWidth="1"/>
    <col min="1558" max="1558" width="1.375" style="85" customWidth="1"/>
    <col min="1559" max="1798" width="9" style="85"/>
    <col min="1799" max="1799" width="1.375" style="85" customWidth="1"/>
    <col min="1800" max="1800" width="3.5" style="85" customWidth="1"/>
    <col min="1801" max="1801" width="22.125" style="85" customWidth="1"/>
    <col min="1802" max="1802" width="9.75" style="85" customWidth="1"/>
    <col min="1803" max="1803" width="7.375" style="85" customWidth="1"/>
    <col min="1804" max="1804" width="9" style="85"/>
    <col min="1805" max="1805" width="9.25" style="85" customWidth="1"/>
    <col min="1806" max="1806" width="3.5" style="85" customWidth="1"/>
    <col min="1807" max="1808" width="12.625" style="85" customWidth="1"/>
    <col min="1809" max="1809" width="9" style="85"/>
    <col min="1810" max="1810" width="7.75" style="85" customWidth="1"/>
    <col min="1811" max="1811" width="13.125" style="85" customWidth="1"/>
    <col min="1812" max="1812" width="6.125" style="85" customWidth="1"/>
    <col min="1813" max="1813" width="9.75" style="85" customWidth="1"/>
    <col min="1814" max="1814" width="1.375" style="85" customWidth="1"/>
    <col min="1815" max="2054" width="9" style="85"/>
    <col min="2055" max="2055" width="1.375" style="85" customWidth="1"/>
    <col min="2056" max="2056" width="3.5" style="85" customWidth="1"/>
    <col min="2057" max="2057" width="22.125" style="85" customWidth="1"/>
    <col min="2058" max="2058" width="9.75" style="85" customWidth="1"/>
    <col min="2059" max="2059" width="7.375" style="85" customWidth="1"/>
    <col min="2060" max="2060" width="9" style="85"/>
    <col min="2061" max="2061" width="9.25" style="85" customWidth="1"/>
    <col min="2062" max="2062" width="3.5" style="85" customWidth="1"/>
    <col min="2063" max="2064" width="12.625" style="85" customWidth="1"/>
    <col min="2065" max="2065" width="9" style="85"/>
    <col min="2066" max="2066" width="7.75" style="85" customWidth="1"/>
    <col min="2067" max="2067" width="13.125" style="85" customWidth="1"/>
    <col min="2068" max="2068" width="6.125" style="85" customWidth="1"/>
    <col min="2069" max="2069" width="9.75" style="85" customWidth="1"/>
    <col min="2070" max="2070" width="1.375" style="85" customWidth="1"/>
    <col min="2071" max="2310" width="9" style="85"/>
    <col min="2311" max="2311" width="1.375" style="85" customWidth="1"/>
    <col min="2312" max="2312" width="3.5" style="85" customWidth="1"/>
    <col min="2313" max="2313" width="22.125" style="85" customWidth="1"/>
    <col min="2314" max="2314" width="9.75" style="85" customWidth="1"/>
    <col min="2315" max="2315" width="7.375" style="85" customWidth="1"/>
    <col min="2316" max="2316" width="9" style="85"/>
    <col min="2317" max="2317" width="9.25" style="85" customWidth="1"/>
    <col min="2318" max="2318" width="3.5" style="85" customWidth="1"/>
    <col min="2319" max="2320" width="12.625" style="85" customWidth="1"/>
    <col min="2321" max="2321" width="9" style="85"/>
    <col min="2322" max="2322" width="7.75" style="85" customWidth="1"/>
    <col min="2323" max="2323" width="13.125" style="85" customWidth="1"/>
    <col min="2324" max="2324" width="6.125" style="85" customWidth="1"/>
    <col min="2325" max="2325" width="9.75" style="85" customWidth="1"/>
    <col min="2326" max="2326" width="1.375" style="85" customWidth="1"/>
    <col min="2327" max="2566" width="9" style="85"/>
    <col min="2567" max="2567" width="1.375" style="85" customWidth="1"/>
    <col min="2568" max="2568" width="3.5" style="85" customWidth="1"/>
    <col min="2569" max="2569" width="22.125" style="85" customWidth="1"/>
    <col min="2570" max="2570" width="9.75" style="85" customWidth="1"/>
    <col min="2571" max="2571" width="7.375" style="85" customWidth="1"/>
    <col min="2572" max="2572" width="9" style="85"/>
    <col min="2573" max="2573" width="9.25" style="85" customWidth="1"/>
    <col min="2574" max="2574" width="3.5" style="85" customWidth="1"/>
    <col min="2575" max="2576" width="12.625" style="85" customWidth="1"/>
    <col min="2577" max="2577" width="9" style="85"/>
    <col min="2578" max="2578" width="7.75" style="85" customWidth="1"/>
    <col min="2579" max="2579" width="13.125" style="85" customWidth="1"/>
    <col min="2580" max="2580" width="6.125" style="85" customWidth="1"/>
    <col min="2581" max="2581" width="9.75" style="85" customWidth="1"/>
    <col min="2582" max="2582" width="1.375" style="85" customWidth="1"/>
    <col min="2583" max="2822" width="9" style="85"/>
    <col min="2823" max="2823" width="1.375" style="85" customWidth="1"/>
    <col min="2824" max="2824" width="3.5" style="85" customWidth="1"/>
    <col min="2825" max="2825" width="22.125" style="85" customWidth="1"/>
    <col min="2826" max="2826" width="9.75" style="85" customWidth="1"/>
    <col min="2827" max="2827" width="7.375" style="85" customWidth="1"/>
    <col min="2828" max="2828" width="9" style="85"/>
    <col min="2829" max="2829" width="9.25" style="85" customWidth="1"/>
    <col min="2830" max="2830" width="3.5" style="85" customWidth="1"/>
    <col min="2831" max="2832" width="12.625" style="85" customWidth="1"/>
    <col min="2833" max="2833" width="9" style="85"/>
    <col min="2834" max="2834" width="7.75" style="85" customWidth="1"/>
    <col min="2835" max="2835" width="13.125" style="85" customWidth="1"/>
    <col min="2836" max="2836" width="6.125" style="85" customWidth="1"/>
    <col min="2837" max="2837" width="9.75" style="85" customWidth="1"/>
    <col min="2838" max="2838" width="1.375" style="85" customWidth="1"/>
    <col min="2839" max="3078" width="9" style="85"/>
    <col min="3079" max="3079" width="1.375" style="85" customWidth="1"/>
    <col min="3080" max="3080" width="3.5" style="85" customWidth="1"/>
    <col min="3081" max="3081" width="22.125" style="85" customWidth="1"/>
    <col min="3082" max="3082" width="9.75" style="85" customWidth="1"/>
    <col min="3083" max="3083" width="7.375" style="85" customWidth="1"/>
    <col min="3084" max="3084" width="9" style="85"/>
    <col min="3085" max="3085" width="9.25" style="85" customWidth="1"/>
    <col min="3086" max="3086" width="3.5" style="85" customWidth="1"/>
    <col min="3087" max="3088" width="12.625" style="85" customWidth="1"/>
    <col min="3089" max="3089" width="9" style="85"/>
    <col min="3090" max="3090" width="7.75" style="85" customWidth="1"/>
    <col min="3091" max="3091" width="13.125" style="85" customWidth="1"/>
    <col min="3092" max="3092" width="6.125" style="85" customWidth="1"/>
    <col min="3093" max="3093" width="9.75" style="85" customWidth="1"/>
    <col min="3094" max="3094" width="1.375" style="85" customWidth="1"/>
    <col min="3095" max="3334" width="9" style="85"/>
    <col min="3335" max="3335" width="1.375" style="85" customWidth="1"/>
    <col min="3336" max="3336" width="3.5" style="85" customWidth="1"/>
    <col min="3337" max="3337" width="22.125" style="85" customWidth="1"/>
    <col min="3338" max="3338" width="9.75" style="85" customWidth="1"/>
    <col min="3339" max="3339" width="7.375" style="85" customWidth="1"/>
    <col min="3340" max="3340" width="9" style="85"/>
    <col min="3341" max="3341" width="9.25" style="85" customWidth="1"/>
    <col min="3342" max="3342" width="3.5" style="85" customWidth="1"/>
    <col min="3343" max="3344" width="12.625" style="85" customWidth="1"/>
    <col min="3345" max="3345" width="9" style="85"/>
    <col min="3346" max="3346" width="7.75" style="85" customWidth="1"/>
    <col min="3347" max="3347" width="13.125" style="85" customWidth="1"/>
    <col min="3348" max="3348" width="6.125" style="85" customWidth="1"/>
    <col min="3349" max="3349" width="9.75" style="85" customWidth="1"/>
    <col min="3350" max="3350" width="1.375" style="85" customWidth="1"/>
    <col min="3351" max="3590" width="9" style="85"/>
    <col min="3591" max="3591" width="1.375" style="85" customWidth="1"/>
    <col min="3592" max="3592" width="3.5" style="85" customWidth="1"/>
    <col min="3593" max="3593" width="22.125" style="85" customWidth="1"/>
    <col min="3594" max="3594" width="9.75" style="85" customWidth="1"/>
    <col min="3595" max="3595" width="7.375" style="85" customWidth="1"/>
    <col min="3596" max="3596" width="9" style="85"/>
    <col min="3597" max="3597" width="9.25" style="85" customWidth="1"/>
    <col min="3598" max="3598" width="3.5" style="85" customWidth="1"/>
    <col min="3599" max="3600" width="12.625" style="85" customWidth="1"/>
    <col min="3601" max="3601" width="9" style="85"/>
    <col min="3602" max="3602" width="7.75" style="85" customWidth="1"/>
    <col min="3603" max="3603" width="13.125" style="85" customWidth="1"/>
    <col min="3604" max="3604" width="6.125" style="85" customWidth="1"/>
    <col min="3605" max="3605" width="9.75" style="85" customWidth="1"/>
    <col min="3606" max="3606" width="1.375" style="85" customWidth="1"/>
    <col min="3607" max="3846" width="9" style="85"/>
    <col min="3847" max="3847" width="1.375" style="85" customWidth="1"/>
    <col min="3848" max="3848" width="3.5" style="85" customWidth="1"/>
    <col min="3849" max="3849" width="22.125" style="85" customWidth="1"/>
    <col min="3850" max="3850" width="9.75" style="85" customWidth="1"/>
    <col min="3851" max="3851" width="7.375" style="85" customWidth="1"/>
    <col min="3852" max="3852" width="9" style="85"/>
    <col min="3853" max="3853" width="9.25" style="85" customWidth="1"/>
    <col min="3854" max="3854" width="3.5" style="85" customWidth="1"/>
    <col min="3855" max="3856" width="12.625" style="85" customWidth="1"/>
    <col min="3857" max="3857" width="9" style="85"/>
    <col min="3858" max="3858" width="7.75" style="85" customWidth="1"/>
    <col min="3859" max="3859" width="13.125" style="85" customWidth="1"/>
    <col min="3860" max="3860" width="6.125" style="85" customWidth="1"/>
    <col min="3861" max="3861" width="9.75" style="85" customWidth="1"/>
    <col min="3862" max="3862" width="1.375" style="85" customWidth="1"/>
    <col min="3863" max="4102" width="9" style="85"/>
    <col min="4103" max="4103" width="1.375" style="85" customWidth="1"/>
    <col min="4104" max="4104" width="3.5" style="85" customWidth="1"/>
    <col min="4105" max="4105" width="22.125" style="85" customWidth="1"/>
    <col min="4106" max="4106" width="9.75" style="85" customWidth="1"/>
    <col min="4107" max="4107" width="7.375" style="85" customWidth="1"/>
    <col min="4108" max="4108" width="9" style="85"/>
    <col min="4109" max="4109" width="9.25" style="85" customWidth="1"/>
    <col min="4110" max="4110" width="3.5" style="85" customWidth="1"/>
    <col min="4111" max="4112" width="12.625" style="85" customWidth="1"/>
    <col min="4113" max="4113" width="9" style="85"/>
    <col min="4114" max="4114" width="7.75" style="85" customWidth="1"/>
    <col min="4115" max="4115" width="13.125" style="85" customWidth="1"/>
    <col min="4116" max="4116" width="6.125" style="85" customWidth="1"/>
    <col min="4117" max="4117" width="9.75" style="85" customWidth="1"/>
    <col min="4118" max="4118" width="1.375" style="85" customWidth="1"/>
    <col min="4119" max="4358" width="9" style="85"/>
    <col min="4359" max="4359" width="1.375" style="85" customWidth="1"/>
    <col min="4360" max="4360" width="3.5" style="85" customWidth="1"/>
    <col min="4361" max="4361" width="22.125" style="85" customWidth="1"/>
    <col min="4362" max="4362" width="9.75" style="85" customWidth="1"/>
    <col min="4363" max="4363" width="7.375" style="85" customWidth="1"/>
    <col min="4364" max="4364" width="9" style="85"/>
    <col min="4365" max="4365" width="9.25" style="85" customWidth="1"/>
    <col min="4366" max="4366" width="3.5" style="85" customWidth="1"/>
    <col min="4367" max="4368" width="12.625" style="85" customWidth="1"/>
    <col min="4369" max="4369" width="9" style="85"/>
    <col min="4370" max="4370" width="7.75" style="85" customWidth="1"/>
    <col min="4371" max="4371" width="13.125" style="85" customWidth="1"/>
    <col min="4372" max="4372" width="6.125" style="85" customWidth="1"/>
    <col min="4373" max="4373" width="9.75" style="85" customWidth="1"/>
    <col min="4374" max="4374" width="1.375" style="85" customWidth="1"/>
    <col min="4375" max="4614" width="9" style="85"/>
    <col min="4615" max="4615" width="1.375" style="85" customWidth="1"/>
    <col min="4616" max="4616" width="3.5" style="85" customWidth="1"/>
    <col min="4617" max="4617" width="22.125" style="85" customWidth="1"/>
    <col min="4618" max="4618" width="9.75" style="85" customWidth="1"/>
    <col min="4619" max="4619" width="7.375" style="85" customWidth="1"/>
    <col min="4620" max="4620" width="9" style="85"/>
    <col min="4621" max="4621" width="9.25" style="85" customWidth="1"/>
    <col min="4622" max="4622" width="3.5" style="85" customWidth="1"/>
    <col min="4623" max="4624" width="12.625" style="85" customWidth="1"/>
    <col min="4625" max="4625" width="9" style="85"/>
    <col min="4626" max="4626" width="7.75" style="85" customWidth="1"/>
    <col min="4627" max="4627" width="13.125" style="85" customWidth="1"/>
    <col min="4628" max="4628" width="6.125" style="85" customWidth="1"/>
    <col min="4629" max="4629" width="9.75" style="85" customWidth="1"/>
    <col min="4630" max="4630" width="1.375" style="85" customWidth="1"/>
    <col min="4631" max="4870" width="9" style="85"/>
    <col min="4871" max="4871" width="1.375" style="85" customWidth="1"/>
    <col min="4872" max="4872" width="3.5" style="85" customWidth="1"/>
    <col min="4873" max="4873" width="22.125" style="85" customWidth="1"/>
    <col min="4874" max="4874" width="9.75" style="85" customWidth="1"/>
    <col min="4875" max="4875" width="7.375" style="85" customWidth="1"/>
    <col min="4876" max="4876" width="9" style="85"/>
    <col min="4877" max="4877" width="9.25" style="85" customWidth="1"/>
    <col min="4878" max="4878" width="3.5" style="85" customWidth="1"/>
    <col min="4879" max="4880" width="12.625" style="85" customWidth="1"/>
    <col min="4881" max="4881" width="9" style="85"/>
    <col min="4882" max="4882" width="7.75" style="85" customWidth="1"/>
    <col min="4883" max="4883" width="13.125" style="85" customWidth="1"/>
    <col min="4884" max="4884" width="6.125" style="85" customWidth="1"/>
    <col min="4885" max="4885" width="9.75" style="85" customWidth="1"/>
    <col min="4886" max="4886" width="1.375" style="85" customWidth="1"/>
    <col min="4887" max="5126" width="9" style="85"/>
    <col min="5127" max="5127" width="1.375" style="85" customWidth="1"/>
    <col min="5128" max="5128" width="3.5" style="85" customWidth="1"/>
    <col min="5129" max="5129" width="22.125" style="85" customWidth="1"/>
    <col min="5130" max="5130" width="9.75" style="85" customWidth="1"/>
    <col min="5131" max="5131" width="7.375" style="85" customWidth="1"/>
    <col min="5132" max="5132" width="9" style="85"/>
    <col min="5133" max="5133" width="9.25" style="85" customWidth="1"/>
    <col min="5134" max="5134" width="3.5" style="85" customWidth="1"/>
    <col min="5135" max="5136" width="12.625" style="85" customWidth="1"/>
    <col min="5137" max="5137" width="9" style="85"/>
    <col min="5138" max="5138" width="7.75" style="85" customWidth="1"/>
    <col min="5139" max="5139" width="13.125" style="85" customWidth="1"/>
    <col min="5140" max="5140" width="6.125" style="85" customWidth="1"/>
    <col min="5141" max="5141" width="9.75" style="85" customWidth="1"/>
    <col min="5142" max="5142" width="1.375" style="85" customWidth="1"/>
    <col min="5143" max="5382" width="9" style="85"/>
    <col min="5383" max="5383" width="1.375" style="85" customWidth="1"/>
    <col min="5384" max="5384" width="3.5" style="85" customWidth="1"/>
    <col min="5385" max="5385" width="22.125" style="85" customWidth="1"/>
    <col min="5386" max="5386" width="9.75" style="85" customWidth="1"/>
    <col min="5387" max="5387" width="7.375" style="85" customWidth="1"/>
    <col min="5388" max="5388" width="9" style="85"/>
    <col min="5389" max="5389" width="9.25" style="85" customWidth="1"/>
    <col min="5390" max="5390" width="3.5" style="85" customWidth="1"/>
    <col min="5391" max="5392" width="12.625" style="85" customWidth="1"/>
    <col min="5393" max="5393" width="9" style="85"/>
    <col min="5394" max="5394" width="7.75" style="85" customWidth="1"/>
    <col min="5395" max="5395" width="13.125" style="85" customWidth="1"/>
    <col min="5396" max="5396" width="6.125" style="85" customWidth="1"/>
    <col min="5397" max="5397" width="9.75" style="85" customWidth="1"/>
    <col min="5398" max="5398" width="1.375" style="85" customWidth="1"/>
    <col min="5399" max="5638" width="9" style="85"/>
    <col min="5639" max="5639" width="1.375" style="85" customWidth="1"/>
    <col min="5640" max="5640" width="3.5" style="85" customWidth="1"/>
    <col min="5641" max="5641" width="22.125" style="85" customWidth="1"/>
    <col min="5642" max="5642" width="9.75" style="85" customWidth="1"/>
    <col min="5643" max="5643" width="7.375" style="85" customWidth="1"/>
    <col min="5644" max="5644" width="9" style="85"/>
    <col min="5645" max="5645" width="9.25" style="85" customWidth="1"/>
    <col min="5646" max="5646" width="3.5" style="85" customWidth="1"/>
    <col min="5647" max="5648" width="12.625" style="85" customWidth="1"/>
    <col min="5649" max="5649" width="9" style="85"/>
    <col min="5650" max="5650" width="7.75" style="85" customWidth="1"/>
    <col min="5651" max="5651" width="13.125" style="85" customWidth="1"/>
    <col min="5652" max="5652" width="6.125" style="85" customWidth="1"/>
    <col min="5653" max="5653" width="9.75" style="85" customWidth="1"/>
    <col min="5654" max="5654" width="1.375" style="85" customWidth="1"/>
    <col min="5655" max="5894" width="9" style="85"/>
    <col min="5895" max="5895" width="1.375" style="85" customWidth="1"/>
    <col min="5896" max="5896" width="3.5" style="85" customWidth="1"/>
    <col min="5897" max="5897" width="22.125" style="85" customWidth="1"/>
    <col min="5898" max="5898" width="9.75" style="85" customWidth="1"/>
    <col min="5899" max="5899" width="7.375" style="85" customWidth="1"/>
    <col min="5900" max="5900" width="9" style="85"/>
    <col min="5901" max="5901" width="9.25" style="85" customWidth="1"/>
    <col min="5902" max="5902" width="3.5" style="85" customWidth="1"/>
    <col min="5903" max="5904" width="12.625" style="85" customWidth="1"/>
    <col min="5905" max="5905" width="9" style="85"/>
    <col min="5906" max="5906" width="7.75" style="85" customWidth="1"/>
    <col min="5907" max="5907" width="13.125" style="85" customWidth="1"/>
    <col min="5908" max="5908" width="6.125" style="85" customWidth="1"/>
    <col min="5909" max="5909" width="9.75" style="85" customWidth="1"/>
    <col min="5910" max="5910" width="1.375" style="85" customWidth="1"/>
    <col min="5911" max="6150" width="9" style="85"/>
    <col min="6151" max="6151" width="1.375" style="85" customWidth="1"/>
    <col min="6152" max="6152" width="3.5" style="85" customWidth="1"/>
    <col min="6153" max="6153" width="22.125" style="85" customWidth="1"/>
    <col min="6154" max="6154" width="9.75" style="85" customWidth="1"/>
    <col min="6155" max="6155" width="7.375" style="85" customWidth="1"/>
    <col min="6156" max="6156" width="9" style="85"/>
    <col min="6157" max="6157" width="9.25" style="85" customWidth="1"/>
    <col min="6158" max="6158" width="3.5" style="85" customWidth="1"/>
    <col min="6159" max="6160" width="12.625" style="85" customWidth="1"/>
    <col min="6161" max="6161" width="9" style="85"/>
    <col min="6162" max="6162" width="7.75" style="85" customWidth="1"/>
    <col min="6163" max="6163" width="13.125" style="85" customWidth="1"/>
    <col min="6164" max="6164" width="6.125" style="85" customWidth="1"/>
    <col min="6165" max="6165" width="9.75" style="85" customWidth="1"/>
    <col min="6166" max="6166" width="1.375" style="85" customWidth="1"/>
    <col min="6167" max="6406" width="9" style="85"/>
    <col min="6407" max="6407" width="1.375" style="85" customWidth="1"/>
    <col min="6408" max="6408" width="3.5" style="85" customWidth="1"/>
    <col min="6409" max="6409" width="22.125" style="85" customWidth="1"/>
    <col min="6410" max="6410" width="9.75" style="85" customWidth="1"/>
    <col min="6411" max="6411" width="7.375" style="85" customWidth="1"/>
    <col min="6412" max="6412" width="9" style="85"/>
    <col min="6413" max="6413" width="9.25" style="85" customWidth="1"/>
    <col min="6414" max="6414" width="3.5" style="85" customWidth="1"/>
    <col min="6415" max="6416" width="12.625" style="85" customWidth="1"/>
    <col min="6417" max="6417" width="9" style="85"/>
    <col min="6418" max="6418" width="7.75" style="85" customWidth="1"/>
    <col min="6419" max="6419" width="13.125" style="85" customWidth="1"/>
    <col min="6420" max="6420" width="6.125" style="85" customWidth="1"/>
    <col min="6421" max="6421" width="9.75" style="85" customWidth="1"/>
    <col min="6422" max="6422" width="1.375" style="85" customWidth="1"/>
    <col min="6423" max="6662" width="9" style="85"/>
    <col min="6663" max="6663" width="1.375" style="85" customWidth="1"/>
    <col min="6664" max="6664" width="3.5" style="85" customWidth="1"/>
    <col min="6665" max="6665" width="22.125" style="85" customWidth="1"/>
    <col min="6666" max="6666" width="9.75" style="85" customWidth="1"/>
    <col min="6667" max="6667" width="7.375" style="85" customWidth="1"/>
    <col min="6668" max="6668" width="9" style="85"/>
    <col min="6669" max="6669" width="9.25" style="85" customWidth="1"/>
    <col min="6670" max="6670" width="3.5" style="85" customWidth="1"/>
    <col min="6671" max="6672" width="12.625" style="85" customWidth="1"/>
    <col min="6673" max="6673" width="9" style="85"/>
    <col min="6674" max="6674" width="7.75" style="85" customWidth="1"/>
    <col min="6675" max="6675" width="13.125" style="85" customWidth="1"/>
    <col min="6676" max="6676" width="6.125" style="85" customWidth="1"/>
    <col min="6677" max="6677" width="9.75" style="85" customWidth="1"/>
    <col min="6678" max="6678" width="1.375" style="85" customWidth="1"/>
    <col min="6679" max="6918" width="9" style="85"/>
    <col min="6919" max="6919" width="1.375" style="85" customWidth="1"/>
    <col min="6920" max="6920" width="3.5" style="85" customWidth="1"/>
    <col min="6921" max="6921" width="22.125" style="85" customWidth="1"/>
    <col min="6922" max="6922" width="9.75" style="85" customWidth="1"/>
    <col min="6923" max="6923" width="7.375" style="85" customWidth="1"/>
    <col min="6924" max="6924" width="9" style="85"/>
    <col min="6925" max="6925" width="9.25" style="85" customWidth="1"/>
    <col min="6926" max="6926" width="3.5" style="85" customWidth="1"/>
    <col min="6927" max="6928" width="12.625" style="85" customWidth="1"/>
    <col min="6929" max="6929" width="9" style="85"/>
    <col min="6930" max="6930" width="7.75" style="85" customWidth="1"/>
    <col min="6931" max="6931" width="13.125" style="85" customWidth="1"/>
    <col min="6932" max="6932" width="6.125" style="85" customWidth="1"/>
    <col min="6933" max="6933" width="9.75" style="85" customWidth="1"/>
    <col min="6934" max="6934" width="1.375" style="85" customWidth="1"/>
    <col min="6935" max="7174" width="9" style="85"/>
    <col min="7175" max="7175" width="1.375" style="85" customWidth="1"/>
    <col min="7176" max="7176" width="3.5" style="85" customWidth="1"/>
    <col min="7177" max="7177" width="22.125" style="85" customWidth="1"/>
    <col min="7178" max="7178" width="9.75" style="85" customWidth="1"/>
    <col min="7179" max="7179" width="7.375" style="85" customWidth="1"/>
    <col min="7180" max="7180" width="9" style="85"/>
    <col min="7181" max="7181" width="9.25" style="85" customWidth="1"/>
    <col min="7182" max="7182" width="3.5" style="85" customWidth="1"/>
    <col min="7183" max="7184" width="12.625" style="85" customWidth="1"/>
    <col min="7185" max="7185" width="9" style="85"/>
    <col min="7186" max="7186" width="7.75" style="85" customWidth="1"/>
    <col min="7187" max="7187" width="13.125" style="85" customWidth="1"/>
    <col min="7188" max="7188" width="6.125" style="85" customWidth="1"/>
    <col min="7189" max="7189" width="9.75" style="85" customWidth="1"/>
    <col min="7190" max="7190" width="1.375" style="85" customWidth="1"/>
    <col min="7191" max="7430" width="9" style="85"/>
    <col min="7431" max="7431" width="1.375" style="85" customWidth="1"/>
    <col min="7432" max="7432" width="3.5" style="85" customWidth="1"/>
    <col min="7433" max="7433" width="22.125" style="85" customWidth="1"/>
    <col min="7434" max="7434" width="9.75" style="85" customWidth="1"/>
    <col min="7435" max="7435" width="7.375" style="85" customWidth="1"/>
    <col min="7436" max="7436" width="9" style="85"/>
    <col min="7437" max="7437" width="9.25" style="85" customWidth="1"/>
    <col min="7438" max="7438" width="3.5" style="85" customWidth="1"/>
    <col min="7439" max="7440" width="12.625" style="85" customWidth="1"/>
    <col min="7441" max="7441" width="9" style="85"/>
    <col min="7442" max="7442" width="7.75" style="85" customWidth="1"/>
    <col min="7443" max="7443" width="13.125" style="85" customWidth="1"/>
    <col min="7444" max="7444" width="6.125" style="85" customWidth="1"/>
    <col min="7445" max="7445" width="9.75" style="85" customWidth="1"/>
    <col min="7446" max="7446" width="1.375" style="85" customWidth="1"/>
    <col min="7447" max="7686" width="9" style="85"/>
    <col min="7687" max="7687" width="1.375" style="85" customWidth="1"/>
    <col min="7688" max="7688" width="3.5" style="85" customWidth="1"/>
    <col min="7689" max="7689" width="22.125" style="85" customWidth="1"/>
    <col min="7690" max="7690" width="9.75" style="85" customWidth="1"/>
    <col min="7691" max="7691" width="7.375" style="85" customWidth="1"/>
    <col min="7692" max="7692" width="9" style="85"/>
    <col min="7693" max="7693" width="9.25" style="85" customWidth="1"/>
    <col min="7694" max="7694" width="3.5" style="85" customWidth="1"/>
    <col min="7695" max="7696" width="12.625" style="85" customWidth="1"/>
    <col min="7697" max="7697" width="9" style="85"/>
    <col min="7698" max="7698" width="7.75" style="85" customWidth="1"/>
    <col min="7699" max="7699" width="13.125" style="85" customWidth="1"/>
    <col min="7700" max="7700" width="6.125" style="85" customWidth="1"/>
    <col min="7701" max="7701" width="9.75" style="85" customWidth="1"/>
    <col min="7702" max="7702" width="1.375" style="85" customWidth="1"/>
    <col min="7703" max="7942" width="9" style="85"/>
    <col min="7943" max="7943" width="1.375" style="85" customWidth="1"/>
    <col min="7944" max="7944" width="3.5" style="85" customWidth="1"/>
    <col min="7945" max="7945" width="22.125" style="85" customWidth="1"/>
    <col min="7946" max="7946" width="9.75" style="85" customWidth="1"/>
    <col min="7947" max="7947" width="7.375" style="85" customWidth="1"/>
    <col min="7948" max="7948" width="9" style="85"/>
    <col min="7949" max="7949" width="9.25" style="85" customWidth="1"/>
    <col min="7950" max="7950" width="3.5" style="85" customWidth="1"/>
    <col min="7951" max="7952" width="12.625" style="85" customWidth="1"/>
    <col min="7953" max="7953" width="9" style="85"/>
    <col min="7954" max="7954" width="7.75" style="85" customWidth="1"/>
    <col min="7955" max="7955" width="13.125" style="85" customWidth="1"/>
    <col min="7956" max="7956" width="6.125" style="85" customWidth="1"/>
    <col min="7957" max="7957" width="9.75" style="85" customWidth="1"/>
    <col min="7958" max="7958" width="1.375" style="85" customWidth="1"/>
    <col min="7959" max="8198" width="9" style="85"/>
    <col min="8199" max="8199" width="1.375" style="85" customWidth="1"/>
    <col min="8200" max="8200" width="3.5" style="85" customWidth="1"/>
    <col min="8201" max="8201" width="22.125" style="85" customWidth="1"/>
    <col min="8202" max="8202" width="9.75" style="85" customWidth="1"/>
    <col min="8203" max="8203" width="7.375" style="85" customWidth="1"/>
    <col min="8204" max="8204" width="9" style="85"/>
    <col min="8205" max="8205" width="9.25" style="85" customWidth="1"/>
    <col min="8206" max="8206" width="3.5" style="85" customWidth="1"/>
    <col min="8207" max="8208" width="12.625" style="85" customWidth="1"/>
    <col min="8209" max="8209" width="9" style="85"/>
    <col min="8210" max="8210" width="7.75" style="85" customWidth="1"/>
    <col min="8211" max="8211" width="13.125" style="85" customWidth="1"/>
    <col min="8212" max="8212" width="6.125" style="85" customWidth="1"/>
    <col min="8213" max="8213" width="9.75" style="85" customWidth="1"/>
    <col min="8214" max="8214" width="1.375" style="85" customWidth="1"/>
    <col min="8215" max="8454" width="9" style="85"/>
    <col min="8455" max="8455" width="1.375" style="85" customWidth="1"/>
    <col min="8456" max="8456" width="3.5" style="85" customWidth="1"/>
    <col min="8457" max="8457" width="22.125" style="85" customWidth="1"/>
    <col min="8458" max="8458" width="9.75" style="85" customWidth="1"/>
    <col min="8459" max="8459" width="7.375" style="85" customWidth="1"/>
    <col min="8460" max="8460" width="9" style="85"/>
    <col min="8461" max="8461" width="9.25" style="85" customWidth="1"/>
    <col min="8462" max="8462" width="3.5" style="85" customWidth="1"/>
    <col min="8463" max="8464" width="12.625" style="85" customWidth="1"/>
    <col min="8465" max="8465" width="9" style="85"/>
    <col min="8466" max="8466" width="7.75" style="85" customWidth="1"/>
    <col min="8467" max="8467" width="13.125" style="85" customWidth="1"/>
    <col min="8468" max="8468" width="6.125" style="85" customWidth="1"/>
    <col min="8469" max="8469" width="9.75" style="85" customWidth="1"/>
    <col min="8470" max="8470" width="1.375" style="85" customWidth="1"/>
    <col min="8471" max="8710" width="9" style="85"/>
    <col min="8711" max="8711" width="1.375" style="85" customWidth="1"/>
    <col min="8712" max="8712" width="3.5" style="85" customWidth="1"/>
    <col min="8713" max="8713" width="22.125" style="85" customWidth="1"/>
    <col min="8714" max="8714" width="9.75" style="85" customWidth="1"/>
    <col min="8715" max="8715" width="7.375" style="85" customWidth="1"/>
    <col min="8716" max="8716" width="9" style="85"/>
    <col min="8717" max="8717" width="9.25" style="85" customWidth="1"/>
    <col min="8718" max="8718" width="3.5" style="85" customWidth="1"/>
    <col min="8719" max="8720" width="12.625" style="85" customWidth="1"/>
    <col min="8721" max="8721" width="9" style="85"/>
    <col min="8722" max="8722" width="7.75" style="85" customWidth="1"/>
    <col min="8723" max="8723" width="13.125" style="85" customWidth="1"/>
    <col min="8724" max="8724" width="6.125" style="85" customWidth="1"/>
    <col min="8725" max="8725" width="9.75" style="85" customWidth="1"/>
    <col min="8726" max="8726" width="1.375" style="85" customWidth="1"/>
    <col min="8727" max="8966" width="9" style="85"/>
    <col min="8967" max="8967" width="1.375" style="85" customWidth="1"/>
    <col min="8968" max="8968" width="3.5" style="85" customWidth="1"/>
    <col min="8969" max="8969" width="22.125" style="85" customWidth="1"/>
    <col min="8970" max="8970" width="9.75" style="85" customWidth="1"/>
    <col min="8971" max="8971" width="7.375" style="85" customWidth="1"/>
    <col min="8972" max="8972" width="9" style="85"/>
    <col min="8973" max="8973" width="9.25" style="85" customWidth="1"/>
    <col min="8974" max="8974" width="3.5" style="85" customWidth="1"/>
    <col min="8975" max="8976" width="12.625" style="85" customWidth="1"/>
    <col min="8977" max="8977" width="9" style="85"/>
    <col min="8978" max="8978" width="7.75" style="85" customWidth="1"/>
    <col min="8979" max="8979" width="13.125" style="85" customWidth="1"/>
    <col min="8980" max="8980" width="6.125" style="85" customWidth="1"/>
    <col min="8981" max="8981" width="9.75" style="85" customWidth="1"/>
    <col min="8982" max="8982" width="1.375" style="85" customWidth="1"/>
    <col min="8983" max="9222" width="9" style="85"/>
    <col min="9223" max="9223" width="1.375" style="85" customWidth="1"/>
    <col min="9224" max="9224" width="3.5" style="85" customWidth="1"/>
    <col min="9225" max="9225" width="22.125" style="85" customWidth="1"/>
    <col min="9226" max="9226" width="9.75" style="85" customWidth="1"/>
    <col min="9227" max="9227" width="7.375" style="85" customWidth="1"/>
    <col min="9228" max="9228" width="9" style="85"/>
    <col min="9229" max="9229" width="9.25" style="85" customWidth="1"/>
    <col min="9230" max="9230" width="3.5" style="85" customWidth="1"/>
    <col min="9231" max="9232" width="12.625" style="85" customWidth="1"/>
    <col min="9233" max="9233" width="9" style="85"/>
    <col min="9234" max="9234" width="7.75" style="85" customWidth="1"/>
    <col min="9235" max="9235" width="13.125" style="85" customWidth="1"/>
    <col min="9236" max="9236" width="6.125" style="85" customWidth="1"/>
    <col min="9237" max="9237" width="9.75" style="85" customWidth="1"/>
    <col min="9238" max="9238" width="1.375" style="85" customWidth="1"/>
    <col min="9239" max="9478" width="9" style="85"/>
    <col min="9479" max="9479" width="1.375" style="85" customWidth="1"/>
    <col min="9480" max="9480" width="3.5" style="85" customWidth="1"/>
    <col min="9481" max="9481" width="22.125" style="85" customWidth="1"/>
    <col min="9482" max="9482" width="9.75" style="85" customWidth="1"/>
    <col min="9483" max="9483" width="7.375" style="85" customWidth="1"/>
    <col min="9484" max="9484" width="9" style="85"/>
    <col min="9485" max="9485" width="9.25" style="85" customWidth="1"/>
    <col min="9486" max="9486" width="3.5" style="85" customWidth="1"/>
    <col min="9487" max="9488" width="12.625" style="85" customWidth="1"/>
    <col min="9489" max="9489" width="9" style="85"/>
    <col min="9490" max="9490" width="7.75" style="85" customWidth="1"/>
    <col min="9491" max="9491" width="13.125" style="85" customWidth="1"/>
    <col min="9492" max="9492" width="6.125" style="85" customWidth="1"/>
    <col min="9493" max="9493" width="9.75" style="85" customWidth="1"/>
    <col min="9494" max="9494" width="1.375" style="85" customWidth="1"/>
    <col min="9495" max="9734" width="9" style="85"/>
    <col min="9735" max="9735" width="1.375" style="85" customWidth="1"/>
    <col min="9736" max="9736" width="3.5" style="85" customWidth="1"/>
    <col min="9737" max="9737" width="22.125" style="85" customWidth="1"/>
    <col min="9738" max="9738" width="9.75" style="85" customWidth="1"/>
    <col min="9739" max="9739" width="7.375" style="85" customWidth="1"/>
    <col min="9740" max="9740" width="9" style="85"/>
    <col min="9741" max="9741" width="9.25" style="85" customWidth="1"/>
    <col min="9742" max="9742" width="3.5" style="85" customWidth="1"/>
    <col min="9743" max="9744" width="12.625" style="85" customWidth="1"/>
    <col min="9745" max="9745" width="9" style="85"/>
    <col min="9746" max="9746" width="7.75" style="85" customWidth="1"/>
    <col min="9747" max="9747" width="13.125" style="85" customWidth="1"/>
    <col min="9748" max="9748" width="6.125" style="85" customWidth="1"/>
    <col min="9749" max="9749" width="9.75" style="85" customWidth="1"/>
    <col min="9750" max="9750" width="1.375" style="85" customWidth="1"/>
    <col min="9751" max="9990" width="9" style="85"/>
    <col min="9991" max="9991" width="1.375" style="85" customWidth="1"/>
    <col min="9992" max="9992" width="3.5" style="85" customWidth="1"/>
    <col min="9993" max="9993" width="22.125" style="85" customWidth="1"/>
    <col min="9994" max="9994" width="9.75" style="85" customWidth="1"/>
    <col min="9995" max="9995" width="7.375" style="85" customWidth="1"/>
    <col min="9996" max="9996" width="9" style="85"/>
    <col min="9997" max="9997" width="9.25" style="85" customWidth="1"/>
    <col min="9998" max="9998" width="3.5" style="85" customWidth="1"/>
    <col min="9999" max="10000" width="12.625" style="85" customWidth="1"/>
    <col min="10001" max="10001" width="9" style="85"/>
    <col min="10002" max="10002" width="7.75" style="85" customWidth="1"/>
    <col min="10003" max="10003" width="13.125" style="85" customWidth="1"/>
    <col min="10004" max="10004" width="6.125" style="85" customWidth="1"/>
    <col min="10005" max="10005" width="9.75" style="85" customWidth="1"/>
    <col min="10006" max="10006" width="1.375" style="85" customWidth="1"/>
    <col min="10007" max="10246" width="9" style="85"/>
    <col min="10247" max="10247" width="1.375" style="85" customWidth="1"/>
    <col min="10248" max="10248" width="3.5" style="85" customWidth="1"/>
    <col min="10249" max="10249" width="22.125" style="85" customWidth="1"/>
    <col min="10250" max="10250" width="9.75" style="85" customWidth="1"/>
    <col min="10251" max="10251" width="7.375" style="85" customWidth="1"/>
    <col min="10252" max="10252" width="9" style="85"/>
    <col min="10253" max="10253" width="9.25" style="85" customWidth="1"/>
    <col min="10254" max="10254" width="3.5" style="85" customWidth="1"/>
    <col min="10255" max="10256" width="12.625" style="85" customWidth="1"/>
    <col min="10257" max="10257" width="9" style="85"/>
    <col min="10258" max="10258" width="7.75" style="85" customWidth="1"/>
    <col min="10259" max="10259" width="13.125" style="85" customWidth="1"/>
    <col min="10260" max="10260" width="6.125" style="85" customWidth="1"/>
    <col min="10261" max="10261" width="9.75" style="85" customWidth="1"/>
    <col min="10262" max="10262" width="1.375" style="85" customWidth="1"/>
    <col min="10263" max="10502" width="9" style="85"/>
    <col min="10503" max="10503" width="1.375" style="85" customWidth="1"/>
    <col min="10504" max="10504" width="3.5" style="85" customWidth="1"/>
    <col min="10505" max="10505" width="22.125" style="85" customWidth="1"/>
    <col min="10506" max="10506" width="9.75" style="85" customWidth="1"/>
    <col min="10507" max="10507" width="7.375" style="85" customWidth="1"/>
    <col min="10508" max="10508" width="9" style="85"/>
    <col min="10509" max="10509" width="9.25" style="85" customWidth="1"/>
    <col min="10510" max="10510" width="3.5" style="85" customWidth="1"/>
    <col min="10511" max="10512" width="12.625" style="85" customWidth="1"/>
    <col min="10513" max="10513" width="9" style="85"/>
    <col min="10514" max="10514" width="7.75" style="85" customWidth="1"/>
    <col min="10515" max="10515" width="13.125" style="85" customWidth="1"/>
    <col min="10516" max="10516" width="6.125" style="85" customWidth="1"/>
    <col min="10517" max="10517" width="9.75" style="85" customWidth="1"/>
    <col min="10518" max="10518" width="1.375" style="85" customWidth="1"/>
    <col min="10519" max="10758" width="9" style="85"/>
    <col min="10759" max="10759" width="1.375" style="85" customWidth="1"/>
    <col min="10760" max="10760" width="3.5" style="85" customWidth="1"/>
    <col min="10761" max="10761" width="22.125" style="85" customWidth="1"/>
    <col min="10762" max="10762" width="9.75" style="85" customWidth="1"/>
    <col min="10763" max="10763" width="7.375" style="85" customWidth="1"/>
    <col min="10764" max="10764" width="9" style="85"/>
    <col min="10765" max="10765" width="9.25" style="85" customWidth="1"/>
    <col min="10766" max="10766" width="3.5" style="85" customWidth="1"/>
    <col min="10767" max="10768" width="12.625" style="85" customWidth="1"/>
    <col min="10769" max="10769" width="9" style="85"/>
    <col min="10770" max="10770" width="7.75" style="85" customWidth="1"/>
    <col min="10771" max="10771" width="13.125" style="85" customWidth="1"/>
    <col min="10772" max="10772" width="6.125" style="85" customWidth="1"/>
    <col min="10773" max="10773" width="9.75" style="85" customWidth="1"/>
    <col min="10774" max="10774" width="1.375" style="85" customWidth="1"/>
    <col min="10775" max="11014" width="9" style="85"/>
    <col min="11015" max="11015" width="1.375" style="85" customWidth="1"/>
    <col min="11016" max="11016" width="3.5" style="85" customWidth="1"/>
    <col min="11017" max="11017" width="22.125" style="85" customWidth="1"/>
    <col min="11018" max="11018" width="9.75" style="85" customWidth="1"/>
    <col min="11019" max="11019" width="7.375" style="85" customWidth="1"/>
    <col min="11020" max="11020" width="9" style="85"/>
    <col min="11021" max="11021" width="9.25" style="85" customWidth="1"/>
    <col min="11022" max="11022" width="3.5" style="85" customWidth="1"/>
    <col min="11023" max="11024" width="12.625" style="85" customWidth="1"/>
    <col min="11025" max="11025" width="9" style="85"/>
    <col min="11026" max="11026" width="7.75" style="85" customWidth="1"/>
    <col min="11027" max="11027" width="13.125" style="85" customWidth="1"/>
    <col min="11028" max="11028" width="6.125" style="85" customWidth="1"/>
    <col min="11029" max="11029" width="9.75" style="85" customWidth="1"/>
    <col min="11030" max="11030" width="1.375" style="85" customWidth="1"/>
    <col min="11031" max="11270" width="9" style="85"/>
    <col min="11271" max="11271" width="1.375" style="85" customWidth="1"/>
    <col min="11272" max="11272" width="3.5" style="85" customWidth="1"/>
    <col min="11273" max="11273" width="22.125" style="85" customWidth="1"/>
    <col min="11274" max="11274" width="9.75" style="85" customWidth="1"/>
    <col min="11275" max="11275" width="7.375" style="85" customWidth="1"/>
    <col min="11276" max="11276" width="9" style="85"/>
    <col min="11277" max="11277" width="9.25" style="85" customWidth="1"/>
    <col min="11278" max="11278" width="3.5" style="85" customWidth="1"/>
    <col min="11279" max="11280" width="12.625" style="85" customWidth="1"/>
    <col min="11281" max="11281" width="9" style="85"/>
    <col min="11282" max="11282" width="7.75" style="85" customWidth="1"/>
    <col min="11283" max="11283" width="13.125" style="85" customWidth="1"/>
    <col min="11284" max="11284" width="6.125" style="85" customWidth="1"/>
    <col min="11285" max="11285" width="9.75" style="85" customWidth="1"/>
    <col min="11286" max="11286" width="1.375" style="85" customWidth="1"/>
    <col min="11287" max="11526" width="9" style="85"/>
    <col min="11527" max="11527" width="1.375" style="85" customWidth="1"/>
    <col min="11528" max="11528" width="3.5" style="85" customWidth="1"/>
    <col min="11529" max="11529" width="22.125" style="85" customWidth="1"/>
    <col min="11530" max="11530" width="9.75" style="85" customWidth="1"/>
    <col min="11531" max="11531" width="7.375" style="85" customWidth="1"/>
    <col min="11532" max="11532" width="9" style="85"/>
    <col min="11533" max="11533" width="9.25" style="85" customWidth="1"/>
    <col min="11534" max="11534" width="3.5" style="85" customWidth="1"/>
    <col min="11535" max="11536" width="12.625" style="85" customWidth="1"/>
    <col min="11537" max="11537" width="9" style="85"/>
    <col min="11538" max="11538" width="7.75" style="85" customWidth="1"/>
    <col min="11539" max="11539" width="13.125" style="85" customWidth="1"/>
    <col min="11540" max="11540" width="6.125" style="85" customWidth="1"/>
    <col min="11541" max="11541" width="9.75" style="85" customWidth="1"/>
    <col min="11542" max="11542" width="1.375" style="85" customWidth="1"/>
    <col min="11543" max="11782" width="9" style="85"/>
    <col min="11783" max="11783" width="1.375" style="85" customWidth="1"/>
    <col min="11784" max="11784" width="3.5" style="85" customWidth="1"/>
    <col min="11785" max="11785" width="22.125" style="85" customWidth="1"/>
    <col min="11786" max="11786" width="9.75" style="85" customWidth="1"/>
    <col min="11787" max="11787" width="7.375" style="85" customWidth="1"/>
    <col min="11788" max="11788" width="9" style="85"/>
    <col min="11789" max="11789" width="9.25" style="85" customWidth="1"/>
    <col min="11790" max="11790" width="3.5" style="85" customWidth="1"/>
    <col min="11791" max="11792" width="12.625" style="85" customWidth="1"/>
    <col min="11793" max="11793" width="9" style="85"/>
    <col min="11794" max="11794" width="7.75" style="85" customWidth="1"/>
    <col min="11795" max="11795" width="13.125" style="85" customWidth="1"/>
    <col min="11796" max="11796" width="6.125" style="85" customWidth="1"/>
    <col min="11797" max="11797" width="9.75" style="85" customWidth="1"/>
    <col min="11798" max="11798" width="1.375" style="85" customWidth="1"/>
    <col min="11799" max="12038" width="9" style="85"/>
    <col min="12039" max="12039" width="1.375" style="85" customWidth="1"/>
    <col min="12040" max="12040" width="3.5" style="85" customWidth="1"/>
    <col min="12041" max="12041" width="22.125" style="85" customWidth="1"/>
    <col min="12042" max="12042" width="9.75" style="85" customWidth="1"/>
    <col min="12043" max="12043" width="7.375" style="85" customWidth="1"/>
    <col min="12044" max="12044" width="9" style="85"/>
    <col min="12045" max="12045" width="9.25" style="85" customWidth="1"/>
    <col min="12046" max="12046" width="3.5" style="85" customWidth="1"/>
    <col min="12047" max="12048" width="12.625" style="85" customWidth="1"/>
    <col min="12049" max="12049" width="9" style="85"/>
    <col min="12050" max="12050" width="7.75" style="85" customWidth="1"/>
    <col min="12051" max="12051" width="13.125" style="85" customWidth="1"/>
    <col min="12052" max="12052" width="6.125" style="85" customWidth="1"/>
    <col min="12053" max="12053" width="9.75" style="85" customWidth="1"/>
    <col min="12054" max="12054" width="1.375" style="85" customWidth="1"/>
    <col min="12055" max="12294" width="9" style="85"/>
    <col min="12295" max="12295" width="1.375" style="85" customWidth="1"/>
    <col min="12296" max="12296" width="3.5" style="85" customWidth="1"/>
    <col min="12297" max="12297" width="22.125" style="85" customWidth="1"/>
    <col min="12298" max="12298" width="9.75" style="85" customWidth="1"/>
    <col min="12299" max="12299" width="7.375" style="85" customWidth="1"/>
    <col min="12300" max="12300" width="9" style="85"/>
    <col min="12301" max="12301" width="9.25" style="85" customWidth="1"/>
    <col min="12302" max="12302" width="3.5" style="85" customWidth="1"/>
    <col min="12303" max="12304" width="12.625" style="85" customWidth="1"/>
    <col min="12305" max="12305" width="9" style="85"/>
    <col min="12306" max="12306" width="7.75" style="85" customWidth="1"/>
    <col min="12307" max="12307" width="13.125" style="85" customWidth="1"/>
    <col min="12308" max="12308" width="6.125" style="85" customWidth="1"/>
    <col min="12309" max="12309" width="9.75" style="85" customWidth="1"/>
    <col min="12310" max="12310" width="1.375" style="85" customWidth="1"/>
    <col min="12311" max="12550" width="9" style="85"/>
    <col min="12551" max="12551" width="1.375" style="85" customWidth="1"/>
    <col min="12552" max="12552" width="3.5" style="85" customWidth="1"/>
    <col min="12553" max="12553" width="22.125" style="85" customWidth="1"/>
    <col min="12554" max="12554" width="9.75" style="85" customWidth="1"/>
    <col min="12555" max="12555" width="7.375" style="85" customWidth="1"/>
    <col min="12556" max="12556" width="9" style="85"/>
    <col min="12557" max="12557" width="9.25" style="85" customWidth="1"/>
    <col min="12558" max="12558" width="3.5" style="85" customWidth="1"/>
    <col min="12559" max="12560" width="12.625" style="85" customWidth="1"/>
    <col min="12561" max="12561" width="9" style="85"/>
    <col min="12562" max="12562" width="7.75" style="85" customWidth="1"/>
    <col min="12563" max="12563" width="13.125" style="85" customWidth="1"/>
    <col min="12564" max="12564" width="6.125" style="85" customWidth="1"/>
    <col min="12565" max="12565" width="9.75" style="85" customWidth="1"/>
    <col min="12566" max="12566" width="1.375" style="85" customWidth="1"/>
    <col min="12567" max="12806" width="9" style="85"/>
    <col min="12807" max="12807" width="1.375" style="85" customWidth="1"/>
    <col min="12808" max="12808" width="3.5" style="85" customWidth="1"/>
    <col min="12809" max="12809" width="22.125" style="85" customWidth="1"/>
    <col min="12810" max="12810" width="9.75" style="85" customWidth="1"/>
    <col min="12811" max="12811" width="7.375" style="85" customWidth="1"/>
    <col min="12812" max="12812" width="9" style="85"/>
    <col min="12813" max="12813" width="9.25" style="85" customWidth="1"/>
    <col min="12814" max="12814" width="3.5" style="85" customWidth="1"/>
    <col min="12815" max="12816" width="12.625" style="85" customWidth="1"/>
    <col min="12817" max="12817" width="9" style="85"/>
    <col min="12818" max="12818" width="7.75" style="85" customWidth="1"/>
    <col min="12819" max="12819" width="13.125" style="85" customWidth="1"/>
    <col min="12820" max="12820" width="6.125" style="85" customWidth="1"/>
    <col min="12821" max="12821" width="9.75" style="85" customWidth="1"/>
    <col min="12822" max="12822" width="1.375" style="85" customWidth="1"/>
    <col min="12823" max="13062" width="9" style="85"/>
    <col min="13063" max="13063" width="1.375" style="85" customWidth="1"/>
    <col min="13064" max="13064" width="3.5" style="85" customWidth="1"/>
    <col min="13065" max="13065" width="22.125" style="85" customWidth="1"/>
    <col min="13066" max="13066" width="9.75" style="85" customWidth="1"/>
    <col min="13067" max="13067" width="7.375" style="85" customWidth="1"/>
    <col min="13068" max="13068" width="9" style="85"/>
    <col min="13069" max="13069" width="9.25" style="85" customWidth="1"/>
    <col min="13070" max="13070" width="3.5" style="85" customWidth="1"/>
    <col min="13071" max="13072" width="12.625" style="85" customWidth="1"/>
    <col min="13073" max="13073" width="9" style="85"/>
    <col min="13074" max="13074" width="7.75" style="85" customWidth="1"/>
    <col min="13075" max="13075" width="13.125" style="85" customWidth="1"/>
    <col min="13076" max="13076" width="6.125" style="85" customWidth="1"/>
    <col min="13077" max="13077" width="9.75" style="85" customWidth="1"/>
    <col min="13078" max="13078" width="1.375" style="85" customWidth="1"/>
    <col min="13079" max="13318" width="9" style="85"/>
    <col min="13319" max="13319" width="1.375" style="85" customWidth="1"/>
    <col min="13320" max="13320" width="3.5" style="85" customWidth="1"/>
    <col min="13321" max="13321" width="22.125" style="85" customWidth="1"/>
    <col min="13322" max="13322" width="9.75" style="85" customWidth="1"/>
    <col min="13323" max="13323" width="7.375" style="85" customWidth="1"/>
    <col min="13324" max="13324" width="9" style="85"/>
    <col min="13325" max="13325" width="9.25" style="85" customWidth="1"/>
    <col min="13326" max="13326" width="3.5" style="85" customWidth="1"/>
    <col min="13327" max="13328" width="12.625" style="85" customWidth="1"/>
    <col min="13329" max="13329" width="9" style="85"/>
    <col min="13330" max="13330" width="7.75" style="85" customWidth="1"/>
    <col min="13331" max="13331" width="13.125" style="85" customWidth="1"/>
    <col min="13332" max="13332" width="6.125" style="85" customWidth="1"/>
    <col min="13333" max="13333" width="9.75" style="85" customWidth="1"/>
    <col min="13334" max="13334" width="1.375" style="85" customWidth="1"/>
    <col min="13335" max="13574" width="9" style="85"/>
    <col min="13575" max="13575" width="1.375" style="85" customWidth="1"/>
    <col min="13576" max="13576" width="3.5" style="85" customWidth="1"/>
    <col min="13577" max="13577" width="22.125" style="85" customWidth="1"/>
    <col min="13578" max="13578" width="9.75" style="85" customWidth="1"/>
    <col min="13579" max="13579" width="7.375" style="85" customWidth="1"/>
    <col min="13580" max="13580" width="9" style="85"/>
    <col min="13581" max="13581" width="9.25" style="85" customWidth="1"/>
    <col min="13582" max="13582" width="3.5" style="85" customWidth="1"/>
    <col min="13583" max="13584" width="12.625" style="85" customWidth="1"/>
    <col min="13585" max="13585" width="9" style="85"/>
    <col min="13586" max="13586" width="7.75" style="85" customWidth="1"/>
    <col min="13587" max="13587" width="13.125" style="85" customWidth="1"/>
    <col min="13588" max="13588" width="6.125" style="85" customWidth="1"/>
    <col min="13589" max="13589" width="9.75" style="85" customWidth="1"/>
    <col min="13590" max="13590" width="1.375" style="85" customWidth="1"/>
    <col min="13591" max="13830" width="9" style="85"/>
    <col min="13831" max="13831" width="1.375" style="85" customWidth="1"/>
    <col min="13832" max="13832" width="3.5" style="85" customWidth="1"/>
    <col min="13833" max="13833" width="22.125" style="85" customWidth="1"/>
    <col min="13834" max="13834" width="9.75" style="85" customWidth="1"/>
    <col min="13835" max="13835" width="7.375" style="85" customWidth="1"/>
    <col min="13836" max="13836" width="9" style="85"/>
    <col min="13837" max="13837" width="9.25" style="85" customWidth="1"/>
    <col min="13838" max="13838" width="3.5" style="85" customWidth="1"/>
    <col min="13839" max="13840" width="12.625" style="85" customWidth="1"/>
    <col min="13841" max="13841" width="9" style="85"/>
    <col min="13842" max="13842" width="7.75" style="85" customWidth="1"/>
    <col min="13843" max="13843" width="13.125" style="85" customWidth="1"/>
    <col min="13844" max="13844" width="6.125" style="85" customWidth="1"/>
    <col min="13845" max="13845" width="9.75" style="85" customWidth="1"/>
    <col min="13846" max="13846" width="1.375" style="85" customWidth="1"/>
    <col min="13847" max="14086" width="9" style="85"/>
    <col min="14087" max="14087" width="1.375" style="85" customWidth="1"/>
    <col min="14088" max="14088" width="3.5" style="85" customWidth="1"/>
    <col min="14089" max="14089" width="22.125" style="85" customWidth="1"/>
    <col min="14090" max="14090" width="9.75" style="85" customWidth="1"/>
    <col min="14091" max="14091" width="7.375" style="85" customWidth="1"/>
    <col min="14092" max="14092" width="9" style="85"/>
    <col min="14093" max="14093" width="9.25" style="85" customWidth="1"/>
    <col min="14094" max="14094" width="3.5" style="85" customWidth="1"/>
    <col min="14095" max="14096" width="12.625" style="85" customWidth="1"/>
    <col min="14097" max="14097" width="9" style="85"/>
    <col min="14098" max="14098" width="7.75" style="85" customWidth="1"/>
    <col min="14099" max="14099" width="13.125" style="85" customWidth="1"/>
    <col min="14100" max="14100" width="6.125" style="85" customWidth="1"/>
    <col min="14101" max="14101" width="9.75" style="85" customWidth="1"/>
    <col min="14102" max="14102" width="1.375" style="85" customWidth="1"/>
    <col min="14103" max="14342" width="9" style="85"/>
    <col min="14343" max="14343" width="1.375" style="85" customWidth="1"/>
    <col min="14344" max="14344" width="3.5" style="85" customWidth="1"/>
    <col min="14345" max="14345" width="22.125" style="85" customWidth="1"/>
    <col min="14346" max="14346" width="9.75" style="85" customWidth="1"/>
    <col min="14347" max="14347" width="7.375" style="85" customWidth="1"/>
    <col min="14348" max="14348" width="9" style="85"/>
    <col min="14349" max="14349" width="9.25" style="85" customWidth="1"/>
    <col min="14350" max="14350" width="3.5" style="85" customWidth="1"/>
    <col min="14351" max="14352" width="12.625" style="85" customWidth="1"/>
    <col min="14353" max="14353" width="9" style="85"/>
    <col min="14354" max="14354" width="7.75" style="85" customWidth="1"/>
    <col min="14355" max="14355" width="13.125" style="85" customWidth="1"/>
    <col min="14356" max="14356" width="6.125" style="85" customWidth="1"/>
    <col min="14357" max="14357" width="9.75" style="85" customWidth="1"/>
    <col min="14358" max="14358" width="1.375" style="85" customWidth="1"/>
    <col min="14359" max="14598" width="9" style="85"/>
    <col min="14599" max="14599" width="1.375" style="85" customWidth="1"/>
    <col min="14600" max="14600" width="3.5" style="85" customWidth="1"/>
    <col min="14601" max="14601" width="22.125" style="85" customWidth="1"/>
    <col min="14602" max="14602" width="9.75" style="85" customWidth="1"/>
    <col min="14603" max="14603" width="7.375" style="85" customWidth="1"/>
    <col min="14604" max="14604" width="9" style="85"/>
    <col min="14605" max="14605" width="9.25" style="85" customWidth="1"/>
    <col min="14606" max="14606" width="3.5" style="85" customWidth="1"/>
    <col min="14607" max="14608" width="12.625" style="85" customWidth="1"/>
    <col min="14609" max="14609" width="9" style="85"/>
    <col min="14610" max="14610" width="7.75" style="85" customWidth="1"/>
    <col min="14611" max="14611" width="13.125" style="85" customWidth="1"/>
    <col min="14612" max="14612" width="6.125" style="85" customWidth="1"/>
    <col min="14613" max="14613" width="9.75" style="85" customWidth="1"/>
    <col min="14614" max="14614" width="1.375" style="85" customWidth="1"/>
    <col min="14615" max="14854" width="9" style="85"/>
    <col min="14855" max="14855" width="1.375" style="85" customWidth="1"/>
    <col min="14856" max="14856" width="3.5" style="85" customWidth="1"/>
    <col min="14857" max="14857" width="22.125" style="85" customWidth="1"/>
    <col min="14858" max="14858" width="9.75" style="85" customWidth="1"/>
    <col min="14859" max="14859" width="7.375" style="85" customWidth="1"/>
    <col min="14860" max="14860" width="9" style="85"/>
    <col min="14861" max="14861" width="9.25" style="85" customWidth="1"/>
    <col min="14862" max="14862" width="3.5" style="85" customWidth="1"/>
    <col min="14863" max="14864" width="12.625" style="85" customWidth="1"/>
    <col min="14865" max="14865" width="9" style="85"/>
    <col min="14866" max="14866" width="7.75" style="85" customWidth="1"/>
    <col min="14867" max="14867" width="13.125" style="85" customWidth="1"/>
    <col min="14868" max="14868" width="6.125" style="85" customWidth="1"/>
    <col min="14869" max="14869" width="9.75" style="85" customWidth="1"/>
    <col min="14870" max="14870" width="1.375" style="85" customWidth="1"/>
    <col min="14871" max="15110" width="9" style="85"/>
    <col min="15111" max="15111" width="1.375" style="85" customWidth="1"/>
    <col min="15112" max="15112" width="3.5" style="85" customWidth="1"/>
    <col min="15113" max="15113" width="22.125" style="85" customWidth="1"/>
    <col min="15114" max="15114" width="9.75" style="85" customWidth="1"/>
    <col min="15115" max="15115" width="7.375" style="85" customWidth="1"/>
    <col min="15116" max="15116" width="9" style="85"/>
    <col min="15117" max="15117" width="9.25" style="85" customWidth="1"/>
    <col min="15118" max="15118" width="3.5" style="85" customWidth="1"/>
    <col min="15119" max="15120" width="12.625" style="85" customWidth="1"/>
    <col min="15121" max="15121" width="9" style="85"/>
    <col min="15122" max="15122" width="7.75" style="85" customWidth="1"/>
    <col min="15123" max="15123" width="13.125" style="85" customWidth="1"/>
    <col min="15124" max="15124" width="6.125" style="85" customWidth="1"/>
    <col min="15125" max="15125" width="9.75" style="85" customWidth="1"/>
    <col min="15126" max="15126" width="1.375" style="85" customWidth="1"/>
    <col min="15127" max="15366" width="9" style="85"/>
    <col min="15367" max="15367" width="1.375" style="85" customWidth="1"/>
    <col min="15368" max="15368" width="3.5" style="85" customWidth="1"/>
    <col min="15369" max="15369" width="22.125" style="85" customWidth="1"/>
    <col min="15370" max="15370" width="9.75" style="85" customWidth="1"/>
    <col min="15371" max="15371" width="7.375" style="85" customWidth="1"/>
    <col min="15372" max="15372" width="9" style="85"/>
    <col min="15373" max="15373" width="9.25" style="85" customWidth="1"/>
    <col min="15374" max="15374" width="3.5" style="85" customWidth="1"/>
    <col min="15375" max="15376" width="12.625" style="85" customWidth="1"/>
    <col min="15377" max="15377" width="9" style="85"/>
    <col min="15378" max="15378" width="7.75" style="85" customWidth="1"/>
    <col min="15379" max="15379" width="13.125" style="85" customWidth="1"/>
    <col min="15380" max="15380" width="6.125" style="85" customWidth="1"/>
    <col min="15381" max="15381" width="9.75" style="85" customWidth="1"/>
    <col min="15382" max="15382" width="1.375" style="85" customWidth="1"/>
    <col min="15383" max="15622" width="9" style="85"/>
    <col min="15623" max="15623" width="1.375" style="85" customWidth="1"/>
    <col min="15624" max="15624" width="3.5" style="85" customWidth="1"/>
    <col min="15625" max="15625" width="22.125" style="85" customWidth="1"/>
    <col min="15626" max="15626" width="9.75" style="85" customWidth="1"/>
    <col min="15627" max="15627" width="7.375" style="85" customWidth="1"/>
    <col min="15628" max="15628" width="9" style="85"/>
    <col min="15629" max="15629" width="9.25" style="85" customWidth="1"/>
    <col min="15630" max="15630" width="3.5" style="85" customWidth="1"/>
    <col min="15631" max="15632" width="12.625" style="85" customWidth="1"/>
    <col min="15633" max="15633" width="9" style="85"/>
    <col min="15634" max="15634" width="7.75" style="85" customWidth="1"/>
    <col min="15635" max="15635" width="13.125" style="85" customWidth="1"/>
    <col min="15636" max="15636" width="6.125" style="85" customWidth="1"/>
    <col min="15637" max="15637" width="9.75" style="85" customWidth="1"/>
    <col min="15638" max="15638" width="1.375" style="85" customWidth="1"/>
    <col min="15639" max="15878" width="9" style="85"/>
    <col min="15879" max="15879" width="1.375" style="85" customWidth="1"/>
    <col min="15880" max="15880" width="3.5" style="85" customWidth="1"/>
    <col min="15881" max="15881" width="22.125" style="85" customWidth="1"/>
    <col min="15882" max="15882" width="9.75" style="85" customWidth="1"/>
    <col min="15883" max="15883" width="7.375" style="85" customWidth="1"/>
    <col min="15884" max="15884" width="9" style="85"/>
    <col min="15885" max="15885" width="9.25" style="85" customWidth="1"/>
    <col min="15886" max="15886" width="3.5" style="85" customWidth="1"/>
    <col min="15887" max="15888" width="12.625" style="85" customWidth="1"/>
    <col min="15889" max="15889" width="9" style="85"/>
    <col min="15890" max="15890" width="7.75" style="85" customWidth="1"/>
    <col min="15891" max="15891" width="13.125" style="85" customWidth="1"/>
    <col min="15892" max="15892" width="6.125" style="85" customWidth="1"/>
    <col min="15893" max="15893" width="9.75" style="85" customWidth="1"/>
    <col min="15894" max="15894" width="1.375" style="85" customWidth="1"/>
    <col min="15895" max="16134" width="9" style="85"/>
    <col min="16135" max="16135" width="1.375" style="85" customWidth="1"/>
    <col min="16136" max="16136" width="3.5" style="85" customWidth="1"/>
    <col min="16137" max="16137" width="22.125" style="85" customWidth="1"/>
    <col min="16138" max="16138" width="9.75" style="85" customWidth="1"/>
    <col min="16139" max="16139" width="7.375" style="85" customWidth="1"/>
    <col min="16140" max="16140" width="9" style="85"/>
    <col min="16141" max="16141" width="9.25" style="85" customWidth="1"/>
    <col min="16142" max="16142" width="3.5" style="85" customWidth="1"/>
    <col min="16143" max="16144" width="12.625" style="85" customWidth="1"/>
    <col min="16145" max="16145" width="9" style="85"/>
    <col min="16146" max="16146" width="7.75" style="85" customWidth="1"/>
    <col min="16147" max="16147" width="13.125" style="85" customWidth="1"/>
    <col min="16148" max="16148" width="6.125" style="85" customWidth="1"/>
    <col min="16149" max="16149" width="9.75" style="85" customWidth="1"/>
    <col min="16150" max="16150" width="1.375" style="85" customWidth="1"/>
    <col min="16151" max="16384" width="9" style="85"/>
  </cols>
  <sheetData>
    <row r="1" spans="1:22" ht="9.9499999999999993" customHeight="1" x14ac:dyDescent="0.15">
      <c r="A1" s="85" t="s">
        <v>359</v>
      </c>
    </row>
    <row r="2" spans="1:22" ht="24.95" customHeight="1" x14ac:dyDescent="0.15">
      <c r="B2" s="1" t="s">
        <v>440</v>
      </c>
      <c r="C2" s="87"/>
      <c r="D2" s="13"/>
      <c r="E2" s="13"/>
      <c r="F2" s="87"/>
      <c r="G2" s="140"/>
      <c r="H2" s="149"/>
      <c r="I2" s="140"/>
      <c r="J2" s="140"/>
      <c r="K2" s="140"/>
      <c r="L2" s="140"/>
      <c r="M2" s="140"/>
      <c r="N2" s="140"/>
      <c r="O2" s="13"/>
    </row>
    <row r="3" spans="1:22" ht="15" customHeight="1" thickBot="1" x14ac:dyDescent="0.2">
      <c r="B3" s="85" t="s">
        <v>220</v>
      </c>
      <c r="I3" s="13" t="s">
        <v>221</v>
      </c>
      <c r="P3" s="85" t="s">
        <v>241</v>
      </c>
    </row>
    <row r="4" spans="1:22" ht="15" customHeight="1" x14ac:dyDescent="0.15">
      <c r="B4" s="302" t="s">
        <v>90</v>
      </c>
      <c r="C4" s="188" t="s">
        <v>181</v>
      </c>
      <c r="D4" s="188" t="s">
        <v>153</v>
      </c>
      <c r="E4" s="188" t="s">
        <v>154</v>
      </c>
      <c r="F4" s="398" t="s">
        <v>24</v>
      </c>
      <c r="G4" s="176" t="s">
        <v>155</v>
      </c>
      <c r="H4" s="189"/>
      <c r="I4" s="830" t="s">
        <v>90</v>
      </c>
      <c r="J4" s="828" t="s">
        <v>185</v>
      </c>
      <c r="K4" s="375" t="s">
        <v>182</v>
      </c>
      <c r="L4" s="375" t="s">
        <v>156</v>
      </c>
      <c r="M4" s="823" t="s">
        <v>24</v>
      </c>
      <c r="N4" s="825" t="s">
        <v>155</v>
      </c>
      <c r="O4" s="207"/>
      <c r="P4" s="303" t="s">
        <v>188</v>
      </c>
      <c r="Q4" s="304" t="s">
        <v>189</v>
      </c>
      <c r="R4" s="304" t="s">
        <v>190</v>
      </c>
      <c r="S4" s="304" t="s">
        <v>191</v>
      </c>
      <c r="T4" s="832" t="s">
        <v>192</v>
      </c>
      <c r="U4" s="782"/>
      <c r="V4" s="305" t="s">
        <v>193</v>
      </c>
    </row>
    <row r="5" spans="1:22" ht="15" customHeight="1" x14ac:dyDescent="0.15">
      <c r="B5" s="842" t="s">
        <v>176</v>
      </c>
      <c r="C5" s="90"/>
      <c r="D5" s="84"/>
      <c r="E5" s="89"/>
      <c r="F5" s="90"/>
      <c r="G5" s="177">
        <f t="shared" ref="G5:G6" si="0">D5*F5</f>
        <v>0</v>
      </c>
      <c r="H5" s="190"/>
      <c r="I5" s="831"/>
      <c r="J5" s="829"/>
      <c r="K5" s="376" t="s">
        <v>157</v>
      </c>
      <c r="L5" s="376" t="s">
        <v>299</v>
      </c>
      <c r="M5" s="824"/>
      <c r="N5" s="826"/>
      <c r="O5" s="207"/>
      <c r="P5" s="471" t="s">
        <v>398</v>
      </c>
      <c r="Q5" s="500"/>
      <c r="R5" s="501" t="s">
        <v>458</v>
      </c>
      <c r="S5" s="500"/>
      <c r="T5" s="833" t="s">
        <v>459</v>
      </c>
      <c r="U5" s="834"/>
      <c r="V5" s="502">
        <v>5806.666666666667</v>
      </c>
    </row>
    <row r="6" spans="1:22" ht="15" customHeight="1" x14ac:dyDescent="0.15">
      <c r="B6" s="839"/>
      <c r="C6" s="84"/>
      <c r="D6" s="84"/>
      <c r="E6" s="89"/>
      <c r="F6" s="84"/>
      <c r="G6" s="178">
        <f t="shared" si="0"/>
        <v>0</v>
      </c>
      <c r="H6" s="190"/>
      <c r="I6" s="835" t="s">
        <v>184</v>
      </c>
      <c r="J6" s="341" t="s">
        <v>296</v>
      </c>
      <c r="K6" s="377">
        <v>10.6</v>
      </c>
      <c r="L6" s="377">
        <v>13</v>
      </c>
      <c r="M6" s="405">
        <v>84.7</v>
      </c>
      <c r="N6" s="378">
        <f>K6*L6*M6</f>
        <v>11671.66</v>
      </c>
      <c r="O6" s="207"/>
      <c r="P6" s="306"/>
      <c r="Q6" s="174"/>
      <c r="R6" s="202"/>
      <c r="S6" s="174"/>
      <c r="T6" s="821"/>
      <c r="U6" s="822"/>
      <c r="V6" s="197"/>
    </row>
    <row r="7" spans="1:22" ht="15" customHeight="1" thickBot="1" x14ac:dyDescent="0.2">
      <c r="B7" s="841"/>
      <c r="C7" s="179" t="s">
        <v>158</v>
      </c>
      <c r="D7" s="179"/>
      <c r="E7" s="179"/>
      <c r="F7" s="179"/>
      <c r="G7" s="180">
        <f>SUM(G5:G6)</f>
        <v>0</v>
      </c>
      <c r="H7" s="190"/>
      <c r="I7" s="836"/>
      <c r="J7" s="341" t="s">
        <v>297</v>
      </c>
      <c r="K7" s="405">
        <v>5.4</v>
      </c>
      <c r="L7" s="377">
        <f>5+6.5</f>
        <v>11.5</v>
      </c>
      <c r="M7" s="405">
        <v>84.7</v>
      </c>
      <c r="N7" s="378">
        <f t="shared" ref="N7:N11" si="1">K7*L7*M7</f>
        <v>5259.87</v>
      </c>
      <c r="O7" s="207"/>
      <c r="P7" s="306"/>
      <c r="Q7" s="174"/>
      <c r="R7" s="202"/>
      <c r="S7" s="174"/>
      <c r="T7" s="821"/>
      <c r="U7" s="822"/>
      <c r="V7" s="197"/>
    </row>
    <row r="8" spans="1:22" ht="15" customHeight="1" thickTop="1" x14ac:dyDescent="0.15">
      <c r="B8" s="838" t="s">
        <v>174</v>
      </c>
      <c r="C8" s="84" t="s">
        <v>417</v>
      </c>
      <c r="D8" s="84">
        <v>10</v>
      </c>
      <c r="E8" s="89" t="s">
        <v>281</v>
      </c>
      <c r="F8" s="84">
        <v>3840</v>
      </c>
      <c r="G8" s="178">
        <f>D8*F8</f>
        <v>38400</v>
      </c>
      <c r="H8" s="190"/>
      <c r="I8" s="836"/>
      <c r="J8" s="341" t="s">
        <v>400</v>
      </c>
      <c r="K8" s="377">
        <v>1.2</v>
      </c>
      <c r="L8" s="377">
        <v>3</v>
      </c>
      <c r="M8" s="405">
        <v>84.7</v>
      </c>
      <c r="N8" s="378">
        <f t="shared" si="1"/>
        <v>304.91999999999996</v>
      </c>
      <c r="O8" s="207"/>
      <c r="P8" s="306"/>
      <c r="Q8" s="174"/>
      <c r="R8" s="202"/>
      <c r="S8" s="174"/>
      <c r="T8" s="821"/>
      <c r="U8" s="822"/>
      <c r="V8" s="197"/>
    </row>
    <row r="9" spans="1:22" ht="15" customHeight="1" x14ac:dyDescent="0.15">
      <c r="B9" s="839"/>
      <c r="C9" s="84"/>
      <c r="D9" s="84"/>
      <c r="E9" s="89"/>
      <c r="F9" s="84"/>
      <c r="G9" s="178">
        <f>D9*F9</f>
        <v>0</v>
      </c>
      <c r="H9" s="190"/>
      <c r="I9" s="836"/>
      <c r="J9" s="386" t="s">
        <v>300</v>
      </c>
      <c r="K9" s="387">
        <v>3.5</v>
      </c>
      <c r="L9" s="387">
        <v>5</v>
      </c>
      <c r="M9" s="405">
        <v>84.7</v>
      </c>
      <c r="N9" s="388">
        <f t="shared" si="1"/>
        <v>1482.25</v>
      </c>
      <c r="O9" s="207"/>
      <c r="P9" s="306"/>
      <c r="Q9" s="174"/>
      <c r="R9" s="202"/>
      <c r="S9" s="174"/>
      <c r="T9" s="821"/>
      <c r="U9" s="822"/>
      <c r="V9" s="197"/>
    </row>
    <row r="10" spans="1:22" ht="15" customHeight="1" x14ac:dyDescent="0.15">
      <c r="B10" s="839"/>
      <c r="C10" s="84"/>
      <c r="D10" s="84"/>
      <c r="E10" s="89"/>
      <c r="F10" s="84"/>
      <c r="G10" s="178">
        <f>D10*F10</f>
        <v>0</v>
      </c>
      <c r="H10" s="190"/>
      <c r="I10" s="836"/>
      <c r="J10" s="392"/>
      <c r="K10" s="393"/>
      <c r="L10" s="393"/>
      <c r="M10" s="405"/>
      <c r="N10" s="394"/>
      <c r="O10" s="207"/>
      <c r="P10" s="306"/>
      <c r="Q10" s="389"/>
      <c r="R10" s="390"/>
      <c r="S10" s="389"/>
      <c r="T10" s="391"/>
      <c r="U10" s="372"/>
      <c r="V10" s="197"/>
    </row>
    <row r="11" spans="1:22" ht="15" customHeight="1" thickBot="1" x14ac:dyDescent="0.2">
      <c r="B11" s="841"/>
      <c r="C11" s="181" t="s">
        <v>159</v>
      </c>
      <c r="D11" s="182"/>
      <c r="E11" s="182"/>
      <c r="F11" s="182"/>
      <c r="G11" s="183">
        <f>SUM(G8:G10)</f>
        <v>38400</v>
      </c>
      <c r="H11" s="190"/>
      <c r="I11" s="836"/>
      <c r="J11" s="395" t="s">
        <v>302</v>
      </c>
      <c r="K11" s="396">
        <v>2</v>
      </c>
      <c r="L11" s="396">
        <v>3.5</v>
      </c>
      <c r="M11" s="405">
        <v>84.7</v>
      </c>
      <c r="N11" s="397">
        <f t="shared" si="1"/>
        <v>592.9</v>
      </c>
      <c r="O11" s="207"/>
      <c r="P11" s="306"/>
      <c r="Q11" s="174"/>
      <c r="R11" s="202"/>
      <c r="S11" s="174"/>
      <c r="T11" s="821"/>
      <c r="U11" s="822"/>
      <c r="V11" s="197"/>
    </row>
    <row r="12" spans="1:22" ht="15" customHeight="1" thickTop="1" thickBot="1" x14ac:dyDescent="0.2">
      <c r="B12" s="838" t="s">
        <v>175</v>
      </c>
      <c r="C12" s="84" t="s">
        <v>492</v>
      </c>
      <c r="D12" s="84">
        <v>500</v>
      </c>
      <c r="E12" s="89" t="s">
        <v>294</v>
      </c>
      <c r="F12" s="84">
        <v>160</v>
      </c>
      <c r="G12" s="178">
        <f>D12*F12</f>
        <v>80000</v>
      </c>
      <c r="H12" s="190"/>
      <c r="I12" s="837"/>
      <c r="J12" s="373" t="s">
        <v>246</v>
      </c>
      <c r="K12" s="374">
        <f>SUM(K6:K9)</f>
        <v>20.7</v>
      </c>
      <c r="L12" s="374">
        <f>SUM(L6:L11)</f>
        <v>36</v>
      </c>
      <c r="M12" s="374"/>
      <c r="N12" s="379">
        <f>SUM(N6:N11)</f>
        <v>19311.599999999999</v>
      </c>
      <c r="O12" s="207"/>
      <c r="P12" s="306"/>
      <c r="Q12" s="174"/>
      <c r="R12" s="202"/>
      <c r="S12" s="174"/>
      <c r="T12" s="821"/>
      <c r="U12" s="822"/>
      <c r="V12" s="197"/>
    </row>
    <row r="13" spans="1:22" ht="15" customHeight="1" thickTop="1" x14ac:dyDescent="0.15">
      <c r="B13" s="839"/>
      <c r="C13" s="84"/>
      <c r="D13" s="84"/>
      <c r="E13" s="89"/>
      <c r="F13" s="84"/>
      <c r="G13" s="178">
        <f>D13*F13</f>
        <v>0</v>
      </c>
      <c r="H13" s="190"/>
      <c r="I13" s="866" t="s">
        <v>247</v>
      </c>
      <c r="J13" s="341" t="s">
        <v>298</v>
      </c>
      <c r="K13" s="377">
        <v>4.4000000000000004</v>
      </c>
      <c r="L13" s="377">
        <v>3.3</v>
      </c>
      <c r="M13" s="405">
        <v>158.4</v>
      </c>
      <c r="N13" s="378">
        <f>K13*L13*M13</f>
        <v>2299.9679999999998</v>
      </c>
      <c r="O13" s="207"/>
      <c r="P13" s="306"/>
      <c r="Q13" s="174"/>
      <c r="R13" s="202"/>
      <c r="S13" s="174"/>
      <c r="T13" s="821"/>
      <c r="U13" s="822"/>
      <c r="V13" s="197"/>
    </row>
    <row r="14" spans="1:22" ht="15" customHeight="1" x14ac:dyDescent="0.15">
      <c r="B14" s="839"/>
      <c r="C14" s="84"/>
      <c r="D14" s="84"/>
      <c r="E14" s="89"/>
      <c r="F14" s="84"/>
      <c r="G14" s="178">
        <f>D14*F14</f>
        <v>0</v>
      </c>
      <c r="H14" s="190"/>
      <c r="I14" s="867"/>
      <c r="J14" s="341"/>
      <c r="K14" s="377"/>
      <c r="L14" s="377"/>
      <c r="M14" s="377"/>
      <c r="N14" s="378">
        <f t="shared" ref="N14:N15" si="2">K14*L14*M14</f>
        <v>0</v>
      </c>
      <c r="O14" s="207"/>
      <c r="P14" s="306"/>
      <c r="Q14" s="174"/>
      <c r="R14" s="202"/>
      <c r="S14" s="174"/>
      <c r="T14" s="821"/>
      <c r="U14" s="822"/>
      <c r="V14" s="197"/>
    </row>
    <row r="15" spans="1:22" ht="15" customHeight="1" x14ac:dyDescent="0.15">
      <c r="B15" s="839"/>
      <c r="C15" s="84"/>
      <c r="D15" s="84"/>
      <c r="E15" s="84"/>
      <c r="F15" s="84"/>
      <c r="G15" s="178">
        <f t="shared" ref="G15" si="3">D15*F15</f>
        <v>0</v>
      </c>
      <c r="H15" s="190"/>
      <c r="I15" s="867"/>
      <c r="J15" s="341"/>
      <c r="K15" s="377"/>
      <c r="L15" s="377"/>
      <c r="M15" s="377"/>
      <c r="N15" s="378">
        <f t="shared" si="2"/>
        <v>0</v>
      </c>
      <c r="O15" s="207"/>
      <c r="P15" s="306"/>
      <c r="Q15" s="174"/>
      <c r="R15" s="202"/>
      <c r="S15" s="174"/>
      <c r="T15" s="821"/>
      <c r="U15" s="822"/>
      <c r="V15" s="197"/>
    </row>
    <row r="16" spans="1:22" ht="15" customHeight="1" thickBot="1" x14ac:dyDescent="0.2">
      <c r="B16" s="841"/>
      <c r="C16" s="181" t="s">
        <v>159</v>
      </c>
      <c r="D16" s="182"/>
      <c r="E16" s="182"/>
      <c r="F16" s="182"/>
      <c r="G16" s="183">
        <f>SUM(G12:G15)</f>
        <v>80000</v>
      </c>
      <c r="H16" s="190"/>
      <c r="I16" s="868"/>
      <c r="J16" s="307" t="s">
        <v>246</v>
      </c>
      <c r="K16" s="193">
        <f>SUM(K13:K15)</f>
        <v>4.4000000000000004</v>
      </c>
      <c r="L16" s="193">
        <f>SUM(L13:L15)</f>
        <v>3.3</v>
      </c>
      <c r="M16" s="193"/>
      <c r="N16" s="380">
        <f>SUM(N13:N15)</f>
        <v>2299.9679999999998</v>
      </c>
      <c r="O16" s="207"/>
      <c r="P16" s="306"/>
      <c r="Q16" s="174"/>
      <c r="R16" s="202"/>
      <c r="S16" s="174"/>
      <c r="T16" s="821"/>
      <c r="U16" s="822"/>
      <c r="V16" s="197"/>
    </row>
    <row r="17" spans="2:22" ht="15" customHeight="1" thickTop="1" x14ac:dyDescent="0.15">
      <c r="B17" s="838" t="s">
        <v>177</v>
      </c>
      <c r="C17" s="84"/>
      <c r="D17" s="84"/>
      <c r="E17" s="89"/>
      <c r="F17" s="84"/>
      <c r="G17" s="178">
        <f t="shared" ref="G17" si="4">D17*F17</f>
        <v>0</v>
      </c>
      <c r="H17" s="190"/>
      <c r="I17" s="866" t="s">
        <v>186</v>
      </c>
      <c r="J17" s="341"/>
      <c r="K17" s="377"/>
      <c r="L17" s="377"/>
      <c r="M17" s="377"/>
      <c r="N17" s="378">
        <f>K17*L17*M17</f>
        <v>0</v>
      </c>
      <c r="O17" s="207"/>
      <c r="P17" s="306"/>
      <c r="Q17" s="174"/>
      <c r="R17" s="339"/>
      <c r="S17" s="174"/>
      <c r="T17" s="821"/>
      <c r="U17" s="822"/>
      <c r="V17" s="197"/>
    </row>
    <row r="18" spans="2:22" ht="15" customHeight="1" x14ac:dyDescent="0.15">
      <c r="B18" s="839"/>
      <c r="C18" s="84"/>
      <c r="D18" s="84"/>
      <c r="E18" s="89"/>
      <c r="F18" s="84"/>
      <c r="G18" s="178">
        <f>D18*F18</f>
        <v>0</v>
      </c>
      <c r="H18" s="190"/>
      <c r="I18" s="867"/>
      <c r="J18" s="341"/>
      <c r="K18" s="377"/>
      <c r="L18" s="377"/>
      <c r="M18" s="377"/>
      <c r="N18" s="378">
        <f t="shared" ref="N18:N19" si="5">K18*L18*M18</f>
        <v>0</v>
      </c>
      <c r="O18" s="207"/>
      <c r="P18" s="306"/>
      <c r="Q18" s="174"/>
      <c r="R18" s="339"/>
      <c r="S18" s="174"/>
      <c r="T18" s="821"/>
      <c r="U18" s="822"/>
      <c r="V18" s="197"/>
    </row>
    <row r="19" spans="2:22" ht="15" customHeight="1" x14ac:dyDescent="0.15">
      <c r="B19" s="839"/>
      <c r="C19" s="84"/>
      <c r="D19" s="84"/>
      <c r="E19" s="84"/>
      <c r="F19" s="84"/>
      <c r="G19" s="178">
        <f t="shared" ref="G19" si="6">D19*F19</f>
        <v>0</v>
      </c>
      <c r="H19" s="190"/>
      <c r="I19" s="867"/>
      <c r="J19" s="341"/>
      <c r="K19" s="377"/>
      <c r="L19" s="377"/>
      <c r="M19" s="377"/>
      <c r="N19" s="378">
        <f t="shared" si="5"/>
        <v>0</v>
      </c>
      <c r="O19" s="207"/>
      <c r="P19" s="306"/>
      <c r="Q19" s="174"/>
      <c r="R19" s="202"/>
      <c r="S19" s="174"/>
      <c r="T19" s="821"/>
      <c r="U19" s="822"/>
      <c r="V19" s="197"/>
    </row>
    <row r="20" spans="2:22" ht="15" customHeight="1" thickBot="1" x14ac:dyDescent="0.2">
      <c r="B20" s="841"/>
      <c r="C20" s="181" t="s">
        <v>159</v>
      </c>
      <c r="D20" s="182"/>
      <c r="E20" s="182"/>
      <c r="F20" s="182"/>
      <c r="G20" s="183">
        <f>SUM(G17:G19)</f>
        <v>0</v>
      </c>
      <c r="H20" s="190"/>
      <c r="I20" s="868"/>
      <c r="J20" s="307" t="s">
        <v>248</v>
      </c>
      <c r="K20" s="193">
        <f>SUM(K17:K19)</f>
        <v>0</v>
      </c>
      <c r="L20" s="194">
        <f>SUM(L17:L19)</f>
        <v>0</v>
      </c>
      <c r="M20" s="195"/>
      <c r="N20" s="380">
        <f>SUM(N17:N19)</f>
        <v>0</v>
      </c>
      <c r="O20" s="207"/>
      <c r="P20" s="306"/>
      <c r="Q20" s="174"/>
      <c r="R20" s="202"/>
      <c r="S20" s="174"/>
      <c r="T20" s="821"/>
      <c r="U20" s="822"/>
      <c r="V20" s="197"/>
    </row>
    <row r="21" spans="2:22" ht="15" customHeight="1" thickTop="1" thickBot="1" x14ac:dyDescent="0.2">
      <c r="B21" s="838" t="s">
        <v>178</v>
      </c>
      <c r="C21" s="84" t="s">
        <v>493</v>
      </c>
      <c r="D21" s="84">
        <f>131*4.3</f>
        <v>563.29999999999995</v>
      </c>
      <c r="E21" s="89" t="s">
        <v>295</v>
      </c>
      <c r="F21" s="84">
        <f>510/20</f>
        <v>25.5</v>
      </c>
      <c r="G21" s="178">
        <f>D21*F21</f>
        <v>14364.15</v>
      </c>
      <c r="H21" s="190"/>
      <c r="I21" s="866" t="s">
        <v>187</v>
      </c>
      <c r="J21" s="341" t="s">
        <v>301</v>
      </c>
      <c r="K21" s="377">
        <v>28.2</v>
      </c>
      <c r="L21" s="377">
        <v>6.1</v>
      </c>
      <c r="M21" s="377">
        <v>102.1</v>
      </c>
      <c r="N21" s="378">
        <f>K21*L21*M21</f>
        <v>17563.241999999998</v>
      </c>
      <c r="O21" s="207"/>
      <c r="P21" s="198" t="s">
        <v>29</v>
      </c>
      <c r="Q21" s="199"/>
      <c r="R21" s="199"/>
      <c r="S21" s="199"/>
      <c r="T21" s="827"/>
      <c r="U21" s="818"/>
      <c r="V21" s="200">
        <f>SUM(V5:V20)</f>
        <v>5806.666666666667</v>
      </c>
    </row>
    <row r="22" spans="2:22" ht="15" customHeight="1" x14ac:dyDescent="0.15">
      <c r="B22" s="839"/>
      <c r="C22" s="84"/>
      <c r="D22" s="84"/>
      <c r="E22" s="89"/>
      <c r="F22" s="84"/>
      <c r="G22" s="178">
        <f>D22*F22</f>
        <v>0</v>
      </c>
      <c r="H22" s="190"/>
      <c r="I22" s="867"/>
      <c r="J22" s="341"/>
      <c r="K22" s="377"/>
      <c r="L22" s="377"/>
      <c r="M22" s="377"/>
      <c r="N22" s="378">
        <f t="shared" ref="N22:N23" si="7">K22*L22*M22</f>
        <v>0</v>
      </c>
      <c r="O22" s="207"/>
    </row>
    <row r="23" spans="2:22" ht="15" customHeight="1" thickBot="1" x14ac:dyDescent="0.2">
      <c r="B23" s="839"/>
      <c r="C23" s="84"/>
      <c r="D23" s="84"/>
      <c r="E23" s="89"/>
      <c r="F23" s="84"/>
      <c r="G23" s="178">
        <f>D23*F23</f>
        <v>0</v>
      </c>
      <c r="H23" s="190"/>
      <c r="I23" s="867"/>
      <c r="J23" s="341"/>
      <c r="K23" s="377"/>
      <c r="L23" s="377"/>
      <c r="M23" s="377"/>
      <c r="N23" s="378">
        <f t="shared" si="7"/>
        <v>0</v>
      </c>
      <c r="O23" s="207"/>
      <c r="P23" s="85" t="s">
        <v>242</v>
      </c>
    </row>
    <row r="24" spans="2:22" ht="15" customHeight="1" thickBot="1" x14ac:dyDescent="0.2">
      <c r="B24" s="840"/>
      <c r="C24" s="184" t="s">
        <v>160</v>
      </c>
      <c r="D24" s="185"/>
      <c r="E24" s="185"/>
      <c r="F24" s="192"/>
      <c r="G24" s="186">
        <f>SUM(G21:G23)</f>
        <v>14364.15</v>
      </c>
      <c r="H24" s="190"/>
      <c r="I24" s="868"/>
      <c r="J24" s="307" t="s">
        <v>248</v>
      </c>
      <c r="K24" s="193">
        <f>SUM(K21:K23)</f>
        <v>28.2</v>
      </c>
      <c r="L24" s="194">
        <f>SUM(L21:L23)</f>
        <v>6.1</v>
      </c>
      <c r="M24" s="195"/>
      <c r="N24" s="380">
        <f>SUM(N21:N23)</f>
        <v>17563.241999999998</v>
      </c>
      <c r="O24" s="207"/>
      <c r="P24" s="303" t="s">
        <v>194</v>
      </c>
      <c r="Q24" s="304" t="s">
        <v>189</v>
      </c>
      <c r="R24" s="304" t="s">
        <v>190</v>
      </c>
      <c r="S24" s="304" t="s">
        <v>249</v>
      </c>
      <c r="T24" s="304" t="s">
        <v>192</v>
      </c>
      <c r="U24" s="169" t="s">
        <v>195</v>
      </c>
      <c r="V24" s="305" t="s">
        <v>193</v>
      </c>
    </row>
    <row r="25" spans="2:22" ht="15" customHeight="1" thickTop="1" x14ac:dyDescent="0.15">
      <c r="I25" s="866" t="s">
        <v>267</v>
      </c>
      <c r="J25" s="341"/>
      <c r="K25" s="377"/>
      <c r="L25" s="377"/>
      <c r="M25" s="377"/>
      <c r="N25" s="378">
        <f>K25*L25*M25</f>
        <v>0</v>
      </c>
      <c r="O25" s="207"/>
      <c r="P25" s="471" t="s">
        <v>399</v>
      </c>
      <c r="Q25" s="460">
        <v>10</v>
      </c>
      <c r="R25" s="472" t="s">
        <v>245</v>
      </c>
      <c r="S25" s="460">
        <v>500</v>
      </c>
      <c r="T25" s="174">
        <v>2</v>
      </c>
      <c r="U25" s="175">
        <v>30</v>
      </c>
      <c r="V25" s="197">
        <f>Q25*S25/T25/U25</f>
        <v>83.333333333333329</v>
      </c>
    </row>
    <row r="26" spans="2:22" ht="15" customHeight="1" thickBot="1" x14ac:dyDescent="0.2">
      <c r="B26" s="13" t="s">
        <v>250</v>
      </c>
      <c r="C26" s="13"/>
      <c r="D26" s="87"/>
      <c r="E26" s="13"/>
      <c r="F26" s="87"/>
      <c r="G26" s="88"/>
      <c r="H26" s="191"/>
      <c r="I26" s="867"/>
      <c r="J26" s="341"/>
      <c r="K26" s="377"/>
      <c r="L26" s="377"/>
      <c r="M26" s="377"/>
      <c r="N26" s="378">
        <f t="shared" ref="N26:N27" si="8">K26*L26*M26</f>
        <v>0</v>
      </c>
      <c r="O26" s="207"/>
      <c r="P26" s="306"/>
      <c r="Q26" s="174"/>
      <c r="R26" s="202"/>
      <c r="S26" s="174"/>
      <c r="T26" s="174"/>
      <c r="U26" s="175"/>
      <c r="V26" s="197"/>
    </row>
    <row r="27" spans="2:22" ht="15" customHeight="1" x14ac:dyDescent="0.15">
      <c r="B27" s="302" t="s">
        <v>90</v>
      </c>
      <c r="C27" s="188" t="s">
        <v>152</v>
      </c>
      <c r="D27" s="188" t="s">
        <v>153</v>
      </c>
      <c r="E27" s="188" t="s">
        <v>154</v>
      </c>
      <c r="F27" s="398" t="s">
        <v>24</v>
      </c>
      <c r="G27" s="176" t="s">
        <v>155</v>
      </c>
      <c r="H27" s="189"/>
      <c r="I27" s="867"/>
      <c r="J27" s="341"/>
      <c r="K27" s="377"/>
      <c r="L27" s="377"/>
      <c r="M27" s="377"/>
      <c r="N27" s="378">
        <f t="shared" si="8"/>
        <v>0</v>
      </c>
      <c r="O27" s="207"/>
      <c r="P27" s="306"/>
      <c r="Q27" s="174"/>
      <c r="R27" s="202"/>
      <c r="S27" s="174"/>
      <c r="T27" s="174"/>
      <c r="U27" s="175"/>
      <c r="V27" s="197"/>
    </row>
    <row r="28" spans="2:22" ht="15" customHeight="1" thickBot="1" x14ac:dyDescent="0.2">
      <c r="B28" s="842" t="s">
        <v>30</v>
      </c>
      <c r="C28" s="84" t="s">
        <v>494</v>
      </c>
      <c r="D28" s="84">
        <v>300</v>
      </c>
      <c r="E28" s="89" t="s">
        <v>292</v>
      </c>
      <c r="F28" s="84">
        <f>62610/10000</f>
        <v>6.2610000000000001</v>
      </c>
      <c r="G28" s="177">
        <f>D28*F28</f>
        <v>1878.3</v>
      </c>
      <c r="H28" s="190"/>
      <c r="I28" s="868"/>
      <c r="J28" s="307" t="s">
        <v>246</v>
      </c>
      <c r="K28" s="193">
        <f>SUM(K25:K27)</f>
        <v>0</v>
      </c>
      <c r="L28" s="194">
        <f>SUM(L25:L27)</f>
        <v>0</v>
      </c>
      <c r="M28" s="195"/>
      <c r="N28" s="380">
        <f>SUM(N25:N27)</f>
        <v>0</v>
      </c>
      <c r="O28" s="207"/>
      <c r="P28" s="306"/>
      <c r="Q28" s="174"/>
      <c r="R28" s="202"/>
      <c r="S28" s="174"/>
      <c r="T28" s="174"/>
      <c r="U28" s="175"/>
      <c r="V28" s="197"/>
    </row>
    <row r="29" spans="2:22" ht="15" customHeight="1" thickTop="1" x14ac:dyDescent="0.15">
      <c r="B29" s="839"/>
      <c r="C29" s="371" t="s">
        <v>495</v>
      </c>
      <c r="D29" s="341">
        <v>180</v>
      </c>
      <c r="E29" s="89" t="s">
        <v>292</v>
      </c>
      <c r="F29" s="341">
        <f>4180/500</f>
        <v>8.36</v>
      </c>
      <c r="G29" s="177">
        <f>D29*F29</f>
        <v>1504.8</v>
      </c>
      <c r="H29" s="190"/>
      <c r="I29" s="866" t="s">
        <v>183</v>
      </c>
      <c r="J29" s="341" t="s">
        <v>301</v>
      </c>
      <c r="K29" s="377">
        <v>31.4</v>
      </c>
      <c r="L29" s="377">
        <v>3.2</v>
      </c>
      <c r="M29" s="377">
        <v>14</v>
      </c>
      <c r="N29" s="378">
        <f>K29*L29*M29</f>
        <v>1406.72</v>
      </c>
      <c r="O29" s="207"/>
      <c r="P29" s="306"/>
      <c r="Q29" s="174"/>
      <c r="R29" s="202"/>
      <c r="S29" s="174"/>
      <c r="T29" s="174"/>
      <c r="U29" s="175"/>
      <c r="V29" s="197"/>
    </row>
    <row r="30" spans="2:22" ht="15" customHeight="1" x14ac:dyDescent="0.15">
      <c r="B30" s="839"/>
      <c r="C30" s="84" t="s">
        <v>30</v>
      </c>
      <c r="D30" s="84">
        <v>1000</v>
      </c>
      <c r="E30" s="89" t="s">
        <v>307</v>
      </c>
      <c r="F30" s="84">
        <f>42580/20000</f>
        <v>2.129</v>
      </c>
      <c r="G30" s="177">
        <f>D30*F30</f>
        <v>2129</v>
      </c>
      <c r="H30" s="190"/>
      <c r="I30" s="867"/>
      <c r="J30" s="341" t="s">
        <v>303</v>
      </c>
      <c r="K30" s="377">
        <v>4</v>
      </c>
      <c r="L30" s="377">
        <v>1.9</v>
      </c>
      <c r="M30" s="377">
        <v>14</v>
      </c>
      <c r="N30" s="378">
        <f t="shared" ref="N30:N31" si="9">K30*L30*M30</f>
        <v>106.39999999999999</v>
      </c>
      <c r="O30" s="86"/>
      <c r="P30" s="306"/>
      <c r="Q30" s="174"/>
      <c r="R30" s="339"/>
      <c r="S30" s="174"/>
      <c r="T30" s="174"/>
      <c r="U30" s="340"/>
      <c r="V30" s="197"/>
    </row>
    <row r="31" spans="2:22" ht="15" customHeight="1" x14ac:dyDescent="0.15">
      <c r="B31" s="839"/>
      <c r="C31" s="371"/>
      <c r="D31" s="341"/>
      <c r="E31" s="89"/>
      <c r="F31" s="341"/>
      <c r="G31" s="178">
        <v>0</v>
      </c>
      <c r="H31" s="190"/>
      <c r="I31" s="867"/>
      <c r="J31" s="341" t="s">
        <v>304</v>
      </c>
      <c r="K31" s="377">
        <v>24.5</v>
      </c>
      <c r="L31" s="377">
        <v>6.7</v>
      </c>
      <c r="M31" s="377">
        <v>14</v>
      </c>
      <c r="N31" s="378">
        <f t="shared" si="9"/>
        <v>2298.1</v>
      </c>
      <c r="P31" s="306"/>
      <c r="Q31" s="174"/>
      <c r="R31" s="202"/>
      <c r="S31" s="174"/>
      <c r="T31" s="174"/>
      <c r="U31" s="175"/>
      <c r="V31" s="197"/>
    </row>
    <row r="32" spans="2:22" ht="15" customHeight="1" thickBot="1" x14ac:dyDescent="0.2">
      <c r="B32" s="839"/>
      <c r="C32" s="341"/>
      <c r="D32" s="341"/>
      <c r="E32" s="89"/>
      <c r="F32" s="341"/>
      <c r="G32" s="178">
        <f t="shared" ref="G32" si="10">D32*F32</f>
        <v>0</v>
      </c>
      <c r="H32" s="190"/>
      <c r="I32" s="871"/>
      <c r="J32" s="381" t="s">
        <v>251</v>
      </c>
      <c r="K32" s="382">
        <f>SUM(K29:K31)</f>
        <v>59.9</v>
      </c>
      <c r="L32" s="383">
        <f>SUM(L29:L31)</f>
        <v>11.8</v>
      </c>
      <c r="M32" s="384"/>
      <c r="N32" s="385">
        <f>SUM(N29:N31)</f>
        <v>3811.2200000000003</v>
      </c>
      <c r="P32" s="306"/>
      <c r="Q32" s="174"/>
      <c r="R32" s="202"/>
      <c r="S32" s="174"/>
      <c r="T32" s="174"/>
      <c r="U32" s="175"/>
      <c r="V32" s="197"/>
    </row>
    <row r="33" spans="2:22" ht="15" customHeight="1" x14ac:dyDescent="0.15">
      <c r="B33" s="839"/>
      <c r="C33" s="341"/>
      <c r="D33" s="341"/>
      <c r="E33" s="89"/>
      <c r="F33" s="341"/>
      <c r="G33" s="178">
        <f t="shared" ref="G33:G37" si="11">D33*F33</f>
        <v>0</v>
      </c>
      <c r="H33" s="190"/>
      <c r="I33" s="168"/>
      <c r="J33" s="168"/>
      <c r="K33" s="168"/>
      <c r="L33" s="168"/>
      <c r="M33" s="168"/>
      <c r="N33" s="168"/>
      <c r="P33" s="306"/>
      <c r="Q33" s="174"/>
      <c r="R33" s="202"/>
      <c r="S33" s="174"/>
      <c r="T33" s="174"/>
      <c r="U33" s="175"/>
      <c r="V33" s="197"/>
    </row>
    <row r="34" spans="2:22" ht="15" customHeight="1" thickBot="1" x14ac:dyDescent="0.2">
      <c r="B34" s="839"/>
      <c r="C34" s="341"/>
      <c r="D34" s="341"/>
      <c r="E34" s="89"/>
      <c r="F34" s="341"/>
      <c r="G34" s="178">
        <f t="shared" si="11"/>
        <v>0</v>
      </c>
      <c r="H34" s="190"/>
      <c r="I34" s="158" t="s">
        <v>240</v>
      </c>
      <c r="J34" s="158"/>
      <c r="K34" s="158"/>
      <c r="L34" s="158"/>
      <c r="M34" s="158"/>
      <c r="P34" s="310" t="s">
        <v>233</v>
      </c>
      <c r="Q34" s="199"/>
      <c r="R34" s="199"/>
      <c r="S34" s="199"/>
      <c r="T34" s="199"/>
      <c r="U34" s="201"/>
      <c r="V34" s="200">
        <f>SUM(V25:V33)</f>
        <v>83.333333333333329</v>
      </c>
    </row>
    <row r="35" spans="2:22" ht="15" customHeight="1" x14ac:dyDescent="0.15">
      <c r="B35" s="839"/>
      <c r="C35" s="341"/>
      <c r="D35" s="341"/>
      <c r="E35" s="89"/>
      <c r="F35" s="341"/>
      <c r="G35" s="178">
        <f t="shared" si="11"/>
        <v>0</v>
      </c>
      <c r="H35" s="190"/>
      <c r="I35" s="282" t="s">
        <v>228</v>
      </c>
      <c r="J35" s="283" t="s">
        <v>5</v>
      </c>
      <c r="K35" s="869" t="s">
        <v>229</v>
      </c>
      <c r="L35" s="870"/>
      <c r="M35" s="311" t="s">
        <v>195</v>
      </c>
      <c r="N35" s="309" t="s">
        <v>252</v>
      </c>
    </row>
    <row r="36" spans="2:22" ht="15" customHeight="1" thickBot="1" x14ac:dyDescent="0.2">
      <c r="B36" s="839"/>
      <c r="C36" s="341"/>
      <c r="D36" s="341"/>
      <c r="E36" s="89"/>
      <c r="F36" s="341"/>
      <c r="G36" s="178">
        <f t="shared" si="11"/>
        <v>0</v>
      </c>
      <c r="H36" s="190"/>
      <c r="I36" s="850" t="s">
        <v>2</v>
      </c>
      <c r="J36" s="187" t="str">
        <f>'６　資本装備と減価償却'!C5</f>
        <v>農機具庫</v>
      </c>
      <c r="K36" s="819">
        <f>'６　資本装備と減価償却'!I5</f>
        <v>5940000</v>
      </c>
      <c r="L36" s="819"/>
      <c r="M36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97">
        <f>+K36/M36*0.014*0.3</f>
        <v>831.6</v>
      </c>
      <c r="P36" s="158" t="s">
        <v>234</v>
      </c>
      <c r="Q36" s="158"/>
      <c r="R36" s="158"/>
      <c r="S36" s="158"/>
      <c r="T36" s="158"/>
    </row>
    <row r="37" spans="2:22" ht="15" customHeight="1" x14ac:dyDescent="0.15">
      <c r="B37" s="839"/>
      <c r="C37" s="341"/>
      <c r="D37" s="341"/>
      <c r="E37" s="89"/>
      <c r="F37" s="341"/>
      <c r="G37" s="178">
        <f t="shared" si="11"/>
        <v>0</v>
      </c>
      <c r="H37" s="190"/>
      <c r="I37" s="863"/>
      <c r="J37" s="187" t="str">
        <f>'６　資本装備と減価償却'!C6</f>
        <v>乾燥調製施設</v>
      </c>
      <c r="K37" s="819">
        <f>'６　資本装備と減価償却'!I6</f>
        <v>10692000</v>
      </c>
      <c r="L37" s="819"/>
      <c r="M37" s="428">
        <f>'１　対象経営の概要，２　前提条件'!$N$7+'１　対象経営の概要，２　前提条件'!$N$8+'１　対象経営の概要，２　前提条件'!$N$9</f>
        <v>30</v>
      </c>
      <c r="N37" s="297">
        <f>+K37/M37*0.014*0.3</f>
        <v>1496.88</v>
      </c>
      <c r="P37" s="282" t="s">
        <v>227</v>
      </c>
      <c r="Q37" s="820" t="s">
        <v>235</v>
      </c>
      <c r="R37" s="820"/>
      <c r="S37" s="296" t="s">
        <v>238</v>
      </c>
      <c r="T37" s="296" t="s">
        <v>237</v>
      </c>
      <c r="U37" s="311" t="s">
        <v>195</v>
      </c>
      <c r="V37" s="312" t="s">
        <v>252</v>
      </c>
    </row>
    <row r="38" spans="2:22" ht="15" customHeight="1" thickBot="1" x14ac:dyDescent="0.2">
      <c r="B38" s="841"/>
      <c r="C38" s="179" t="s">
        <v>158</v>
      </c>
      <c r="D38" s="179"/>
      <c r="E38" s="179"/>
      <c r="F38" s="179"/>
      <c r="G38" s="180">
        <f>SUM(G28:G37)</f>
        <v>5512.1</v>
      </c>
      <c r="H38" s="190"/>
      <c r="I38" s="863"/>
      <c r="J38" s="187" t="str">
        <f>'６　資本装備と減価償却'!C7</f>
        <v>育苗ハウス</v>
      </c>
      <c r="K38" s="819">
        <f>'６　資本装備と減価償却'!I7</f>
        <v>1761750</v>
      </c>
      <c r="L38" s="819"/>
      <c r="M38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297">
        <f>+K38/M38*0.014*0.3</f>
        <v>246.64499999999998</v>
      </c>
      <c r="O38" s="196"/>
      <c r="P38" s="861" t="s">
        <v>236</v>
      </c>
      <c r="Q38" s="288" t="s">
        <v>226</v>
      </c>
      <c r="R38" s="316"/>
      <c r="S38" s="289"/>
      <c r="T38" s="317"/>
      <c r="U38" s="289"/>
      <c r="V38" s="297">
        <v>3880</v>
      </c>
    </row>
    <row r="39" spans="2:22" ht="15" customHeight="1" thickTop="1" x14ac:dyDescent="0.15">
      <c r="B39" s="838" t="s">
        <v>179</v>
      </c>
      <c r="C39" s="404" t="s">
        <v>496</v>
      </c>
      <c r="D39" s="84">
        <v>60</v>
      </c>
      <c r="E39" s="89" t="s">
        <v>307</v>
      </c>
      <c r="F39" s="84">
        <f>1450/500</f>
        <v>2.9</v>
      </c>
      <c r="G39" s="178">
        <f>D39*F39</f>
        <v>174</v>
      </c>
      <c r="H39" s="190"/>
      <c r="I39" s="863"/>
      <c r="J39" s="187"/>
      <c r="K39" s="819"/>
      <c r="L39" s="819"/>
      <c r="M39" s="281"/>
      <c r="N39" s="297"/>
      <c r="O39" s="196"/>
      <c r="P39" s="815"/>
      <c r="Q39" s="288"/>
      <c r="R39" s="316"/>
      <c r="S39" s="289"/>
      <c r="T39" s="317"/>
      <c r="U39" s="289"/>
      <c r="V39" s="297"/>
    </row>
    <row r="40" spans="2:22" ht="15" customHeight="1" x14ac:dyDescent="0.15">
      <c r="B40" s="839"/>
      <c r="C40" s="84" t="s">
        <v>329</v>
      </c>
      <c r="D40" s="84">
        <v>1000</v>
      </c>
      <c r="E40" s="89" t="s">
        <v>307</v>
      </c>
      <c r="F40" s="84">
        <f>96020/20000</f>
        <v>4.8010000000000002</v>
      </c>
      <c r="G40" s="178">
        <f>D40*F40</f>
        <v>4801</v>
      </c>
      <c r="H40" s="190"/>
      <c r="I40" s="863"/>
      <c r="J40" s="187"/>
      <c r="K40" s="819"/>
      <c r="L40" s="819"/>
      <c r="M40" s="281"/>
      <c r="N40" s="297"/>
      <c r="O40" s="196"/>
      <c r="P40" s="815"/>
      <c r="Q40" s="288"/>
      <c r="R40" s="316"/>
      <c r="S40" s="289"/>
      <c r="T40" s="317"/>
      <c r="U40" s="289"/>
      <c r="V40" s="297"/>
    </row>
    <row r="41" spans="2:22" ht="15" customHeight="1" x14ac:dyDescent="0.15">
      <c r="B41" s="839"/>
      <c r="C41" s="84"/>
      <c r="D41" s="84"/>
      <c r="E41" s="89"/>
      <c r="F41" s="84"/>
      <c r="G41" s="178">
        <f>D41*F41</f>
        <v>0</v>
      </c>
      <c r="H41" s="190"/>
      <c r="I41" s="863"/>
      <c r="J41" s="187"/>
      <c r="K41" s="819"/>
      <c r="L41" s="819"/>
      <c r="M41" s="281"/>
      <c r="N41" s="297"/>
      <c r="O41" s="196"/>
      <c r="P41" s="815"/>
      <c r="Q41" s="288"/>
      <c r="R41" s="316"/>
      <c r="S41" s="289"/>
      <c r="T41" s="317"/>
      <c r="U41" s="289"/>
      <c r="V41" s="297"/>
    </row>
    <row r="42" spans="2:22" ht="15" customHeight="1" thickBot="1" x14ac:dyDescent="0.2">
      <c r="B42" s="839"/>
      <c r="C42" s="84"/>
      <c r="D42" s="84"/>
      <c r="E42" s="89"/>
      <c r="F42" s="84"/>
      <c r="G42" s="178">
        <f t="shared" ref="G42:G47" si="12">D42*F42</f>
        <v>0</v>
      </c>
      <c r="H42" s="190"/>
      <c r="I42" s="864"/>
      <c r="J42" s="284" t="s">
        <v>159</v>
      </c>
      <c r="K42" s="845"/>
      <c r="L42" s="846"/>
      <c r="M42" s="285"/>
      <c r="N42" s="293">
        <f>SUM(N36:N41)</f>
        <v>2575.125</v>
      </c>
      <c r="O42" s="196"/>
      <c r="P42" s="815"/>
      <c r="Q42" s="288"/>
      <c r="R42" s="316"/>
      <c r="S42" s="289"/>
      <c r="T42" s="317"/>
      <c r="U42" s="289"/>
      <c r="V42" s="297"/>
    </row>
    <row r="43" spans="2:22" ht="15" customHeight="1" thickTop="1" x14ac:dyDescent="0.15">
      <c r="B43" s="839"/>
      <c r="C43" s="84"/>
      <c r="D43" s="84"/>
      <c r="E43" s="89"/>
      <c r="F43" s="84"/>
      <c r="G43" s="178">
        <f t="shared" si="12"/>
        <v>0</v>
      </c>
      <c r="H43" s="190"/>
      <c r="I43" s="848" t="s">
        <v>230</v>
      </c>
      <c r="J43" s="286" t="s">
        <v>253</v>
      </c>
      <c r="K43" s="847">
        <v>8200</v>
      </c>
      <c r="L43" s="847"/>
      <c r="M43" s="287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14">
        <f>+K43/M43</f>
        <v>273.33333333333331</v>
      </c>
      <c r="O43" s="196"/>
      <c r="P43" s="815"/>
      <c r="Q43" s="288"/>
      <c r="R43" s="316"/>
      <c r="S43" s="289"/>
      <c r="T43" s="317"/>
      <c r="U43" s="289"/>
      <c r="V43" s="297"/>
    </row>
    <row r="44" spans="2:22" ht="15" customHeight="1" thickBot="1" x14ac:dyDescent="0.2">
      <c r="B44" s="839"/>
      <c r="C44" s="84"/>
      <c r="D44" s="84"/>
      <c r="E44" s="89"/>
      <c r="F44" s="84"/>
      <c r="G44" s="178">
        <f t="shared" si="12"/>
        <v>0</v>
      </c>
      <c r="H44" s="190"/>
      <c r="I44" s="849"/>
      <c r="J44" s="288"/>
      <c r="K44" s="819"/>
      <c r="L44" s="819"/>
      <c r="M44" s="281"/>
      <c r="N44" s="297"/>
      <c r="O44" s="196"/>
      <c r="P44" s="862"/>
      <c r="Q44" s="298" t="s">
        <v>239</v>
      </c>
      <c r="R44" s="299"/>
      <c r="S44" s="299"/>
      <c r="T44" s="299"/>
      <c r="U44" s="299"/>
      <c r="V44" s="300">
        <f>SUM(V38:V43)</f>
        <v>3880</v>
      </c>
    </row>
    <row r="45" spans="2:22" ht="15" customHeight="1" thickTop="1" x14ac:dyDescent="0.15">
      <c r="B45" s="839"/>
      <c r="C45" s="84"/>
      <c r="D45" s="84"/>
      <c r="E45" s="89"/>
      <c r="F45" s="84"/>
      <c r="G45" s="178">
        <f t="shared" si="12"/>
        <v>0</v>
      </c>
      <c r="H45" s="190"/>
      <c r="I45" s="849"/>
      <c r="J45" s="187"/>
      <c r="K45" s="819"/>
      <c r="L45" s="819"/>
      <c r="M45" s="281"/>
      <c r="N45" s="297"/>
      <c r="O45" s="196"/>
      <c r="P45" s="814" t="s">
        <v>244</v>
      </c>
      <c r="Q45" s="811" t="s">
        <v>255</v>
      </c>
      <c r="R45" s="318" t="s">
        <v>256</v>
      </c>
      <c r="S45" s="286">
        <v>35750</v>
      </c>
      <c r="T45" s="319">
        <v>1</v>
      </c>
      <c r="U45" s="286">
        <v>30</v>
      </c>
      <c r="V45" s="313">
        <f>+S45*T45/U45</f>
        <v>1191.6666666666667</v>
      </c>
    </row>
    <row r="46" spans="2:22" ht="15" customHeight="1" thickBot="1" x14ac:dyDescent="0.2">
      <c r="B46" s="839"/>
      <c r="C46" s="84"/>
      <c r="D46" s="84"/>
      <c r="E46" s="89"/>
      <c r="F46" s="84"/>
      <c r="G46" s="178">
        <f t="shared" si="12"/>
        <v>0</v>
      </c>
      <c r="H46" s="190"/>
      <c r="I46" s="865"/>
      <c r="J46" s="284" t="s">
        <v>159</v>
      </c>
      <c r="K46" s="845"/>
      <c r="L46" s="846"/>
      <c r="M46" s="285"/>
      <c r="N46" s="293">
        <f>SUM(N43:N45)</f>
        <v>273.33333333333331</v>
      </c>
      <c r="O46" s="196"/>
      <c r="P46" s="815"/>
      <c r="Q46" s="812"/>
      <c r="R46" s="320" t="s">
        <v>243</v>
      </c>
      <c r="S46" s="288">
        <v>15600</v>
      </c>
      <c r="T46" s="317">
        <v>1</v>
      </c>
      <c r="U46" s="288">
        <v>30</v>
      </c>
      <c r="V46" s="297">
        <f>+S46*T46/U46</f>
        <v>520</v>
      </c>
    </row>
    <row r="47" spans="2:22" ht="15" customHeight="1" thickTop="1" x14ac:dyDescent="0.15">
      <c r="B47" s="839"/>
      <c r="C47" s="84"/>
      <c r="D47" s="84"/>
      <c r="E47" s="89"/>
      <c r="F47" s="84"/>
      <c r="G47" s="178">
        <f t="shared" si="12"/>
        <v>0</v>
      </c>
      <c r="H47" s="190"/>
      <c r="I47" s="848" t="s">
        <v>231</v>
      </c>
      <c r="J47" s="286" t="s">
        <v>254</v>
      </c>
      <c r="K47" s="847">
        <v>11500</v>
      </c>
      <c r="L47" s="847"/>
      <c r="M47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3">
        <f>K47/M47</f>
        <v>383.33333333333331</v>
      </c>
      <c r="O47" s="196"/>
      <c r="P47" s="815"/>
      <c r="Q47" s="812"/>
      <c r="R47" s="320"/>
      <c r="S47" s="288"/>
      <c r="T47" s="288"/>
      <c r="U47" s="187"/>
      <c r="V47" s="321"/>
    </row>
    <row r="48" spans="2:22" ht="15" customHeight="1" x14ac:dyDescent="0.15">
      <c r="B48" s="839"/>
      <c r="C48" s="84"/>
      <c r="D48" s="84"/>
      <c r="E48" s="89"/>
      <c r="F48" s="84"/>
      <c r="G48" s="178">
        <f t="shared" ref="G48:G52" si="13">D48*F48</f>
        <v>0</v>
      </c>
      <c r="H48" s="190"/>
      <c r="I48" s="849"/>
      <c r="J48" s="288"/>
      <c r="K48" s="819"/>
      <c r="L48" s="819"/>
      <c r="M48" s="281"/>
      <c r="N48" s="297"/>
      <c r="O48" s="196"/>
      <c r="P48" s="815"/>
      <c r="Q48" s="812"/>
      <c r="R48" s="320"/>
      <c r="S48" s="288"/>
      <c r="T48" s="317"/>
      <c r="U48" s="288"/>
      <c r="V48" s="297"/>
    </row>
    <row r="49" spans="2:22" ht="15" customHeight="1" thickBot="1" x14ac:dyDescent="0.2">
      <c r="B49" s="841"/>
      <c r="C49" s="181" t="s">
        <v>159</v>
      </c>
      <c r="D49" s="182"/>
      <c r="E49" s="182"/>
      <c r="F49" s="182"/>
      <c r="G49" s="183">
        <f>SUM(G39:G48)</f>
        <v>4975</v>
      </c>
      <c r="H49" s="190"/>
      <c r="I49" s="849"/>
      <c r="J49" s="187"/>
      <c r="K49" s="819"/>
      <c r="L49" s="819"/>
      <c r="M49" s="281"/>
      <c r="N49" s="297"/>
      <c r="O49" s="196"/>
      <c r="P49" s="815"/>
      <c r="Q49" s="813"/>
      <c r="R49" s="320"/>
      <c r="S49" s="288"/>
      <c r="T49" s="288"/>
      <c r="U49" s="187"/>
      <c r="V49" s="321"/>
    </row>
    <row r="50" spans="2:22" ht="15" customHeight="1" thickTop="1" thickBot="1" x14ac:dyDescent="0.2">
      <c r="B50" s="838" t="s">
        <v>32</v>
      </c>
      <c r="C50" s="84" t="s">
        <v>497</v>
      </c>
      <c r="D50" s="84">
        <v>10</v>
      </c>
      <c r="E50" s="89" t="s">
        <v>286</v>
      </c>
      <c r="F50" s="84">
        <f>24330/10</f>
        <v>2433</v>
      </c>
      <c r="G50" s="178">
        <f t="shared" si="13"/>
        <v>24330</v>
      </c>
      <c r="H50" s="190"/>
      <c r="I50" s="865"/>
      <c r="J50" s="284" t="s">
        <v>159</v>
      </c>
      <c r="K50" s="845"/>
      <c r="L50" s="846"/>
      <c r="M50" s="285"/>
      <c r="N50" s="293">
        <f>SUM(N47:N49)</f>
        <v>383.33333333333331</v>
      </c>
      <c r="O50" s="196"/>
      <c r="P50" s="815"/>
      <c r="Q50" s="298" t="s">
        <v>239</v>
      </c>
      <c r="R50" s="299"/>
      <c r="S50" s="299"/>
      <c r="T50" s="299"/>
      <c r="U50" s="299"/>
      <c r="V50" s="300">
        <f>SUM(V45:V49)</f>
        <v>1711.6666666666667</v>
      </c>
    </row>
    <row r="51" spans="2:22" ht="15" customHeight="1" thickTop="1" x14ac:dyDescent="0.15">
      <c r="B51" s="839"/>
      <c r="C51" s="84"/>
      <c r="D51" s="84"/>
      <c r="E51" s="84"/>
      <c r="F51" s="84"/>
      <c r="G51" s="178">
        <f t="shared" si="13"/>
        <v>0</v>
      </c>
      <c r="H51" s="190"/>
      <c r="I51" s="848" t="s">
        <v>232</v>
      </c>
      <c r="J51" s="286" t="s">
        <v>54</v>
      </c>
      <c r="K51" s="851">
        <v>2400</v>
      </c>
      <c r="L51" s="852"/>
      <c r="M51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4">
        <f>+K51/M51</f>
        <v>80</v>
      </c>
      <c r="O51" s="196"/>
      <c r="P51" s="815"/>
      <c r="Q51" s="811" t="s">
        <v>257</v>
      </c>
      <c r="R51" s="318" t="s">
        <v>256</v>
      </c>
      <c r="S51" s="286">
        <v>60000</v>
      </c>
      <c r="T51" s="319">
        <v>1</v>
      </c>
      <c r="U51" s="286">
        <v>30</v>
      </c>
      <c r="V51" s="313">
        <f>+S51*T51/U51</f>
        <v>2000</v>
      </c>
    </row>
    <row r="52" spans="2:22" ht="15" customHeight="1" x14ac:dyDescent="0.15">
      <c r="B52" s="839"/>
      <c r="C52" s="84"/>
      <c r="D52" s="84"/>
      <c r="E52" s="84"/>
      <c r="F52" s="84"/>
      <c r="G52" s="178">
        <f t="shared" si="13"/>
        <v>0</v>
      </c>
      <c r="H52" s="190"/>
      <c r="I52" s="849"/>
      <c r="J52" s="288" t="s">
        <v>54</v>
      </c>
      <c r="K52" s="853">
        <v>2400</v>
      </c>
      <c r="L52" s="854"/>
      <c r="M52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297">
        <f t="shared" ref="N52:N55" si="14">+K52/M52</f>
        <v>80</v>
      </c>
      <c r="O52" s="196"/>
      <c r="P52" s="815"/>
      <c r="Q52" s="812"/>
      <c r="R52" s="320" t="s">
        <v>243</v>
      </c>
      <c r="S52" s="288">
        <v>25000</v>
      </c>
      <c r="T52" s="317">
        <v>1</v>
      </c>
      <c r="U52" s="288">
        <v>30</v>
      </c>
      <c r="V52" s="297">
        <f>+S52*T52/U52</f>
        <v>833.33333333333337</v>
      </c>
    </row>
    <row r="53" spans="2:22" ht="15" customHeight="1" thickBot="1" x14ac:dyDescent="0.2">
      <c r="B53" s="841"/>
      <c r="C53" s="181" t="s">
        <v>159</v>
      </c>
      <c r="D53" s="182"/>
      <c r="E53" s="182"/>
      <c r="F53" s="182"/>
      <c r="G53" s="183">
        <f>SUM(G50:G52)</f>
        <v>24330</v>
      </c>
      <c r="H53" s="190"/>
      <c r="I53" s="849"/>
      <c r="J53" s="288" t="s">
        <v>56</v>
      </c>
      <c r="K53" s="855">
        <v>2400</v>
      </c>
      <c r="L53" s="856"/>
      <c r="M53" s="301">
        <f>'１　対象経営の概要，２　前提条件'!N7</f>
        <v>30</v>
      </c>
      <c r="N53" s="297">
        <f t="shared" si="14"/>
        <v>80</v>
      </c>
      <c r="O53" s="196"/>
      <c r="P53" s="815"/>
      <c r="Q53" s="812"/>
      <c r="R53" s="320"/>
      <c r="S53" s="288"/>
      <c r="T53" s="288"/>
      <c r="U53" s="187"/>
      <c r="V53" s="321"/>
    </row>
    <row r="54" spans="2:22" ht="13.9" customHeight="1" thickTop="1" x14ac:dyDescent="0.15">
      <c r="B54" s="838" t="s">
        <v>326</v>
      </c>
      <c r="C54" s="84" t="s">
        <v>498</v>
      </c>
      <c r="D54" s="403">
        <f>131*50/1000</f>
        <v>6.55</v>
      </c>
      <c r="E54" s="89" t="s">
        <v>286</v>
      </c>
      <c r="F54" s="84">
        <f>9650/3</f>
        <v>3216.6666666666665</v>
      </c>
      <c r="G54" s="177">
        <f>D54*F54</f>
        <v>21069.166666666664</v>
      </c>
      <c r="I54" s="849"/>
      <c r="J54" s="281" t="s">
        <v>243</v>
      </c>
      <c r="K54" s="857">
        <v>5000</v>
      </c>
      <c r="L54" s="858"/>
      <c r="M54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297">
        <f t="shared" si="14"/>
        <v>166.66666666666666</v>
      </c>
      <c r="O54" s="196"/>
      <c r="P54" s="815"/>
      <c r="Q54" s="812"/>
      <c r="R54" s="320"/>
      <c r="S54" s="288"/>
      <c r="T54" s="317"/>
      <c r="U54" s="288"/>
      <c r="V54" s="297"/>
    </row>
    <row r="55" spans="2:22" x14ac:dyDescent="0.15">
      <c r="B55" s="839"/>
      <c r="C55" s="84" t="s">
        <v>499</v>
      </c>
      <c r="D55" s="84">
        <v>1000</v>
      </c>
      <c r="E55" s="89" t="s">
        <v>292</v>
      </c>
      <c r="F55" s="84">
        <f>68710/10000</f>
        <v>6.8710000000000004</v>
      </c>
      <c r="G55" s="178">
        <f>D55*F55</f>
        <v>6871</v>
      </c>
      <c r="I55" s="849"/>
      <c r="J55" s="288" t="s">
        <v>456</v>
      </c>
      <c r="K55" s="855">
        <v>5900</v>
      </c>
      <c r="L55" s="856"/>
      <c r="M55" s="301">
        <v>30</v>
      </c>
      <c r="N55" s="315">
        <f t="shared" si="14"/>
        <v>196.66666666666666</v>
      </c>
      <c r="O55" s="196"/>
      <c r="P55" s="815"/>
      <c r="Q55" s="813"/>
      <c r="R55" s="320"/>
      <c r="S55" s="288"/>
      <c r="T55" s="288"/>
      <c r="U55" s="187"/>
      <c r="V55" s="321"/>
    </row>
    <row r="56" spans="2:22" x14ac:dyDescent="0.15">
      <c r="B56" s="839"/>
      <c r="C56" s="84"/>
      <c r="D56" s="84"/>
      <c r="E56" s="89"/>
      <c r="F56" s="84"/>
      <c r="G56" s="178">
        <f>D56*F56</f>
        <v>0</v>
      </c>
      <c r="I56" s="850"/>
      <c r="J56" s="290" t="s">
        <v>159</v>
      </c>
      <c r="K56" s="859"/>
      <c r="L56" s="860"/>
      <c r="M56" s="291"/>
      <c r="N56" s="294">
        <f>SUM(N51:N55)</f>
        <v>603.33333333333326</v>
      </c>
      <c r="O56" s="196"/>
      <c r="P56" s="816"/>
      <c r="Q56" s="324" t="s">
        <v>239</v>
      </c>
      <c r="R56" s="325"/>
      <c r="S56" s="325"/>
      <c r="T56" s="325"/>
      <c r="U56" s="325"/>
      <c r="V56" s="326">
        <f>SUM(V51:V55)</f>
        <v>2833.3333333333335</v>
      </c>
    </row>
    <row r="57" spans="2:22" ht="14.25" thickBot="1" x14ac:dyDescent="0.2">
      <c r="B57" s="840"/>
      <c r="C57" s="184" t="s">
        <v>160</v>
      </c>
      <c r="D57" s="185"/>
      <c r="E57" s="185"/>
      <c r="F57" s="185"/>
      <c r="G57" s="186">
        <f>SUM(G54:G56)</f>
        <v>27940.166666666664</v>
      </c>
      <c r="I57" s="817" t="s">
        <v>233</v>
      </c>
      <c r="J57" s="818"/>
      <c r="K57" s="843"/>
      <c r="L57" s="844"/>
      <c r="M57" s="201"/>
      <c r="N57" s="295">
        <f>SUM(N42,N46,N50,N56)</f>
        <v>3835.125</v>
      </c>
      <c r="O57" s="196"/>
      <c r="P57" s="809" t="s">
        <v>233</v>
      </c>
      <c r="Q57" s="810"/>
      <c r="R57" s="322"/>
      <c r="S57" s="322"/>
      <c r="T57" s="322"/>
      <c r="U57" s="322"/>
      <c r="V57" s="323">
        <f>SUM(V44,V50,V56)</f>
        <v>8425</v>
      </c>
    </row>
    <row r="58" spans="2:22" x14ac:dyDescent="0.15">
      <c r="O58" s="196"/>
      <c r="V58" s="85"/>
    </row>
    <row r="59" spans="2:22" x14ac:dyDescent="0.15">
      <c r="I59" s="196"/>
      <c r="J59" s="196"/>
      <c r="K59" s="196"/>
      <c r="L59" s="196"/>
      <c r="M59" s="196"/>
      <c r="N59" s="196"/>
      <c r="O59" s="196"/>
    </row>
    <row r="60" spans="2:22" x14ac:dyDescent="0.15">
      <c r="I60" s="196"/>
      <c r="J60" s="196"/>
      <c r="K60" s="196"/>
      <c r="L60" s="196"/>
      <c r="M60" s="196"/>
      <c r="N60" s="196"/>
      <c r="O60" s="196"/>
    </row>
    <row r="61" spans="2:22" x14ac:dyDescent="0.15">
      <c r="I61" s="196"/>
      <c r="J61" s="196"/>
      <c r="K61" s="196"/>
      <c r="L61" s="196"/>
      <c r="M61" s="196"/>
      <c r="N61" s="196"/>
      <c r="O61" s="196"/>
    </row>
    <row r="62" spans="2:22" x14ac:dyDescent="0.15">
      <c r="I62" s="196"/>
      <c r="J62" s="196"/>
      <c r="K62" s="196"/>
      <c r="L62" s="196"/>
      <c r="M62" s="196"/>
      <c r="N62" s="196"/>
      <c r="O62" s="196"/>
    </row>
    <row r="63" spans="2:22" x14ac:dyDescent="0.15">
      <c r="I63" s="196"/>
      <c r="J63" s="196"/>
      <c r="K63" s="196"/>
      <c r="L63" s="196"/>
      <c r="M63" s="196"/>
      <c r="N63" s="196"/>
      <c r="O63" s="196"/>
    </row>
    <row r="64" spans="2:22" x14ac:dyDescent="0.15">
      <c r="I64" s="196"/>
      <c r="J64" s="196"/>
      <c r="K64" s="196"/>
      <c r="L64" s="196"/>
      <c r="M64" s="196"/>
      <c r="N64" s="196"/>
      <c r="O64" s="196"/>
    </row>
    <row r="65" spans="9:15" x14ac:dyDescent="0.15">
      <c r="I65" s="196"/>
      <c r="J65" s="196"/>
      <c r="K65" s="196"/>
      <c r="L65" s="196"/>
      <c r="M65" s="196"/>
      <c r="N65" s="196"/>
      <c r="O65" s="196"/>
    </row>
    <row r="66" spans="9:15" x14ac:dyDescent="0.15">
      <c r="I66" s="196"/>
      <c r="J66" s="196"/>
      <c r="K66" s="196"/>
      <c r="L66" s="196"/>
      <c r="M66" s="196"/>
      <c r="N66" s="196"/>
      <c r="O66" s="196"/>
    </row>
    <row r="67" spans="9:15" x14ac:dyDescent="0.15">
      <c r="I67" s="196"/>
      <c r="J67" s="196"/>
      <c r="K67" s="196"/>
      <c r="L67" s="196"/>
      <c r="M67" s="196"/>
      <c r="N67" s="196"/>
      <c r="O67" s="196"/>
    </row>
    <row r="68" spans="9:15" x14ac:dyDescent="0.15">
      <c r="I68" s="196"/>
      <c r="J68" s="196"/>
      <c r="K68" s="196"/>
      <c r="L68" s="196"/>
      <c r="M68" s="196"/>
      <c r="N68" s="196"/>
      <c r="O68" s="196"/>
    </row>
    <row r="69" spans="9:15" x14ac:dyDescent="0.15">
      <c r="I69" s="196"/>
      <c r="J69" s="196"/>
      <c r="K69" s="196"/>
      <c r="L69" s="196"/>
      <c r="M69" s="196"/>
      <c r="N69" s="196"/>
      <c r="O69" s="196"/>
    </row>
    <row r="70" spans="9:15" x14ac:dyDescent="0.15">
      <c r="I70" s="196"/>
      <c r="J70" s="196"/>
      <c r="K70" s="196"/>
      <c r="L70" s="196"/>
      <c r="M70" s="196"/>
      <c r="N70" s="196"/>
      <c r="O70" s="196"/>
    </row>
    <row r="71" spans="9:15" x14ac:dyDescent="0.15">
      <c r="I71" s="196"/>
      <c r="J71" s="196"/>
      <c r="K71" s="196"/>
      <c r="L71" s="196"/>
      <c r="M71" s="196"/>
      <c r="N71" s="196"/>
      <c r="O71" s="196"/>
    </row>
    <row r="72" spans="9:15" x14ac:dyDescent="0.15">
      <c r="I72" s="196"/>
      <c r="J72" s="196"/>
      <c r="K72" s="196"/>
      <c r="L72" s="196"/>
      <c r="M72" s="196"/>
      <c r="N72" s="196"/>
      <c r="O72" s="196"/>
    </row>
    <row r="73" spans="9:15" x14ac:dyDescent="0.15">
      <c r="I73" s="196"/>
      <c r="J73" s="196"/>
      <c r="K73" s="196"/>
      <c r="L73" s="196"/>
      <c r="M73" s="196"/>
      <c r="N73" s="196"/>
      <c r="O73" s="196"/>
    </row>
    <row r="74" spans="9:15" x14ac:dyDescent="0.15">
      <c r="I74" s="196"/>
      <c r="J74" s="196"/>
      <c r="K74" s="196"/>
      <c r="L74" s="196"/>
      <c r="M74" s="196"/>
      <c r="N74" s="196"/>
      <c r="O74" s="196"/>
    </row>
    <row r="75" spans="9:15" x14ac:dyDescent="0.15">
      <c r="I75" s="196"/>
      <c r="J75" s="196"/>
      <c r="K75" s="196"/>
      <c r="L75" s="196"/>
      <c r="M75" s="196"/>
      <c r="N75" s="196"/>
      <c r="O75" s="196"/>
    </row>
    <row r="76" spans="9:15" x14ac:dyDescent="0.15">
      <c r="I76" s="196"/>
      <c r="J76" s="196"/>
      <c r="K76" s="196"/>
      <c r="L76" s="196"/>
      <c r="M76" s="196"/>
      <c r="N76" s="196"/>
      <c r="O76" s="196"/>
    </row>
    <row r="77" spans="9:15" x14ac:dyDescent="0.15">
      <c r="I77" s="196"/>
      <c r="J77" s="196"/>
      <c r="K77" s="196"/>
      <c r="L77" s="196"/>
      <c r="M77" s="196"/>
      <c r="N77" s="196"/>
      <c r="O77" s="196"/>
    </row>
    <row r="78" spans="9:15" x14ac:dyDescent="0.15">
      <c r="I78" s="196"/>
      <c r="J78" s="196"/>
      <c r="K78" s="196"/>
      <c r="L78" s="196"/>
      <c r="M78" s="196"/>
      <c r="N78" s="196"/>
      <c r="O78" s="196"/>
    </row>
    <row r="79" spans="9:15" x14ac:dyDescent="0.15">
      <c r="I79" s="196"/>
      <c r="J79" s="196"/>
      <c r="K79" s="196"/>
      <c r="L79" s="196"/>
      <c r="M79" s="196"/>
      <c r="N79" s="196"/>
      <c r="O79" s="196"/>
    </row>
    <row r="80" spans="9:15" x14ac:dyDescent="0.15">
      <c r="I80" s="196"/>
      <c r="J80" s="196"/>
      <c r="K80" s="196"/>
      <c r="L80" s="196"/>
      <c r="M80" s="196"/>
      <c r="N80" s="196"/>
      <c r="O80" s="196"/>
    </row>
    <row r="81" spans="2:15" x14ac:dyDescent="0.15">
      <c r="I81" s="196"/>
      <c r="J81" s="196"/>
      <c r="K81" s="196"/>
      <c r="L81" s="196"/>
      <c r="M81" s="196"/>
      <c r="N81" s="196"/>
      <c r="O81" s="196"/>
    </row>
    <row r="82" spans="2:15" x14ac:dyDescent="0.15">
      <c r="I82" s="196"/>
      <c r="J82" s="196"/>
      <c r="K82" s="196"/>
      <c r="L82" s="196"/>
      <c r="M82" s="196"/>
      <c r="N82" s="196"/>
      <c r="O82" s="196"/>
    </row>
    <row r="83" spans="2:15" x14ac:dyDescent="0.15">
      <c r="B83" s="189"/>
      <c r="C83" s="190"/>
      <c r="D83" s="190"/>
      <c r="E83" s="190"/>
      <c r="F83" s="190"/>
      <c r="I83" s="196"/>
      <c r="J83" s="196"/>
      <c r="K83" s="196"/>
      <c r="L83" s="196"/>
      <c r="M83" s="196"/>
      <c r="N83" s="196"/>
      <c r="O83" s="196"/>
    </row>
    <row r="84" spans="2:15" x14ac:dyDescent="0.15">
      <c r="B84" s="189"/>
      <c r="C84" s="190"/>
      <c r="D84" s="190"/>
      <c r="E84" s="190"/>
      <c r="F84" s="190"/>
      <c r="I84" s="196"/>
      <c r="J84" s="196"/>
      <c r="K84" s="196"/>
      <c r="L84" s="196"/>
      <c r="M84" s="196"/>
      <c r="N84" s="196"/>
      <c r="O84" s="196"/>
    </row>
    <row r="85" spans="2:15" x14ac:dyDescent="0.15">
      <c r="I85" s="196"/>
      <c r="J85" s="196"/>
      <c r="K85" s="196"/>
      <c r="L85" s="196"/>
      <c r="M85" s="196"/>
      <c r="N85" s="196"/>
      <c r="O85" s="196"/>
    </row>
    <row r="86" spans="2:15" x14ac:dyDescent="0.15">
      <c r="I86" s="196"/>
      <c r="J86" s="196"/>
      <c r="K86" s="196"/>
      <c r="L86" s="196"/>
      <c r="M86" s="196"/>
      <c r="N86" s="196"/>
      <c r="O86" s="196"/>
    </row>
    <row r="87" spans="2:15" x14ac:dyDescent="0.15">
      <c r="I87" s="196"/>
      <c r="J87" s="196"/>
      <c r="K87" s="196"/>
      <c r="L87" s="196"/>
      <c r="M87" s="196"/>
      <c r="N87" s="196"/>
      <c r="O87" s="196"/>
    </row>
    <row r="88" spans="2:15" x14ac:dyDescent="0.15">
      <c r="I88" s="196"/>
      <c r="J88" s="196"/>
      <c r="K88" s="196"/>
      <c r="L88" s="196"/>
      <c r="M88" s="196"/>
      <c r="N88" s="196"/>
      <c r="O88" s="196"/>
    </row>
    <row r="89" spans="2:15" x14ac:dyDescent="0.15">
      <c r="I89" s="196"/>
      <c r="J89" s="196"/>
      <c r="K89" s="196"/>
      <c r="L89" s="196"/>
      <c r="M89" s="196"/>
      <c r="N89" s="196"/>
      <c r="O89" s="196"/>
    </row>
    <row r="90" spans="2:15" x14ac:dyDescent="0.15">
      <c r="I90" s="196"/>
      <c r="J90" s="196"/>
      <c r="K90" s="196"/>
      <c r="L90" s="196"/>
      <c r="M90" s="196"/>
      <c r="N90" s="196"/>
      <c r="O90" s="196"/>
    </row>
    <row r="91" spans="2:15" x14ac:dyDescent="0.15">
      <c r="I91" s="196"/>
      <c r="J91" s="196"/>
      <c r="K91" s="196"/>
      <c r="L91" s="196"/>
      <c r="M91" s="196"/>
      <c r="N91" s="196"/>
      <c r="O91" s="196"/>
    </row>
    <row r="92" spans="2:15" x14ac:dyDescent="0.15">
      <c r="I92" s="196"/>
      <c r="J92" s="196"/>
      <c r="K92" s="196"/>
      <c r="L92" s="196"/>
      <c r="M92" s="196"/>
      <c r="N92" s="196"/>
      <c r="O92" s="196"/>
    </row>
    <row r="93" spans="2:15" x14ac:dyDescent="0.15">
      <c r="I93" s="196"/>
      <c r="J93" s="196"/>
      <c r="K93" s="196"/>
      <c r="L93" s="196"/>
      <c r="M93" s="196"/>
      <c r="N93" s="196"/>
      <c r="O93" s="196"/>
    </row>
    <row r="94" spans="2:15" x14ac:dyDescent="0.15">
      <c r="I94" s="196"/>
      <c r="J94" s="196"/>
      <c r="K94" s="196"/>
      <c r="L94" s="196"/>
      <c r="M94" s="196"/>
      <c r="N94" s="196"/>
      <c r="O94" s="196"/>
    </row>
    <row r="95" spans="2:15" x14ac:dyDescent="0.15">
      <c r="I95" s="196"/>
      <c r="J95" s="196"/>
      <c r="K95" s="196"/>
      <c r="L95" s="196"/>
      <c r="M95" s="196"/>
      <c r="N95" s="196"/>
      <c r="O95" s="196"/>
    </row>
    <row r="96" spans="2:15" x14ac:dyDescent="0.15">
      <c r="I96" s="196"/>
      <c r="J96" s="196"/>
      <c r="K96" s="196"/>
      <c r="L96" s="196"/>
      <c r="M96" s="196"/>
      <c r="N96" s="196"/>
      <c r="O96" s="196"/>
    </row>
    <row r="97" spans="9:15" x14ac:dyDescent="0.15">
      <c r="I97" s="196"/>
      <c r="J97" s="196"/>
      <c r="K97" s="196"/>
      <c r="L97" s="196"/>
      <c r="M97" s="196"/>
      <c r="N97" s="196"/>
      <c r="O97" s="196"/>
    </row>
    <row r="98" spans="9:15" x14ac:dyDescent="0.15">
      <c r="I98" s="196"/>
      <c r="J98" s="196"/>
      <c r="K98" s="196"/>
      <c r="L98" s="196"/>
      <c r="M98" s="196"/>
      <c r="N98" s="196"/>
      <c r="O98" s="196"/>
    </row>
    <row r="99" spans="9:15" x14ac:dyDescent="0.15">
      <c r="I99" s="196"/>
      <c r="J99" s="196"/>
      <c r="K99" s="196"/>
      <c r="L99" s="196"/>
      <c r="M99" s="196"/>
      <c r="N99" s="196"/>
      <c r="O99" s="196"/>
    </row>
    <row r="100" spans="9:15" x14ac:dyDescent="0.15">
      <c r="I100" s="196"/>
      <c r="J100" s="196"/>
      <c r="K100" s="196"/>
      <c r="L100" s="196"/>
      <c r="M100" s="196"/>
      <c r="N100" s="196"/>
      <c r="O100" s="196"/>
    </row>
    <row r="101" spans="9:15" x14ac:dyDescent="0.15">
      <c r="I101" s="196"/>
      <c r="J101" s="196"/>
      <c r="K101" s="196"/>
      <c r="L101" s="196"/>
      <c r="M101" s="196"/>
      <c r="N101" s="196"/>
      <c r="O101" s="196"/>
    </row>
    <row r="102" spans="9:15" x14ac:dyDescent="0.15">
      <c r="I102" s="196"/>
      <c r="J102" s="196"/>
      <c r="K102" s="196"/>
      <c r="L102" s="196"/>
      <c r="M102" s="196"/>
      <c r="N102" s="196"/>
      <c r="O102" s="196"/>
    </row>
    <row r="103" spans="9:15" x14ac:dyDescent="0.15">
      <c r="I103" s="196"/>
      <c r="J103" s="196"/>
      <c r="K103" s="196"/>
      <c r="L103" s="196"/>
      <c r="M103" s="196"/>
      <c r="N103" s="196"/>
      <c r="O103" s="196"/>
    </row>
    <row r="104" spans="9:15" x14ac:dyDescent="0.15">
      <c r="I104" s="196"/>
      <c r="J104" s="196"/>
      <c r="K104" s="196"/>
      <c r="L104" s="196"/>
      <c r="M104" s="196"/>
      <c r="N104" s="196"/>
      <c r="O104" s="196"/>
    </row>
    <row r="105" spans="9:15" x14ac:dyDescent="0.15">
      <c r="I105" s="196"/>
      <c r="J105" s="196"/>
      <c r="K105" s="196"/>
      <c r="L105" s="196"/>
      <c r="M105" s="196"/>
      <c r="N105" s="196"/>
      <c r="O105" s="196"/>
    </row>
    <row r="106" spans="9:15" x14ac:dyDescent="0.15">
      <c r="I106" s="196"/>
      <c r="J106" s="196"/>
      <c r="K106" s="196"/>
      <c r="L106" s="196"/>
      <c r="M106" s="196"/>
      <c r="N106" s="196"/>
      <c r="O106" s="196"/>
    </row>
    <row r="107" spans="9:15" x14ac:dyDescent="0.15">
      <c r="I107" s="196"/>
      <c r="J107" s="196"/>
      <c r="K107" s="196"/>
      <c r="L107" s="196"/>
      <c r="M107" s="196"/>
      <c r="N107" s="196"/>
      <c r="O107" s="196"/>
    </row>
    <row r="108" spans="9:15" x14ac:dyDescent="0.15">
      <c r="I108" s="196"/>
      <c r="J108" s="196"/>
      <c r="K108" s="196"/>
      <c r="L108" s="196"/>
      <c r="M108" s="196"/>
      <c r="N108" s="196"/>
      <c r="O108" s="196"/>
    </row>
    <row r="109" spans="9:15" x14ac:dyDescent="0.15">
      <c r="I109" s="196"/>
      <c r="J109" s="196"/>
      <c r="K109" s="196"/>
      <c r="L109" s="196"/>
      <c r="M109" s="196"/>
      <c r="N109" s="196"/>
      <c r="O109" s="196"/>
    </row>
    <row r="110" spans="9:15" x14ac:dyDescent="0.15">
      <c r="I110" s="196"/>
      <c r="J110" s="196"/>
      <c r="K110" s="196"/>
      <c r="L110" s="196"/>
      <c r="M110" s="196"/>
      <c r="N110" s="196"/>
      <c r="O110" s="196"/>
    </row>
    <row r="111" spans="9:15" x14ac:dyDescent="0.15">
      <c r="I111" s="196"/>
      <c r="J111" s="196"/>
      <c r="K111" s="196"/>
      <c r="L111" s="196"/>
      <c r="M111" s="196"/>
      <c r="N111" s="196"/>
      <c r="O111" s="196"/>
    </row>
    <row r="112" spans="9:15" x14ac:dyDescent="0.15">
      <c r="I112" s="196"/>
      <c r="J112" s="196"/>
      <c r="K112" s="196"/>
      <c r="L112" s="196"/>
      <c r="M112" s="196"/>
      <c r="N112" s="196"/>
      <c r="O112" s="196"/>
    </row>
    <row r="113" spans="9:15" x14ac:dyDescent="0.15">
      <c r="I113" s="196"/>
      <c r="J113" s="196"/>
      <c r="K113" s="196"/>
      <c r="L113" s="196"/>
      <c r="M113" s="196"/>
      <c r="N113" s="196"/>
      <c r="O113" s="196"/>
    </row>
    <row r="114" spans="9:15" x14ac:dyDescent="0.15">
      <c r="I114" s="196"/>
      <c r="J114" s="196"/>
      <c r="K114" s="196"/>
      <c r="L114" s="196"/>
      <c r="M114" s="196"/>
      <c r="N114" s="196"/>
      <c r="O114" s="196"/>
    </row>
    <row r="115" spans="9:15" x14ac:dyDescent="0.15">
      <c r="I115" s="196"/>
      <c r="J115" s="196"/>
      <c r="K115" s="196"/>
      <c r="L115" s="196"/>
      <c r="M115" s="196"/>
      <c r="N115" s="196"/>
      <c r="O115" s="196"/>
    </row>
    <row r="116" spans="9:15" x14ac:dyDescent="0.15">
      <c r="I116" s="196"/>
      <c r="J116" s="196"/>
      <c r="K116" s="196"/>
      <c r="L116" s="196"/>
      <c r="M116" s="196"/>
      <c r="N116" s="196"/>
      <c r="O116" s="196"/>
    </row>
    <row r="117" spans="9:15" x14ac:dyDescent="0.15">
      <c r="I117" s="196"/>
      <c r="J117" s="196"/>
      <c r="K117" s="196"/>
      <c r="L117" s="196"/>
      <c r="M117" s="196"/>
      <c r="N117" s="196"/>
      <c r="O117" s="196"/>
    </row>
    <row r="118" spans="9:15" x14ac:dyDescent="0.15">
      <c r="I118" s="196"/>
      <c r="J118" s="196"/>
      <c r="K118" s="196"/>
      <c r="L118" s="196"/>
      <c r="M118" s="196"/>
      <c r="N118" s="196"/>
      <c r="O118" s="196"/>
    </row>
    <row r="119" spans="9:15" x14ac:dyDescent="0.15">
      <c r="I119" s="196"/>
      <c r="J119" s="196"/>
      <c r="K119" s="196"/>
      <c r="L119" s="196"/>
      <c r="M119" s="196"/>
      <c r="N119" s="196"/>
      <c r="O119" s="196"/>
    </row>
    <row r="120" spans="9:15" x14ac:dyDescent="0.15">
      <c r="I120" s="196"/>
      <c r="J120" s="196"/>
      <c r="K120" s="196"/>
      <c r="L120" s="196"/>
      <c r="M120" s="196"/>
      <c r="N120" s="196"/>
      <c r="O120" s="196"/>
    </row>
    <row r="121" spans="9:15" x14ac:dyDescent="0.15">
      <c r="I121" s="196"/>
      <c r="J121" s="196"/>
      <c r="K121" s="196"/>
      <c r="L121" s="196"/>
      <c r="M121" s="196"/>
      <c r="N121" s="196"/>
      <c r="O121" s="196"/>
    </row>
    <row r="122" spans="9:15" x14ac:dyDescent="0.15">
      <c r="I122" s="196"/>
      <c r="J122" s="196"/>
      <c r="K122" s="196"/>
      <c r="L122" s="196"/>
      <c r="M122" s="196"/>
      <c r="N122" s="196"/>
      <c r="O122" s="196"/>
    </row>
    <row r="123" spans="9:15" x14ac:dyDescent="0.15">
      <c r="I123" s="196"/>
      <c r="J123" s="196"/>
      <c r="K123" s="196"/>
      <c r="L123" s="196"/>
      <c r="M123" s="196"/>
      <c r="N123" s="196"/>
      <c r="O123" s="196"/>
    </row>
    <row r="124" spans="9:15" x14ac:dyDescent="0.15">
      <c r="I124" s="196"/>
      <c r="J124" s="196"/>
      <c r="K124" s="196"/>
      <c r="L124" s="196"/>
      <c r="M124" s="196"/>
      <c r="N124" s="196"/>
      <c r="O124" s="196"/>
    </row>
    <row r="125" spans="9:15" x14ac:dyDescent="0.15">
      <c r="I125" s="196"/>
      <c r="J125" s="196"/>
      <c r="K125" s="196"/>
      <c r="L125" s="196"/>
      <c r="M125" s="196"/>
      <c r="N125" s="196"/>
      <c r="O125" s="196"/>
    </row>
    <row r="126" spans="9:15" x14ac:dyDescent="0.15">
      <c r="I126" s="196"/>
      <c r="J126" s="196"/>
      <c r="K126" s="196"/>
      <c r="L126" s="196"/>
      <c r="M126" s="196"/>
      <c r="N126" s="196"/>
      <c r="O126" s="196"/>
    </row>
    <row r="127" spans="9:15" x14ac:dyDescent="0.15">
      <c r="I127" s="196"/>
      <c r="J127" s="196"/>
      <c r="K127" s="196"/>
      <c r="L127" s="196"/>
      <c r="M127" s="196"/>
      <c r="N127" s="196"/>
      <c r="O127" s="196"/>
    </row>
    <row r="128" spans="9:15" x14ac:dyDescent="0.15">
      <c r="I128" s="196"/>
      <c r="J128" s="196"/>
      <c r="K128" s="196"/>
      <c r="L128" s="196"/>
      <c r="M128" s="196"/>
      <c r="N128" s="196"/>
      <c r="O128" s="196"/>
    </row>
    <row r="129" spans="9:15" x14ac:dyDescent="0.15">
      <c r="I129" s="196"/>
      <c r="J129" s="196"/>
      <c r="K129" s="196"/>
      <c r="L129" s="196"/>
      <c r="M129" s="196"/>
      <c r="N129" s="196"/>
      <c r="O129" s="196"/>
    </row>
    <row r="130" spans="9:15" x14ac:dyDescent="0.15">
      <c r="I130" s="196"/>
      <c r="J130" s="196"/>
      <c r="K130" s="196"/>
      <c r="L130" s="196"/>
      <c r="M130" s="196"/>
      <c r="N130" s="196"/>
      <c r="O130" s="196"/>
    </row>
    <row r="131" spans="9:15" x14ac:dyDescent="0.15">
      <c r="I131" s="196"/>
      <c r="J131" s="196"/>
      <c r="K131" s="196"/>
      <c r="L131" s="196"/>
      <c r="M131" s="196"/>
      <c r="N131" s="196"/>
      <c r="O131" s="196"/>
    </row>
    <row r="132" spans="9:15" x14ac:dyDescent="0.15">
      <c r="I132" s="196"/>
      <c r="J132" s="196"/>
      <c r="K132" s="196"/>
      <c r="L132" s="196"/>
      <c r="M132" s="196"/>
      <c r="N132" s="196"/>
      <c r="O132" s="196"/>
    </row>
    <row r="133" spans="9:15" x14ac:dyDescent="0.15">
      <c r="I133" s="196"/>
      <c r="J133" s="196"/>
      <c r="K133" s="196"/>
      <c r="L133" s="196"/>
      <c r="M133" s="196"/>
      <c r="N133" s="196"/>
      <c r="O133" s="196"/>
    </row>
    <row r="134" spans="9:15" x14ac:dyDescent="0.15">
      <c r="I134" s="196"/>
      <c r="J134" s="196"/>
      <c r="K134" s="196"/>
      <c r="L134" s="196"/>
      <c r="M134" s="196"/>
      <c r="N134" s="196"/>
      <c r="O134" s="196"/>
    </row>
    <row r="135" spans="9:15" x14ac:dyDescent="0.15">
      <c r="I135" s="196"/>
      <c r="J135" s="196"/>
      <c r="K135" s="196"/>
      <c r="L135" s="196"/>
      <c r="M135" s="196"/>
      <c r="N135" s="196"/>
      <c r="O135" s="196"/>
    </row>
    <row r="136" spans="9:15" x14ac:dyDescent="0.15">
      <c r="I136" s="196"/>
      <c r="J136" s="196"/>
      <c r="K136" s="196"/>
      <c r="L136" s="196"/>
      <c r="M136" s="196"/>
      <c r="N136" s="196"/>
      <c r="O136" s="196"/>
    </row>
    <row r="137" spans="9:15" x14ac:dyDescent="0.15">
      <c r="I137" s="196"/>
      <c r="J137" s="196"/>
      <c r="K137" s="196"/>
      <c r="L137" s="196"/>
      <c r="M137" s="196"/>
      <c r="N137" s="196"/>
      <c r="O137" s="196"/>
    </row>
    <row r="138" spans="9:15" x14ac:dyDescent="0.15">
      <c r="I138" s="196"/>
      <c r="J138" s="196"/>
      <c r="K138" s="196"/>
      <c r="L138" s="196"/>
      <c r="M138" s="196"/>
      <c r="N138" s="196"/>
      <c r="O138" s="196"/>
    </row>
    <row r="139" spans="9:15" x14ac:dyDescent="0.15">
      <c r="I139" s="196"/>
      <c r="J139" s="196"/>
      <c r="K139" s="196"/>
      <c r="L139" s="196"/>
      <c r="M139" s="196"/>
      <c r="N139" s="196"/>
      <c r="O139" s="196"/>
    </row>
    <row r="140" spans="9:15" x14ac:dyDescent="0.15">
      <c r="I140" s="196"/>
      <c r="J140" s="196"/>
      <c r="K140" s="196"/>
      <c r="L140" s="196"/>
      <c r="M140" s="196"/>
      <c r="N140" s="196"/>
    </row>
    <row r="141" spans="9:15" x14ac:dyDescent="0.15">
      <c r="I141" s="196"/>
      <c r="J141" s="196"/>
      <c r="K141" s="196"/>
      <c r="L141" s="196"/>
      <c r="M141" s="196"/>
      <c r="N141" s="196"/>
    </row>
    <row r="142" spans="9:15" x14ac:dyDescent="0.15">
      <c r="I142" s="196"/>
      <c r="J142" s="196"/>
      <c r="K142" s="196"/>
      <c r="L142" s="196"/>
      <c r="M142" s="196"/>
      <c r="N142" s="196"/>
    </row>
    <row r="143" spans="9:15" x14ac:dyDescent="0.15">
      <c r="I143" s="196"/>
      <c r="J143" s="196"/>
      <c r="K143" s="196"/>
      <c r="L143" s="196"/>
      <c r="M143" s="196"/>
      <c r="N143" s="196"/>
    </row>
    <row r="144" spans="9:15" x14ac:dyDescent="0.15">
      <c r="I144" s="196"/>
      <c r="J144" s="196"/>
      <c r="K144" s="196"/>
      <c r="L144" s="196"/>
      <c r="M144" s="196"/>
      <c r="N144" s="196"/>
    </row>
    <row r="145" spans="9:14" x14ac:dyDescent="0.15">
      <c r="I145" s="196"/>
      <c r="J145" s="196"/>
      <c r="K145" s="196"/>
      <c r="L145" s="196"/>
      <c r="M145" s="196"/>
      <c r="N145" s="196"/>
    </row>
    <row r="146" spans="9:14" x14ac:dyDescent="0.15">
      <c r="I146" s="196"/>
      <c r="J146" s="196"/>
      <c r="K146" s="196"/>
      <c r="L146" s="196"/>
      <c r="M146" s="196"/>
      <c r="N146" s="196"/>
    </row>
    <row r="147" spans="9:14" x14ac:dyDescent="0.15">
      <c r="I147" s="196"/>
      <c r="J147" s="196"/>
      <c r="K147" s="196"/>
      <c r="L147" s="196"/>
      <c r="M147" s="196"/>
      <c r="N147" s="196"/>
    </row>
    <row r="148" spans="9:14" x14ac:dyDescent="0.15">
      <c r="I148" s="196"/>
      <c r="J148" s="196"/>
      <c r="K148" s="196"/>
      <c r="L148" s="196"/>
      <c r="M148" s="196"/>
      <c r="N148" s="196"/>
    </row>
    <row r="149" spans="9:14" x14ac:dyDescent="0.15">
      <c r="I149" s="196"/>
      <c r="J149" s="196"/>
      <c r="K149" s="196"/>
      <c r="L149" s="196"/>
      <c r="M149" s="196"/>
      <c r="N149" s="196"/>
    </row>
    <row r="150" spans="9:14" x14ac:dyDescent="0.15">
      <c r="I150" s="196"/>
      <c r="J150" s="196"/>
      <c r="K150" s="196"/>
      <c r="L150" s="196"/>
      <c r="M150" s="196"/>
      <c r="N150" s="196"/>
    </row>
    <row r="151" spans="9:14" x14ac:dyDescent="0.15">
      <c r="I151" s="196"/>
      <c r="J151" s="196"/>
      <c r="K151" s="196"/>
      <c r="L151" s="196"/>
      <c r="M151" s="196"/>
      <c r="N151" s="196"/>
    </row>
    <row r="152" spans="9:14" x14ac:dyDescent="0.15">
      <c r="I152" s="196"/>
      <c r="J152" s="196"/>
      <c r="K152" s="196"/>
      <c r="L152" s="196"/>
      <c r="M152" s="196"/>
      <c r="N152" s="196"/>
    </row>
    <row r="153" spans="9:14" x14ac:dyDescent="0.15">
      <c r="I153" s="196"/>
      <c r="J153" s="196"/>
      <c r="K153" s="196"/>
      <c r="L153" s="196"/>
      <c r="M153" s="196"/>
      <c r="N153" s="196"/>
    </row>
    <row r="154" spans="9:14" x14ac:dyDescent="0.15">
      <c r="I154" s="196"/>
      <c r="J154" s="196"/>
      <c r="K154" s="196"/>
      <c r="L154" s="196"/>
      <c r="M154" s="196"/>
      <c r="N154" s="196"/>
    </row>
    <row r="155" spans="9:14" x14ac:dyDescent="0.15">
      <c r="J155" s="196"/>
      <c r="K155" s="196"/>
      <c r="L155" s="196"/>
      <c r="M155" s="196"/>
      <c r="N155" s="196"/>
    </row>
    <row r="156" spans="9:14" x14ac:dyDescent="0.15">
      <c r="J156" s="196"/>
      <c r="K156" s="196"/>
      <c r="L156" s="196"/>
      <c r="M156" s="196"/>
      <c r="N156" s="196"/>
    </row>
    <row r="173" spans="15:15" x14ac:dyDescent="0.15">
      <c r="O173" s="196"/>
    </row>
    <row r="174" spans="15:15" x14ac:dyDescent="0.15">
      <c r="O174" s="196"/>
    </row>
    <row r="175" spans="15:15" x14ac:dyDescent="0.15">
      <c r="O175" s="196"/>
    </row>
    <row r="176" spans="15:15" x14ac:dyDescent="0.15">
      <c r="O176" s="196"/>
    </row>
    <row r="177" spans="15:15" x14ac:dyDescent="0.15">
      <c r="O177" s="196"/>
    </row>
    <row r="178" spans="15:15" x14ac:dyDescent="0.15">
      <c r="O178" s="196"/>
    </row>
    <row r="179" spans="15:15" x14ac:dyDescent="0.15">
      <c r="O179" s="196"/>
    </row>
    <row r="180" spans="15:15" x14ac:dyDescent="0.15">
      <c r="O180" s="196"/>
    </row>
    <row r="181" spans="15:15" x14ac:dyDescent="0.15">
      <c r="O181" s="196"/>
    </row>
    <row r="182" spans="15:15" x14ac:dyDescent="0.15">
      <c r="O182" s="196"/>
    </row>
    <row r="183" spans="15:15" x14ac:dyDescent="0.15">
      <c r="O183" s="196"/>
    </row>
    <row r="184" spans="15:15" x14ac:dyDescent="0.15">
      <c r="O184" s="196"/>
    </row>
    <row r="185" spans="15:15" x14ac:dyDescent="0.15">
      <c r="O185" s="196"/>
    </row>
    <row r="186" spans="15:15" x14ac:dyDescent="0.15">
      <c r="O186" s="196"/>
    </row>
    <row r="187" spans="15:15" x14ac:dyDescent="0.15">
      <c r="O187" s="196"/>
    </row>
    <row r="188" spans="15:15" x14ac:dyDescent="0.15">
      <c r="O188" s="196"/>
    </row>
    <row r="189" spans="15:15" x14ac:dyDescent="0.15">
      <c r="O189" s="196"/>
    </row>
    <row r="190" spans="15:15" x14ac:dyDescent="0.15">
      <c r="O190" s="196"/>
    </row>
    <row r="191" spans="15:15" x14ac:dyDescent="0.15">
      <c r="O191" s="196"/>
    </row>
    <row r="192" spans="15:15" x14ac:dyDescent="0.15">
      <c r="O192" s="196"/>
    </row>
  </sheetData>
  <mergeCells count="70">
    <mergeCell ref="P38:P44"/>
    <mergeCell ref="I36:I42"/>
    <mergeCell ref="B8:B11"/>
    <mergeCell ref="I43:I46"/>
    <mergeCell ref="I47:I50"/>
    <mergeCell ref="K43:L43"/>
    <mergeCell ref="K44:L44"/>
    <mergeCell ref="K46:L46"/>
    <mergeCell ref="I13:I16"/>
    <mergeCell ref="K35:L35"/>
    <mergeCell ref="I29:I32"/>
    <mergeCell ref="I25:I28"/>
    <mergeCell ref="I17:I20"/>
    <mergeCell ref="I21:I24"/>
    <mergeCell ref="K41:L41"/>
    <mergeCell ref="K38:L38"/>
    <mergeCell ref="K42:L42"/>
    <mergeCell ref="I51:I56"/>
    <mergeCell ref="K51:L51"/>
    <mergeCell ref="K52:L52"/>
    <mergeCell ref="K53:L53"/>
    <mergeCell ref="K54:L54"/>
    <mergeCell ref="K55:L55"/>
    <mergeCell ref="K56:L56"/>
    <mergeCell ref="T18:U18"/>
    <mergeCell ref="B54:B57"/>
    <mergeCell ref="B50:B53"/>
    <mergeCell ref="B5:B7"/>
    <mergeCell ref="B12:B16"/>
    <mergeCell ref="B21:B24"/>
    <mergeCell ref="B17:B20"/>
    <mergeCell ref="B28:B38"/>
    <mergeCell ref="B39:B49"/>
    <mergeCell ref="K57:L57"/>
    <mergeCell ref="K36:L36"/>
    <mergeCell ref="K37:L37"/>
    <mergeCell ref="K39:L39"/>
    <mergeCell ref="K40:L40"/>
    <mergeCell ref="K50:L50"/>
    <mergeCell ref="K47:L47"/>
    <mergeCell ref="J4:J5"/>
    <mergeCell ref="I4:I5"/>
    <mergeCell ref="T4:U4"/>
    <mergeCell ref="T5:U5"/>
    <mergeCell ref="T6:U6"/>
    <mergeCell ref="I6:I12"/>
    <mergeCell ref="Q37:R37"/>
    <mergeCell ref="T14:U14"/>
    <mergeCell ref="M4:M5"/>
    <mergeCell ref="N4:N5"/>
    <mergeCell ref="T7:U7"/>
    <mergeCell ref="T8:U8"/>
    <mergeCell ref="T9:U9"/>
    <mergeCell ref="T11:U11"/>
    <mergeCell ref="T12:U12"/>
    <mergeCell ref="T13:U13"/>
    <mergeCell ref="T21:U21"/>
    <mergeCell ref="T15:U15"/>
    <mergeCell ref="T16:U16"/>
    <mergeCell ref="T19:U19"/>
    <mergeCell ref="T20:U20"/>
    <mergeCell ref="T17:U17"/>
    <mergeCell ref="P57:Q57"/>
    <mergeCell ref="Q45:Q49"/>
    <mergeCell ref="Q51:Q55"/>
    <mergeCell ref="P45:P56"/>
    <mergeCell ref="I57:J57"/>
    <mergeCell ref="K45:L45"/>
    <mergeCell ref="K48:L48"/>
    <mergeCell ref="K49:L49"/>
  </mergeCells>
  <phoneticPr fontId="4"/>
  <pageMargins left="0" right="0" top="0.78740157480314965" bottom="0" header="0.39370078740157483" footer="0.39370078740157483"/>
  <pageSetup paperSize="9" scale="69" orientation="landscape" r:id="rId1"/>
  <headerFooter alignWithMargins="0">
    <oddHeader>&amp;R&amp;A</oddHeader>
  </headerFooter>
  <ignoredErrors>
    <ignoredError sqref="G16 G20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5" customWidth="1"/>
    <col min="2" max="2" width="3.625" style="85" customWidth="1"/>
    <col min="3" max="3" width="19.5" style="85" customWidth="1"/>
    <col min="4" max="7" width="8.625" style="85" customWidth="1"/>
    <col min="8" max="8" width="2.375" style="196" customWidth="1"/>
    <col min="9" max="9" width="3.625" style="85" customWidth="1"/>
    <col min="10" max="10" width="15.625" style="85" customWidth="1"/>
    <col min="11" max="14" width="8.625" style="85" customWidth="1"/>
    <col min="15" max="15" width="3.5" style="85" customWidth="1"/>
    <col min="16" max="16" width="15.625" style="167" customWidth="1"/>
    <col min="17" max="17" width="8.625" style="85" customWidth="1"/>
    <col min="18" max="18" width="8.625" style="86" customWidth="1"/>
    <col min="19" max="21" width="8.625" style="85" customWidth="1"/>
    <col min="22" max="22" width="10.625" style="86" customWidth="1"/>
    <col min="23" max="262" width="8.875" style="85"/>
    <col min="263" max="263" width="1.375" style="85" customWidth="1"/>
    <col min="264" max="264" width="3.5" style="85" customWidth="1"/>
    <col min="265" max="265" width="22.125" style="85" customWidth="1"/>
    <col min="266" max="266" width="9.75" style="85" customWidth="1"/>
    <col min="267" max="267" width="7.375" style="85" customWidth="1"/>
    <col min="268" max="268" width="8.875" style="85"/>
    <col min="269" max="269" width="9.25" style="85" customWidth="1"/>
    <col min="270" max="270" width="3.5" style="85" customWidth="1"/>
    <col min="271" max="272" width="12.625" style="85" customWidth="1"/>
    <col min="273" max="273" width="8.875" style="85"/>
    <col min="274" max="274" width="7.75" style="85" customWidth="1"/>
    <col min="275" max="275" width="13.125" style="85" customWidth="1"/>
    <col min="276" max="276" width="6.125" style="85" customWidth="1"/>
    <col min="277" max="277" width="9.75" style="85" customWidth="1"/>
    <col min="278" max="278" width="1.375" style="85" customWidth="1"/>
    <col min="279" max="518" width="8.875" style="85"/>
    <col min="519" max="519" width="1.375" style="85" customWidth="1"/>
    <col min="520" max="520" width="3.5" style="85" customWidth="1"/>
    <col min="521" max="521" width="22.125" style="85" customWidth="1"/>
    <col min="522" max="522" width="9.75" style="85" customWidth="1"/>
    <col min="523" max="523" width="7.375" style="85" customWidth="1"/>
    <col min="524" max="524" width="8.875" style="85"/>
    <col min="525" max="525" width="9.25" style="85" customWidth="1"/>
    <col min="526" max="526" width="3.5" style="85" customWidth="1"/>
    <col min="527" max="528" width="12.625" style="85" customWidth="1"/>
    <col min="529" max="529" width="8.875" style="85"/>
    <col min="530" max="530" width="7.75" style="85" customWidth="1"/>
    <col min="531" max="531" width="13.125" style="85" customWidth="1"/>
    <col min="532" max="532" width="6.125" style="85" customWidth="1"/>
    <col min="533" max="533" width="9.75" style="85" customWidth="1"/>
    <col min="534" max="534" width="1.375" style="85" customWidth="1"/>
    <col min="535" max="774" width="8.875" style="85"/>
    <col min="775" max="775" width="1.375" style="85" customWidth="1"/>
    <col min="776" max="776" width="3.5" style="85" customWidth="1"/>
    <col min="777" max="777" width="22.125" style="85" customWidth="1"/>
    <col min="778" max="778" width="9.75" style="85" customWidth="1"/>
    <col min="779" max="779" width="7.375" style="85" customWidth="1"/>
    <col min="780" max="780" width="8.875" style="85"/>
    <col min="781" max="781" width="9.25" style="85" customWidth="1"/>
    <col min="782" max="782" width="3.5" style="85" customWidth="1"/>
    <col min="783" max="784" width="12.625" style="85" customWidth="1"/>
    <col min="785" max="785" width="8.875" style="85"/>
    <col min="786" max="786" width="7.75" style="85" customWidth="1"/>
    <col min="787" max="787" width="13.125" style="85" customWidth="1"/>
    <col min="788" max="788" width="6.125" style="85" customWidth="1"/>
    <col min="789" max="789" width="9.75" style="85" customWidth="1"/>
    <col min="790" max="790" width="1.375" style="85" customWidth="1"/>
    <col min="791" max="1030" width="8.875" style="85"/>
    <col min="1031" max="1031" width="1.375" style="85" customWidth="1"/>
    <col min="1032" max="1032" width="3.5" style="85" customWidth="1"/>
    <col min="1033" max="1033" width="22.125" style="85" customWidth="1"/>
    <col min="1034" max="1034" width="9.75" style="85" customWidth="1"/>
    <col min="1035" max="1035" width="7.375" style="85" customWidth="1"/>
    <col min="1036" max="1036" width="8.875" style="85"/>
    <col min="1037" max="1037" width="9.25" style="85" customWidth="1"/>
    <col min="1038" max="1038" width="3.5" style="85" customWidth="1"/>
    <col min="1039" max="1040" width="12.625" style="85" customWidth="1"/>
    <col min="1041" max="1041" width="8.875" style="85"/>
    <col min="1042" max="1042" width="7.75" style="85" customWidth="1"/>
    <col min="1043" max="1043" width="13.125" style="85" customWidth="1"/>
    <col min="1044" max="1044" width="6.125" style="85" customWidth="1"/>
    <col min="1045" max="1045" width="9.75" style="85" customWidth="1"/>
    <col min="1046" max="1046" width="1.375" style="85" customWidth="1"/>
    <col min="1047" max="1286" width="8.875" style="85"/>
    <col min="1287" max="1287" width="1.375" style="85" customWidth="1"/>
    <col min="1288" max="1288" width="3.5" style="85" customWidth="1"/>
    <col min="1289" max="1289" width="22.125" style="85" customWidth="1"/>
    <col min="1290" max="1290" width="9.75" style="85" customWidth="1"/>
    <col min="1291" max="1291" width="7.375" style="85" customWidth="1"/>
    <col min="1292" max="1292" width="8.875" style="85"/>
    <col min="1293" max="1293" width="9.25" style="85" customWidth="1"/>
    <col min="1294" max="1294" width="3.5" style="85" customWidth="1"/>
    <col min="1295" max="1296" width="12.625" style="85" customWidth="1"/>
    <col min="1297" max="1297" width="8.875" style="85"/>
    <col min="1298" max="1298" width="7.75" style="85" customWidth="1"/>
    <col min="1299" max="1299" width="13.125" style="85" customWidth="1"/>
    <col min="1300" max="1300" width="6.125" style="85" customWidth="1"/>
    <col min="1301" max="1301" width="9.75" style="85" customWidth="1"/>
    <col min="1302" max="1302" width="1.375" style="85" customWidth="1"/>
    <col min="1303" max="1542" width="8.875" style="85"/>
    <col min="1543" max="1543" width="1.375" style="85" customWidth="1"/>
    <col min="1544" max="1544" width="3.5" style="85" customWidth="1"/>
    <col min="1545" max="1545" width="22.125" style="85" customWidth="1"/>
    <col min="1546" max="1546" width="9.75" style="85" customWidth="1"/>
    <col min="1547" max="1547" width="7.375" style="85" customWidth="1"/>
    <col min="1548" max="1548" width="8.875" style="85"/>
    <col min="1549" max="1549" width="9.25" style="85" customWidth="1"/>
    <col min="1550" max="1550" width="3.5" style="85" customWidth="1"/>
    <col min="1551" max="1552" width="12.625" style="85" customWidth="1"/>
    <col min="1553" max="1553" width="8.875" style="85"/>
    <col min="1554" max="1554" width="7.75" style="85" customWidth="1"/>
    <col min="1555" max="1555" width="13.125" style="85" customWidth="1"/>
    <col min="1556" max="1556" width="6.125" style="85" customWidth="1"/>
    <col min="1557" max="1557" width="9.75" style="85" customWidth="1"/>
    <col min="1558" max="1558" width="1.375" style="85" customWidth="1"/>
    <col min="1559" max="1798" width="8.875" style="85"/>
    <col min="1799" max="1799" width="1.375" style="85" customWidth="1"/>
    <col min="1800" max="1800" width="3.5" style="85" customWidth="1"/>
    <col min="1801" max="1801" width="22.125" style="85" customWidth="1"/>
    <col min="1802" max="1802" width="9.75" style="85" customWidth="1"/>
    <col min="1803" max="1803" width="7.375" style="85" customWidth="1"/>
    <col min="1804" max="1804" width="8.875" style="85"/>
    <col min="1805" max="1805" width="9.25" style="85" customWidth="1"/>
    <col min="1806" max="1806" width="3.5" style="85" customWidth="1"/>
    <col min="1807" max="1808" width="12.625" style="85" customWidth="1"/>
    <col min="1809" max="1809" width="8.875" style="85"/>
    <col min="1810" max="1810" width="7.75" style="85" customWidth="1"/>
    <col min="1811" max="1811" width="13.125" style="85" customWidth="1"/>
    <col min="1812" max="1812" width="6.125" style="85" customWidth="1"/>
    <col min="1813" max="1813" width="9.75" style="85" customWidth="1"/>
    <col min="1814" max="1814" width="1.375" style="85" customWidth="1"/>
    <col min="1815" max="2054" width="8.875" style="85"/>
    <col min="2055" max="2055" width="1.375" style="85" customWidth="1"/>
    <col min="2056" max="2056" width="3.5" style="85" customWidth="1"/>
    <col min="2057" max="2057" width="22.125" style="85" customWidth="1"/>
    <col min="2058" max="2058" width="9.75" style="85" customWidth="1"/>
    <col min="2059" max="2059" width="7.375" style="85" customWidth="1"/>
    <col min="2060" max="2060" width="8.875" style="85"/>
    <col min="2061" max="2061" width="9.25" style="85" customWidth="1"/>
    <col min="2062" max="2062" width="3.5" style="85" customWidth="1"/>
    <col min="2063" max="2064" width="12.625" style="85" customWidth="1"/>
    <col min="2065" max="2065" width="8.875" style="85"/>
    <col min="2066" max="2066" width="7.75" style="85" customWidth="1"/>
    <col min="2067" max="2067" width="13.125" style="85" customWidth="1"/>
    <col min="2068" max="2068" width="6.125" style="85" customWidth="1"/>
    <col min="2069" max="2069" width="9.75" style="85" customWidth="1"/>
    <col min="2070" max="2070" width="1.375" style="85" customWidth="1"/>
    <col min="2071" max="2310" width="8.875" style="85"/>
    <col min="2311" max="2311" width="1.375" style="85" customWidth="1"/>
    <col min="2312" max="2312" width="3.5" style="85" customWidth="1"/>
    <col min="2313" max="2313" width="22.125" style="85" customWidth="1"/>
    <col min="2314" max="2314" width="9.75" style="85" customWidth="1"/>
    <col min="2315" max="2315" width="7.375" style="85" customWidth="1"/>
    <col min="2316" max="2316" width="8.875" style="85"/>
    <col min="2317" max="2317" width="9.25" style="85" customWidth="1"/>
    <col min="2318" max="2318" width="3.5" style="85" customWidth="1"/>
    <col min="2319" max="2320" width="12.625" style="85" customWidth="1"/>
    <col min="2321" max="2321" width="8.875" style="85"/>
    <col min="2322" max="2322" width="7.75" style="85" customWidth="1"/>
    <col min="2323" max="2323" width="13.125" style="85" customWidth="1"/>
    <col min="2324" max="2324" width="6.125" style="85" customWidth="1"/>
    <col min="2325" max="2325" width="9.75" style="85" customWidth="1"/>
    <col min="2326" max="2326" width="1.375" style="85" customWidth="1"/>
    <col min="2327" max="2566" width="8.875" style="85"/>
    <col min="2567" max="2567" width="1.375" style="85" customWidth="1"/>
    <col min="2568" max="2568" width="3.5" style="85" customWidth="1"/>
    <col min="2569" max="2569" width="22.125" style="85" customWidth="1"/>
    <col min="2570" max="2570" width="9.75" style="85" customWidth="1"/>
    <col min="2571" max="2571" width="7.375" style="85" customWidth="1"/>
    <col min="2572" max="2572" width="8.875" style="85"/>
    <col min="2573" max="2573" width="9.25" style="85" customWidth="1"/>
    <col min="2574" max="2574" width="3.5" style="85" customWidth="1"/>
    <col min="2575" max="2576" width="12.625" style="85" customWidth="1"/>
    <col min="2577" max="2577" width="8.875" style="85"/>
    <col min="2578" max="2578" width="7.75" style="85" customWidth="1"/>
    <col min="2579" max="2579" width="13.125" style="85" customWidth="1"/>
    <col min="2580" max="2580" width="6.125" style="85" customWidth="1"/>
    <col min="2581" max="2581" width="9.75" style="85" customWidth="1"/>
    <col min="2582" max="2582" width="1.375" style="85" customWidth="1"/>
    <col min="2583" max="2822" width="8.875" style="85"/>
    <col min="2823" max="2823" width="1.375" style="85" customWidth="1"/>
    <col min="2824" max="2824" width="3.5" style="85" customWidth="1"/>
    <col min="2825" max="2825" width="22.125" style="85" customWidth="1"/>
    <col min="2826" max="2826" width="9.75" style="85" customWidth="1"/>
    <col min="2827" max="2827" width="7.375" style="85" customWidth="1"/>
    <col min="2828" max="2828" width="8.875" style="85"/>
    <col min="2829" max="2829" width="9.25" style="85" customWidth="1"/>
    <col min="2830" max="2830" width="3.5" style="85" customWidth="1"/>
    <col min="2831" max="2832" width="12.625" style="85" customWidth="1"/>
    <col min="2833" max="2833" width="8.875" style="85"/>
    <col min="2834" max="2834" width="7.75" style="85" customWidth="1"/>
    <col min="2835" max="2835" width="13.125" style="85" customWidth="1"/>
    <col min="2836" max="2836" width="6.125" style="85" customWidth="1"/>
    <col min="2837" max="2837" width="9.75" style="85" customWidth="1"/>
    <col min="2838" max="2838" width="1.375" style="85" customWidth="1"/>
    <col min="2839" max="3078" width="8.875" style="85"/>
    <col min="3079" max="3079" width="1.375" style="85" customWidth="1"/>
    <col min="3080" max="3080" width="3.5" style="85" customWidth="1"/>
    <col min="3081" max="3081" width="22.125" style="85" customWidth="1"/>
    <col min="3082" max="3082" width="9.75" style="85" customWidth="1"/>
    <col min="3083" max="3083" width="7.375" style="85" customWidth="1"/>
    <col min="3084" max="3084" width="8.875" style="85"/>
    <col min="3085" max="3085" width="9.25" style="85" customWidth="1"/>
    <col min="3086" max="3086" width="3.5" style="85" customWidth="1"/>
    <col min="3087" max="3088" width="12.625" style="85" customWidth="1"/>
    <col min="3089" max="3089" width="8.875" style="85"/>
    <col min="3090" max="3090" width="7.75" style="85" customWidth="1"/>
    <col min="3091" max="3091" width="13.125" style="85" customWidth="1"/>
    <col min="3092" max="3092" width="6.125" style="85" customWidth="1"/>
    <col min="3093" max="3093" width="9.75" style="85" customWidth="1"/>
    <col min="3094" max="3094" width="1.375" style="85" customWidth="1"/>
    <col min="3095" max="3334" width="8.875" style="85"/>
    <col min="3335" max="3335" width="1.375" style="85" customWidth="1"/>
    <col min="3336" max="3336" width="3.5" style="85" customWidth="1"/>
    <col min="3337" max="3337" width="22.125" style="85" customWidth="1"/>
    <col min="3338" max="3338" width="9.75" style="85" customWidth="1"/>
    <col min="3339" max="3339" width="7.375" style="85" customWidth="1"/>
    <col min="3340" max="3340" width="8.875" style="85"/>
    <col min="3341" max="3341" width="9.25" style="85" customWidth="1"/>
    <col min="3342" max="3342" width="3.5" style="85" customWidth="1"/>
    <col min="3343" max="3344" width="12.625" style="85" customWidth="1"/>
    <col min="3345" max="3345" width="8.875" style="85"/>
    <col min="3346" max="3346" width="7.75" style="85" customWidth="1"/>
    <col min="3347" max="3347" width="13.125" style="85" customWidth="1"/>
    <col min="3348" max="3348" width="6.125" style="85" customWidth="1"/>
    <col min="3349" max="3349" width="9.75" style="85" customWidth="1"/>
    <col min="3350" max="3350" width="1.375" style="85" customWidth="1"/>
    <col min="3351" max="3590" width="8.875" style="85"/>
    <col min="3591" max="3591" width="1.375" style="85" customWidth="1"/>
    <col min="3592" max="3592" width="3.5" style="85" customWidth="1"/>
    <col min="3593" max="3593" width="22.125" style="85" customWidth="1"/>
    <col min="3594" max="3594" width="9.75" style="85" customWidth="1"/>
    <col min="3595" max="3595" width="7.375" style="85" customWidth="1"/>
    <col min="3596" max="3596" width="8.875" style="85"/>
    <col min="3597" max="3597" width="9.25" style="85" customWidth="1"/>
    <col min="3598" max="3598" width="3.5" style="85" customWidth="1"/>
    <col min="3599" max="3600" width="12.625" style="85" customWidth="1"/>
    <col min="3601" max="3601" width="8.875" style="85"/>
    <col min="3602" max="3602" width="7.75" style="85" customWidth="1"/>
    <col min="3603" max="3603" width="13.125" style="85" customWidth="1"/>
    <col min="3604" max="3604" width="6.125" style="85" customWidth="1"/>
    <col min="3605" max="3605" width="9.75" style="85" customWidth="1"/>
    <col min="3606" max="3606" width="1.375" style="85" customWidth="1"/>
    <col min="3607" max="3846" width="8.875" style="85"/>
    <col min="3847" max="3847" width="1.375" style="85" customWidth="1"/>
    <col min="3848" max="3848" width="3.5" style="85" customWidth="1"/>
    <col min="3849" max="3849" width="22.125" style="85" customWidth="1"/>
    <col min="3850" max="3850" width="9.75" style="85" customWidth="1"/>
    <col min="3851" max="3851" width="7.375" style="85" customWidth="1"/>
    <col min="3852" max="3852" width="8.875" style="85"/>
    <col min="3853" max="3853" width="9.25" style="85" customWidth="1"/>
    <col min="3854" max="3854" width="3.5" style="85" customWidth="1"/>
    <col min="3855" max="3856" width="12.625" style="85" customWidth="1"/>
    <col min="3857" max="3857" width="8.875" style="85"/>
    <col min="3858" max="3858" width="7.75" style="85" customWidth="1"/>
    <col min="3859" max="3859" width="13.125" style="85" customWidth="1"/>
    <col min="3860" max="3860" width="6.125" style="85" customWidth="1"/>
    <col min="3861" max="3861" width="9.75" style="85" customWidth="1"/>
    <col min="3862" max="3862" width="1.375" style="85" customWidth="1"/>
    <col min="3863" max="4102" width="8.875" style="85"/>
    <col min="4103" max="4103" width="1.375" style="85" customWidth="1"/>
    <col min="4104" max="4104" width="3.5" style="85" customWidth="1"/>
    <col min="4105" max="4105" width="22.125" style="85" customWidth="1"/>
    <col min="4106" max="4106" width="9.75" style="85" customWidth="1"/>
    <col min="4107" max="4107" width="7.375" style="85" customWidth="1"/>
    <col min="4108" max="4108" width="8.875" style="85"/>
    <col min="4109" max="4109" width="9.25" style="85" customWidth="1"/>
    <col min="4110" max="4110" width="3.5" style="85" customWidth="1"/>
    <col min="4111" max="4112" width="12.625" style="85" customWidth="1"/>
    <col min="4113" max="4113" width="8.875" style="85"/>
    <col min="4114" max="4114" width="7.75" style="85" customWidth="1"/>
    <col min="4115" max="4115" width="13.125" style="85" customWidth="1"/>
    <col min="4116" max="4116" width="6.125" style="85" customWidth="1"/>
    <col min="4117" max="4117" width="9.75" style="85" customWidth="1"/>
    <col min="4118" max="4118" width="1.375" style="85" customWidth="1"/>
    <col min="4119" max="4358" width="8.875" style="85"/>
    <col min="4359" max="4359" width="1.375" style="85" customWidth="1"/>
    <col min="4360" max="4360" width="3.5" style="85" customWidth="1"/>
    <col min="4361" max="4361" width="22.125" style="85" customWidth="1"/>
    <col min="4362" max="4362" width="9.75" style="85" customWidth="1"/>
    <col min="4363" max="4363" width="7.375" style="85" customWidth="1"/>
    <col min="4364" max="4364" width="8.875" style="85"/>
    <col min="4365" max="4365" width="9.25" style="85" customWidth="1"/>
    <col min="4366" max="4366" width="3.5" style="85" customWidth="1"/>
    <col min="4367" max="4368" width="12.625" style="85" customWidth="1"/>
    <col min="4369" max="4369" width="8.875" style="85"/>
    <col min="4370" max="4370" width="7.75" style="85" customWidth="1"/>
    <col min="4371" max="4371" width="13.125" style="85" customWidth="1"/>
    <col min="4372" max="4372" width="6.125" style="85" customWidth="1"/>
    <col min="4373" max="4373" width="9.75" style="85" customWidth="1"/>
    <col min="4374" max="4374" width="1.375" style="85" customWidth="1"/>
    <col min="4375" max="4614" width="8.875" style="85"/>
    <col min="4615" max="4615" width="1.375" style="85" customWidth="1"/>
    <col min="4616" max="4616" width="3.5" style="85" customWidth="1"/>
    <col min="4617" max="4617" width="22.125" style="85" customWidth="1"/>
    <col min="4618" max="4618" width="9.75" style="85" customWidth="1"/>
    <col min="4619" max="4619" width="7.375" style="85" customWidth="1"/>
    <col min="4620" max="4620" width="8.875" style="85"/>
    <col min="4621" max="4621" width="9.25" style="85" customWidth="1"/>
    <col min="4622" max="4622" width="3.5" style="85" customWidth="1"/>
    <col min="4623" max="4624" width="12.625" style="85" customWidth="1"/>
    <col min="4625" max="4625" width="8.875" style="85"/>
    <col min="4626" max="4626" width="7.75" style="85" customWidth="1"/>
    <col min="4627" max="4627" width="13.125" style="85" customWidth="1"/>
    <col min="4628" max="4628" width="6.125" style="85" customWidth="1"/>
    <col min="4629" max="4629" width="9.75" style="85" customWidth="1"/>
    <col min="4630" max="4630" width="1.375" style="85" customWidth="1"/>
    <col min="4631" max="4870" width="8.875" style="85"/>
    <col min="4871" max="4871" width="1.375" style="85" customWidth="1"/>
    <col min="4872" max="4872" width="3.5" style="85" customWidth="1"/>
    <col min="4873" max="4873" width="22.125" style="85" customWidth="1"/>
    <col min="4874" max="4874" width="9.75" style="85" customWidth="1"/>
    <col min="4875" max="4875" width="7.375" style="85" customWidth="1"/>
    <col min="4876" max="4876" width="8.875" style="85"/>
    <col min="4877" max="4877" width="9.25" style="85" customWidth="1"/>
    <col min="4878" max="4878" width="3.5" style="85" customWidth="1"/>
    <col min="4879" max="4880" width="12.625" style="85" customWidth="1"/>
    <col min="4881" max="4881" width="8.875" style="85"/>
    <col min="4882" max="4882" width="7.75" style="85" customWidth="1"/>
    <col min="4883" max="4883" width="13.125" style="85" customWidth="1"/>
    <col min="4884" max="4884" width="6.125" style="85" customWidth="1"/>
    <col min="4885" max="4885" width="9.75" style="85" customWidth="1"/>
    <col min="4886" max="4886" width="1.375" style="85" customWidth="1"/>
    <col min="4887" max="5126" width="8.875" style="85"/>
    <col min="5127" max="5127" width="1.375" style="85" customWidth="1"/>
    <col min="5128" max="5128" width="3.5" style="85" customWidth="1"/>
    <col min="5129" max="5129" width="22.125" style="85" customWidth="1"/>
    <col min="5130" max="5130" width="9.75" style="85" customWidth="1"/>
    <col min="5131" max="5131" width="7.375" style="85" customWidth="1"/>
    <col min="5132" max="5132" width="8.875" style="85"/>
    <col min="5133" max="5133" width="9.25" style="85" customWidth="1"/>
    <col min="5134" max="5134" width="3.5" style="85" customWidth="1"/>
    <col min="5135" max="5136" width="12.625" style="85" customWidth="1"/>
    <col min="5137" max="5137" width="8.875" style="85"/>
    <col min="5138" max="5138" width="7.75" style="85" customWidth="1"/>
    <col min="5139" max="5139" width="13.125" style="85" customWidth="1"/>
    <col min="5140" max="5140" width="6.125" style="85" customWidth="1"/>
    <col min="5141" max="5141" width="9.75" style="85" customWidth="1"/>
    <col min="5142" max="5142" width="1.375" style="85" customWidth="1"/>
    <col min="5143" max="5382" width="8.875" style="85"/>
    <col min="5383" max="5383" width="1.375" style="85" customWidth="1"/>
    <col min="5384" max="5384" width="3.5" style="85" customWidth="1"/>
    <col min="5385" max="5385" width="22.125" style="85" customWidth="1"/>
    <col min="5386" max="5386" width="9.75" style="85" customWidth="1"/>
    <col min="5387" max="5387" width="7.375" style="85" customWidth="1"/>
    <col min="5388" max="5388" width="8.875" style="85"/>
    <col min="5389" max="5389" width="9.25" style="85" customWidth="1"/>
    <col min="5390" max="5390" width="3.5" style="85" customWidth="1"/>
    <col min="5391" max="5392" width="12.625" style="85" customWidth="1"/>
    <col min="5393" max="5393" width="8.875" style="85"/>
    <col min="5394" max="5394" width="7.75" style="85" customWidth="1"/>
    <col min="5395" max="5395" width="13.125" style="85" customWidth="1"/>
    <col min="5396" max="5396" width="6.125" style="85" customWidth="1"/>
    <col min="5397" max="5397" width="9.75" style="85" customWidth="1"/>
    <col min="5398" max="5398" width="1.375" style="85" customWidth="1"/>
    <col min="5399" max="5638" width="8.875" style="85"/>
    <col min="5639" max="5639" width="1.375" style="85" customWidth="1"/>
    <col min="5640" max="5640" width="3.5" style="85" customWidth="1"/>
    <col min="5641" max="5641" width="22.125" style="85" customWidth="1"/>
    <col min="5642" max="5642" width="9.75" style="85" customWidth="1"/>
    <col min="5643" max="5643" width="7.375" style="85" customWidth="1"/>
    <col min="5644" max="5644" width="8.875" style="85"/>
    <col min="5645" max="5645" width="9.25" style="85" customWidth="1"/>
    <col min="5646" max="5646" width="3.5" style="85" customWidth="1"/>
    <col min="5647" max="5648" width="12.625" style="85" customWidth="1"/>
    <col min="5649" max="5649" width="8.875" style="85"/>
    <col min="5650" max="5650" width="7.75" style="85" customWidth="1"/>
    <col min="5651" max="5651" width="13.125" style="85" customWidth="1"/>
    <col min="5652" max="5652" width="6.125" style="85" customWidth="1"/>
    <col min="5653" max="5653" width="9.75" style="85" customWidth="1"/>
    <col min="5654" max="5654" width="1.375" style="85" customWidth="1"/>
    <col min="5655" max="5894" width="8.875" style="85"/>
    <col min="5895" max="5895" width="1.375" style="85" customWidth="1"/>
    <col min="5896" max="5896" width="3.5" style="85" customWidth="1"/>
    <col min="5897" max="5897" width="22.125" style="85" customWidth="1"/>
    <col min="5898" max="5898" width="9.75" style="85" customWidth="1"/>
    <col min="5899" max="5899" width="7.375" style="85" customWidth="1"/>
    <col min="5900" max="5900" width="8.875" style="85"/>
    <col min="5901" max="5901" width="9.25" style="85" customWidth="1"/>
    <col min="5902" max="5902" width="3.5" style="85" customWidth="1"/>
    <col min="5903" max="5904" width="12.625" style="85" customWidth="1"/>
    <col min="5905" max="5905" width="8.875" style="85"/>
    <col min="5906" max="5906" width="7.75" style="85" customWidth="1"/>
    <col min="5907" max="5907" width="13.125" style="85" customWidth="1"/>
    <col min="5908" max="5908" width="6.125" style="85" customWidth="1"/>
    <col min="5909" max="5909" width="9.75" style="85" customWidth="1"/>
    <col min="5910" max="5910" width="1.375" style="85" customWidth="1"/>
    <col min="5911" max="6150" width="8.875" style="85"/>
    <col min="6151" max="6151" width="1.375" style="85" customWidth="1"/>
    <col min="6152" max="6152" width="3.5" style="85" customWidth="1"/>
    <col min="6153" max="6153" width="22.125" style="85" customWidth="1"/>
    <col min="6154" max="6154" width="9.75" style="85" customWidth="1"/>
    <col min="6155" max="6155" width="7.375" style="85" customWidth="1"/>
    <col min="6156" max="6156" width="8.875" style="85"/>
    <col min="6157" max="6157" width="9.25" style="85" customWidth="1"/>
    <col min="6158" max="6158" width="3.5" style="85" customWidth="1"/>
    <col min="6159" max="6160" width="12.625" style="85" customWidth="1"/>
    <col min="6161" max="6161" width="8.875" style="85"/>
    <col min="6162" max="6162" width="7.75" style="85" customWidth="1"/>
    <col min="6163" max="6163" width="13.125" style="85" customWidth="1"/>
    <col min="6164" max="6164" width="6.125" style="85" customWidth="1"/>
    <col min="6165" max="6165" width="9.75" style="85" customWidth="1"/>
    <col min="6166" max="6166" width="1.375" style="85" customWidth="1"/>
    <col min="6167" max="6406" width="8.875" style="85"/>
    <col min="6407" max="6407" width="1.375" style="85" customWidth="1"/>
    <col min="6408" max="6408" width="3.5" style="85" customWidth="1"/>
    <col min="6409" max="6409" width="22.125" style="85" customWidth="1"/>
    <col min="6410" max="6410" width="9.75" style="85" customWidth="1"/>
    <col min="6411" max="6411" width="7.375" style="85" customWidth="1"/>
    <col min="6412" max="6412" width="8.875" style="85"/>
    <col min="6413" max="6413" width="9.25" style="85" customWidth="1"/>
    <col min="6414" max="6414" width="3.5" style="85" customWidth="1"/>
    <col min="6415" max="6416" width="12.625" style="85" customWidth="1"/>
    <col min="6417" max="6417" width="8.875" style="85"/>
    <col min="6418" max="6418" width="7.75" style="85" customWidth="1"/>
    <col min="6419" max="6419" width="13.125" style="85" customWidth="1"/>
    <col min="6420" max="6420" width="6.125" style="85" customWidth="1"/>
    <col min="6421" max="6421" width="9.75" style="85" customWidth="1"/>
    <col min="6422" max="6422" width="1.375" style="85" customWidth="1"/>
    <col min="6423" max="6662" width="8.875" style="85"/>
    <col min="6663" max="6663" width="1.375" style="85" customWidth="1"/>
    <col min="6664" max="6664" width="3.5" style="85" customWidth="1"/>
    <col min="6665" max="6665" width="22.125" style="85" customWidth="1"/>
    <col min="6666" max="6666" width="9.75" style="85" customWidth="1"/>
    <col min="6667" max="6667" width="7.375" style="85" customWidth="1"/>
    <col min="6668" max="6668" width="8.875" style="85"/>
    <col min="6669" max="6669" width="9.25" style="85" customWidth="1"/>
    <col min="6670" max="6670" width="3.5" style="85" customWidth="1"/>
    <col min="6671" max="6672" width="12.625" style="85" customWidth="1"/>
    <col min="6673" max="6673" width="8.875" style="85"/>
    <col min="6674" max="6674" width="7.75" style="85" customWidth="1"/>
    <col min="6675" max="6675" width="13.125" style="85" customWidth="1"/>
    <col min="6676" max="6676" width="6.125" style="85" customWidth="1"/>
    <col min="6677" max="6677" width="9.75" style="85" customWidth="1"/>
    <col min="6678" max="6678" width="1.375" style="85" customWidth="1"/>
    <col min="6679" max="6918" width="8.875" style="85"/>
    <col min="6919" max="6919" width="1.375" style="85" customWidth="1"/>
    <col min="6920" max="6920" width="3.5" style="85" customWidth="1"/>
    <col min="6921" max="6921" width="22.125" style="85" customWidth="1"/>
    <col min="6922" max="6922" width="9.75" style="85" customWidth="1"/>
    <col min="6923" max="6923" width="7.375" style="85" customWidth="1"/>
    <col min="6924" max="6924" width="8.875" style="85"/>
    <col min="6925" max="6925" width="9.25" style="85" customWidth="1"/>
    <col min="6926" max="6926" width="3.5" style="85" customWidth="1"/>
    <col min="6927" max="6928" width="12.625" style="85" customWidth="1"/>
    <col min="6929" max="6929" width="8.875" style="85"/>
    <col min="6930" max="6930" width="7.75" style="85" customWidth="1"/>
    <col min="6931" max="6931" width="13.125" style="85" customWidth="1"/>
    <col min="6932" max="6932" width="6.125" style="85" customWidth="1"/>
    <col min="6933" max="6933" width="9.75" style="85" customWidth="1"/>
    <col min="6934" max="6934" width="1.375" style="85" customWidth="1"/>
    <col min="6935" max="7174" width="8.875" style="85"/>
    <col min="7175" max="7175" width="1.375" style="85" customWidth="1"/>
    <col min="7176" max="7176" width="3.5" style="85" customWidth="1"/>
    <col min="7177" max="7177" width="22.125" style="85" customWidth="1"/>
    <col min="7178" max="7178" width="9.75" style="85" customWidth="1"/>
    <col min="7179" max="7179" width="7.375" style="85" customWidth="1"/>
    <col min="7180" max="7180" width="8.875" style="85"/>
    <col min="7181" max="7181" width="9.25" style="85" customWidth="1"/>
    <col min="7182" max="7182" width="3.5" style="85" customWidth="1"/>
    <col min="7183" max="7184" width="12.625" style="85" customWidth="1"/>
    <col min="7185" max="7185" width="8.875" style="85"/>
    <col min="7186" max="7186" width="7.75" style="85" customWidth="1"/>
    <col min="7187" max="7187" width="13.125" style="85" customWidth="1"/>
    <col min="7188" max="7188" width="6.125" style="85" customWidth="1"/>
    <col min="7189" max="7189" width="9.75" style="85" customWidth="1"/>
    <col min="7190" max="7190" width="1.375" style="85" customWidth="1"/>
    <col min="7191" max="7430" width="8.875" style="85"/>
    <col min="7431" max="7431" width="1.375" style="85" customWidth="1"/>
    <col min="7432" max="7432" width="3.5" style="85" customWidth="1"/>
    <col min="7433" max="7433" width="22.125" style="85" customWidth="1"/>
    <col min="7434" max="7434" width="9.75" style="85" customWidth="1"/>
    <col min="7435" max="7435" width="7.375" style="85" customWidth="1"/>
    <col min="7436" max="7436" width="8.875" style="85"/>
    <col min="7437" max="7437" width="9.25" style="85" customWidth="1"/>
    <col min="7438" max="7438" width="3.5" style="85" customWidth="1"/>
    <col min="7439" max="7440" width="12.625" style="85" customWidth="1"/>
    <col min="7441" max="7441" width="8.875" style="85"/>
    <col min="7442" max="7442" width="7.75" style="85" customWidth="1"/>
    <col min="7443" max="7443" width="13.125" style="85" customWidth="1"/>
    <col min="7444" max="7444" width="6.125" style="85" customWidth="1"/>
    <col min="7445" max="7445" width="9.75" style="85" customWidth="1"/>
    <col min="7446" max="7446" width="1.375" style="85" customWidth="1"/>
    <col min="7447" max="7686" width="8.875" style="85"/>
    <col min="7687" max="7687" width="1.375" style="85" customWidth="1"/>
    <col min="7688" max="7688" width="3.5" style="85" customWidth="1"/>
    <col min="7689" max="7689" width="22.125" style="85" customWidth="1"/>
    <col min="7690" max="7690" width="9.75" style="85" customWidth="1"/>
    <col min="7691" max="7691" width="7.375" style="85" customWidth="1"/>
    <col min="7692" max="7692" width="8.875" style="85"/>
    <col min="7693" max="7693" width="9.25" style="85" customWidth="1"/>
    <col min="7694" max="7694" width="3.5" style="85" customWidth="1"/>
    <col min="7695" max="7696" width="12.625" style="85" customWidth="1"/>
    <col min="7697" max="7697" width="8.875" style="85"/>
    <col min="7698" max="7698" width="7.75" style="85" customWidth="1"/>
    <col min="7699" max="7699" width="13.125" style="85" customWidth="1"/>
    <col min="7700" max="7700" width="6.125" style="85" customWidth="1"/>
    <col min="7701" max="7701" width="9.75" style="85" customWidth="1"/>
    <col min="7702" max="7702" width="1.375" style="85" customWidth="1"/>
    <col min="7703" max="7942" width="8.875" style="85"/>
    <col min="7943" max="7943" width="1.375" style="85" customWidth="1"/>
    <col min="7944" max="7944" width="3.5" style="85" customWidth="1"/>
    <col min="7945" max="7945" width="22.125" style="85" customWidth="1"/>
    <col min="7946" max="7946" width="9.75" style="85" customWidth="1"/>
    <col min="7947" max="7947" width="7.375" style="85" customWidth="1"/>
    <col min="7948" max="7948" width="8.875" style="85"/>
    <col min="7949" max="7949" width="9.25" style="85" customWidth="1"/>
    <col min="7950" max="7950" width="3.5" style="85" customWidth="1"/>
    <col min="7951" max="7952" width="12.625" style="85" customWidth="1"/>
    <col min="7953" max="7953" width="8.875" style="85"/>
    <col min="7954" max="7954" width="7.75" style="85" customWidth="1"/>
    <col min="7955" max="7955" width="13.125" style="85" customWidth="1"/>
    <col min="7956" max="7956" width="6.125" style="85" customWidth="1"/>
    <col min="7957" max="7957" width="9.75" style="85" customWidth="1"/>
    <col min="7958" max="7958" width="1.375" style="85" customWidth="1"/>
    <col min="7959" max="8198" width="8.875" style="85"/>
    <col min="8199" max="8199" width="1.375" style="85" customWidth="1"/>
    <col min="8200" max="8200" width="3.5" style="85" customWidth="1"/>
    <col min="8201" max="8201" width="22.125" style="85" customWidth="1"/>
    <col min="8202" max="8202" width="9.75" style="85" customWidth="1"/>
    <col min="8203" max="8203" width="7.375" style="85" customWidth="1"/>
    <col min="8204" max="8204" width="8.875" style="85"/>
    <col min="8205" max="8205" width="9.25" style="85" customWidth="1"/>
    <col min="8206" max="8206" width="3.5" style="85" customWidth="1"/>
    <col min="8207" max="8208" width="12.625" style="85" customWidth="1"/>
    <col min="8209" max="8209" width="8.875" style="85"/>
    <col min="8210" max="8210" width="7.75" style="85" customWidth="1"/>
    <col min="8211" max="8211" width="13.125" style="85" customWidth="1"/>
    <col min="8212" max="8212" width="6.125" style="85" customWidth="1"/>
    <col min="8213" max="8213" width="9.75" style="85" customWidth="1"/>
    <col min="8214" max="8214" width="1.375" style="85" customWidth="1"/>
    <col min="8215" max="8454" width="8.875" style="85"/>
    <col min="8455" max="8455" width="1.375" style="85" customWidth="1"/>
    <col min="8456" max="8456" width="3.5" style="85" customWidth="1"/>
    <col min="8457" max="8457" width="22.125" style="85" customWidth="1"/>
    <col min="8458" max="8458" width="9.75" style="85" customWidth="1"/>
    <col min="8459" max="8459" width="7.375" style="85" customWidth="1"/>
    <col min="8460" max="8460" width="8.875" style="85"/>
    <col min="8461" max="8461" width="9.25" style="85" customWidth="1"/>
    <col min="8462" max="8462" width="3.5" style="85" customWidth="1"/>
    <col min="8463" max="8464" width="12.625" style="85" customWidth="1"/>
    <col min="8465" max="8465" width="8.875" style="85"/>
    <col min="8466" max="8466" width="7.75" style="85" customWidth="1"/>
    <col min="8467" max="8467" width="13.125" style="85" customWidth="1"/>
    <col min="8468" max="8468" width="6.125" style="85" customWidth="1"/>
    <col min="8469" max="8469" width="9.75" style="85" customWidth="1"/>
    <col min="8470" max="8470" width="1.375" style="85" customWidth="1"/>
    <col min="8471" max="8710" width="8.875" style="85"/>
    <col min="8711" max="8711" width="1.375" style="85" customWidth="1"/>
    <col min="8712" max="8712" width="3.5" style="85" customWidth="1"/>
    <col min="8713" max="8713" width="22.125" style="85" customWidth="1"/>
    <col min="8714" max="8714" width="9.75" style="85" customWidth="1"/>
    <col min="8715" max="8715" width="7.375" style="85" customWidth="1"/>
    <col min="8716" max="8716" width="8.875" style="85"/>
    <col min="8717" max="8717" width="9.25" style="85" customWidth="1"/>
    <col min="8718" max="8718" width="3.5" style="85" customWidth="1"/>
    <col min="8719" max="8720" width="12.625" style="85" customWidth="1"/>
    <col min="8721" max="8721" width="8.875" style="85"/>
    <col min="8722" max="8722" width="7.75" style="85" customWidth="1"/>
    <col min="8723" max="8723" width="13.125" style="85" customWidth="1"/>
    <col min="8724" max="8724" width="6.125" style="85" customWidth="1"/>
    <col min="8725" max="8725" width="9.75" style="85" customWidth="1"/>
    <col min="8726" max="8726" width="1.375" style="85" customWidth="1"/>
    <col min="8727" max="8966" width="8.875" style="85"/>
    <col min="8967" max="8967" width="1.375" style="85" customWidth="1"/>
    <col min="8968" max="8968" width="3.5" style="85" customWidth="1"/>
    <col min="8969" max="8969" width="22.125" style="85" customWidth="1"/>
    <col min="8970" max="8970" width="9.75" style="85" customWidth="1"/>
    <col min="8971" max="8971" width="7.375" style="85" customWidth="1"/>
    <col min="8972" max="8972" width="8.875" style="85"/>
    <col min="8973" max="8973" width="9.25" style="85" customWidth="1"/>
    <col min="8974" max="8974" width="3.5" style="85" customWidth="1"/>
    <col min="8975" max="8976" width="12.625" style="85" customWidth="1"/>
    <col min="8977" max="8977" width="8.875" style="85"/>
    <col min="8978" max="8978" width="7.75" style="85" customWidth="1"/>
    <col min="8979" max="8979" width="13.125" style="85" customWidth="1"/>
    <col min="8980" max="8980" width="6.125" style="85" customWidth="1"/>
    <col min="8981" max="8981" width="9.75" style="85" customWidth="1"/>
    <col min="8982" max="8982" width="1.375" style="85" customWidth="1"/>
    <col min="8983" max="9222" width="8.875" style="85"/>
    <col min="9223" max="9223" width="1.375" style="85" customWidth="1"/>
    <col min="9224" max="9224" width="3.5" style="85" customWidth="1"/>
    <col min="9225" max="9225" width="22.125" style="85" customWidth="1"/>
    <col min="9226" max="9226" width="9.75" style="85" customWidth="1"/>
    <col min="9227" max="9227" width="7.375" style="85" customWidth="1"/>
    <col min="9228" max="9228" width="8.875" style="85"/>
    <col min="9229" max="9229" width="9.25" style="85" customWidth="1"/>
    <col min="9230" max="9230" width="3.5" style="85" customWidth="1"/>
    <col min="9231" max="9232" width="12.625" style="85" customWidth="1"/>
    <col min="9233" max="9233" width="8.875" style="85"/>
    <col min="9234" max="9234" width="7.75" style="85" customWidth="1"/>
    <col min="9235" max="9235" width="13.125" style="85" customWidth="1"/>
    <col min="9236" max="9236" width="6.125" style="85" customWidth="1"/>
    <col min="9237" max="9237" width="9.75" style="85" customWidth="1"/>
    <col min="9238" max="9238" width="1.375" style="85" customWidth="1"/>
    <col min="9239" max="9478" width="8.875" style="85"/>
    <col min="9479" max="9479" width="1.375" style="85" customWidth="1"/>
    <col min="9480" max="9480" width="3.5" style="85" customWidth="1"/>
    <col min="9481" max="9481" width="22.125" style="85" customWidth="1"/>
    <col min="9482" max="9482" width="9.75" style="85" customWidth="1"/>
    <col min="9483" max="9483" width="7.375" style="85" customWidth="1"/>
    <col min="9484" max="9484" width="8.875" style="85"/>
    <col min="9485" max="9485" width="9.25" style="85" customWidth="1"/>
    <col min="9486" max="9486" width="3.5" style="85" customWidth="1"/>
    <col min="9487" max="9488" width="12.625" style="85" customWidth="1"/>
    <col min="9489" max="9489" width="8.875" style="85"/>
    <col min="9490" max="9490" width="7.75" style="85" customWidth="1"/>
    <col min="9491" max="9491" width="13.125" style="85" customWidth="1"/>
    <col min="9492" max="9492" width="6.125" style="85" customWidth="1"/>
    <col min="9493" max="9493" width="9.75" style="85" customWidth="1"/>
    <col min="9494" max="9494" width="1.375" style="85" customWidth="1"/>
    <col min="9495" max="9734" width="8.875" style="85"/>
    <col min="9735" max="9735" width="1.375" style="85" customWidth="1"/>
    <col min="9736" max="9736" width="3.5" style="85" customWidth="1"/>
    <col min="9737" max="9737" width="22.125" style="85" customWidth="1"/>
    <col min="9738" max="9738" width="9.75" style="85" customWidth="1"/>
    <col min="9739" max="9739" width="7.375" style="85" customWidth="1"/>
    <col min="9740" max="9740" width="8.875" style="85"/>
    <col min="9741" max="9741" width="9.25" style="85" customWidth="1"/>
    <col min="9742" max="9742" width="3.5" style="85" customWidth="1"/>
    <col min="9743" max="9744" width="12.625" style="85" customWidth="1"/>
    <col min="9745" max="9745" width="8.875" style="85"/>
    <col min="9746" max="9746" width="7.75" style="85" customWidth="1"/>
    <col min="9747" max="9747" width="13.125" style="85" customWidth="1"/>
    <col min="9748" max="9748" width="6.125" style="85" customWidth="1"/>
    <col min="9749" max="9749" width="9.75" style="85" customWidth="1"/>
    <col min="9750" max="9750" width="1.375" style="85" customWidth="1"/>
    <col min="9751" max="9990" width="8.875" style="85"/>
    <col min="9991" max="9991" width="1.375" style="85" customWidth="1"/>
    <col min="9992" max="9992" width="3.5" style="85" customWidth="1"/>
    <col min="9993" max="9993" width="22.125" style="85" customWidth="1"/>
    <col min="9994" max="9994" width="9.75" style="85" customWidth="1"/>
    <col min="9995" max="9995" width="7.375" style="85" customWidth="1"/>
    <col min="9996" max="9996" width="8.875" style="85"/>
    <col min="9997" max="9997" width="9.25" style="85" customWidth="1"/>
    <col min="9998" max="9998" width="3.5" style="85" customWidth="1"/>
    <col min="9999" max="10000" width="12.625" style="85" customWidth="1"/>
    <col min="10001" max="10001" width="8.875" style="85"/>
    <col min="10002" max="10002" width="7.75" style="85" customWidth="1"/>
    <col min="10003" max="10003" width="13.125" style="85" customWidth="1"/>
    <col min="10004" max="10004" width="6.125" style="85" customWidth="1"/>
    <col min="10005" max="10005" width="9.75" style="85" customWidth="1"/>
    <col min="10006" max="10006" width="1.375" style="85" customWidth="1"/>
    <col min="10007" max="10246" width="8.875" style="85"/>
    <col min="10247" max="10247" width="1.375" style="85" customWidth="1"/>
    <col min="10248" max="10248" width="3.5" style="85" customWidth="1"/>
    <col min="10249" max="10249" width="22.125" style="85" customWidth="1"/>
    <col min="10250" max="10250" width="9.75" style="85" customWidth="1"/>
    <col min="10251" max="10251" width="7.375" style="85" customWidth="1"/>
    <col min="10252" max="10252" width="8.875" style="85"/>
    <col min="10253" max="10253" width="9.25" style="85" customWidth="1"/>
    <col min="10254" max="10254" width="3.5" style="85" customWidth="1"/>
    <col min="10255" max="10256" width="12.625" style="85" customWidth="1"/>
    <col min="10257" max="10257" width="8.875" style="85"/>
    <col min="10258" max="10258" width="7.75" style="85" customWidth="1"/>
    <col min="10259" max="10259" width="13.125" style="85" customWidth="1"/>
    <col min="10260" max="10260" width="6.125" style="85" customWidth="1"/>
    <col min="10261" max="10261" width="9.75" style="85" customWidth="1"/>
    <col min="10262" max="10262" width="1.375" style="85" customWidth="1"/>
    <col min="10263" max="10502" width="8.875" style="85"/>
    <col min="10503" max="10503" width="1.375" style="85" customWidth="1"/>
    <col min="10504" max="10504" width="3.5" style="85" customWidth="1"/>
    <col min="10505" max="10505" width="22.125" style="85" customWidth="1"/>
    <col min="10506" max="10506" width="9.75" style="85" customWidth="1"/>
    <col min="10507" max="10507" width="7.375" style="85" customWidth="1"/>
    <col min="10508" max="10508" width="8.875" style="85"/>
    <col min="10509" max="10509" width="9.25" style="85" customWidth="1"/>
    <col min="10510" max="10510" width="3.5" style="85" customWidth="1"/>
    <col min="10511" max="10512" width="12.625" style="85" customWidth="1"/>
    <col min="10513" max="10513" width="8.875" style="85"/>
    <col min="10514" max="10514" width="7.75" style="85" customWidth="1"/>
    <col min="10515" max="10515" width="13.125" style="85" customWidth="1"/>
    <col min="10516" max="10516" width="6.125" style="85" customWidth="1"/>
    <col min="10517" max="10517" width="9.75" style="85" customWidth="1"/>
    <col min="10518" max="10518" width="1.375" style="85" customWidth="1"/>
    <col min="10519" max="10758" width="8.875" style="85"/>
    <col min="10759" max="10759" width="1.375" style="85" customWidth="1"/>
    <col min="10760" max="10760" width="3.5" style="85" customWidth="1"/>
    <col min="10761" max="10761" width="22.125" style="85" customWidth="1"/>
    <col min="10762" max="10762" width="9.75" style="85" customWidth="1"/>
    <col min="10763" max="10763" width="7.375" style="85" customWidth="1"/>
    <col min="10764" max="10764" width="8.875" style="85"/>
    <col min="10765" max="10765" width="9.25" style="85" customWidth="1"/>
    <col min="10766" max="10766" width="3.5" style="85" customWidth="1"/>
    <col min="10767" max="10768" width="12.625" style="85" customWidth="1"/>
    <col min="10769" max="10769" width="8.875" style="85"/>
    <col min="10770" max="10770" width="7.75" style="85" customWidth="1"/>
    <col min="10771" max="10771" width="13.125" style="85" customWidth="1"/>
    <col min="10772" max="10772" width="6.125" style="85" customWidth="1"/>
    <col min="10773" max="10773" width="9.75" style="85" customWidth="1"/>
    <col min="10774" max="10774" width="1.375" style="85" customWidth="1"/>
    <col min="10775" max="11014" width="8.875" style="85"/>
    <col min="11015" max="11015" width="1.375" style="85" customWidth="1"/>
    <col min="11016" max="11016" width="3.5" style="85" customWidth="1"/>
    <col min="11017" max="11017" width="22.125" style="85" customWidth="1"/>
    <col min="11018" max="11018" width="9.75" style="85" customWidth="1"/>
    <col min="11019" max="11019" width="7.375" style="85" customWidth="1"/>
    <col min="11020" max="11020" width="8.875" style="85"/>
    <col min="11021" max="11021" width="9.25" style="85" customWidth="1"/>
    <col min="11022" max="11022" width="3.5" style="85" customWidth="1"/>
    <col min="11023" max="11024" width="12.625" style="85" customWidth="1"/>
    <col min="11025" max="11025" width="8.875" style="85"/>
    <col min="11026" max="11026" width="7.75" style="85" customWidth="1"/>
    <col min="11027" max="11027" width="13.125" style="85" customWidth="1"/>
    <col min="11028" max="11028" width="6.125" style="85" customWidth="1"/>
    <col min="11029" max="11029" width="9.75" style="85" customWidth="1"/>
    <col min="11030" max="11030" width="1.375" style="85" customWidth="1"/>
    <col min="11031" max="11270" width="8.875" style="85"/>
    <col min="11271" max="11271" width="1.375" style="85" customWidth="1"/>
    <col min="11272" max="11272" width="3.5" style="85" customWidth="1"/>
    <col min="11273" max="11273" width="22.125" style="85" customWidth="1"/>
    <col min="11274" max="11274" width="9.75" style="85" customWidth="1"/>
    <col min="11275" max="11275" width="7.375" style="85" customWidth="1"/>
    <col min="11276" max="11276" width="8.875" style="85"/>
    <col min="11277" max="11277" width="9.25" style="85" customWidth="1"/>
    <col min="11278" max="11278" width="3.5" style="85" customWidth="1"/>
    <col min="11279" max="11280" width="12.625" style="85" customWidth="1"/>
    <col min="11281" max="11281" width="8.875" style="85"/>
    <col min="11282" max="11282" width="7.75" style="85" customWidth="1"/>
    <col min="11283" max="11283" width="13.125" style="85" customWidth="1"/>
    <col min="11284" max="11284" width="6.125" style="85" customWidth="1"/>
    <col min="11285" max="11285" width="9.75" style="85" customWidth="1"/>
    <col min="11286" max="11286" width="1.375" style="85" customWidth="1"/>
    <col min="11287" max="11526" width="8.875" style="85"/>
    <col min="11527" max="11527" width="1.375" style="85" customWidth="1"/>
    <col min="11528" max="11528" width="3.5" style="85" customWidth="1"/>
    <col min="11529" max="11529" width="22.125" style="85" customWidth="1"/>
    <col min="11530" max="11530" width="9.75" style="85" customWidth="1"/>
    <col min="11531" max="11531" width="7.375" style="85" customWidth="1"/>
    <col min="11532" max="11532" width="8.875" style="85"/>
    <col min="11533" max="11533" width="9.25" style="85" customWidth="1"/>
    <col min="11534" max="11534" width="3.5" style="85" customWidth="1"/>
    <col min="11535" max="11536" width="12.625" style="85" customWidth="1"/>
    <col min="11537" max="11537" width="8.875" style="85"/>
    <col min="11538" max="11538" width="7.75" style="85" customWidth="1"/>
    <col min="11539" max="11539" width="13.125" style="85" customWidth="1"/>
    <col min="11540" max="11540" width="6.125" style="85" customWidth="1"/>
    <col min="11541" max="11541" width="9.75" style="85" customWidth="1"/>
    <col min="11542" max="11542" width="1.375" style="85" customWidth="1"/>
    <col min="11543" max="11782" width="8.875" style="85"/>
    <col min="11783" max="11783" width="1.375" style="85" customWidth="1"/>
    <col min="11784" max="11784" width="3.5" style="85" customWidth="1"/>
    <col min="11785" max="11785" width="22.125" style="85" customWidth="1"/>
    <col min="11786" max="11786" width="9.75" style="85" customWidth="1"/>
    <col min="11787" max="11787" width="7.375" style="85" customWidth="1"/>
    <col min="11788" max="11788" width="8.875" style="85"/>
    <col min="11789" max="11789" width="9.25" style="85" customWidth="1"/>
    <col min="11790" max="11790" width="3.5" style="85" customWidth="1"/>
    <col min="11791" max="11792" width="12.625" style="85" customWidth="1"/>
    <col min="11793" max="11793" width="8.875" style="85"/>
    <col min="11794" max="11794" width="7.75" style="85" customWidth="1"/>
    <col min="11795" max="11795" width="13.125" style="85" customWidth="1"/>
    <col min="11796" max="11796" width="6.125" style="85" customWidth="1"/>
    <col min="11797" max="11797" width="9.75" style="85" customWidth="1"/>
    <col min="11798" max="11798" width="1.375" style="85" customWidth="1"/>
    <col min="11799" max="12038" width="8.875" style="85"/>
    <col min="12039" max="12039" width="1.375" style="85" customWidth="1"/>
    <col min="12040" max="12040" width="3.5" style="85" customWidth="1"/>
    <col min="12041" max="12041" width="22.125" style="85" customWidth="1"/>
    <col min="12042" max="12042" width="9.75" style="85" customWidth="1"/>
    <col min="12043" max="12043" width="7.375" style="85" customWidth="1"/>
    <col min="12044" max="12044" width="8.875" style="85"/>
    <col min="12045" max="12045" width="9.25" style="85" customWidth="1"/>
    <col min="12046" max="12046" width="3.5" style="85" customWidth="1"/>
    <col min="12047" max="12048" width="12.625" style="85" customWidth="1"/>
    <col min="12049" max="12049" width="8.875" style="85"/>
    <col min="12050" max="12050" width="7.75" style="85" customWidth="1"/>
    <col min="12051" max="12051" width="13.125" style="85" customWidth="1"/>
    <col min="12052" max="12052" width="6.125" style="85" customWidth="1"/>
    <col min="12053" max="12053" width="9.75" style="85" customWidth="1"/>
    <col min="12054" max="12054" width="1.375" style="85" customWidth="1"/>
    <col min="12055" max="12294" width="8.875" style="85"/>
    <col min="12295" max="12295" width="1.375" style="85" customWidth="1"/>
    <col min="12296" max="12296" width="3.5" style="85" customWidth="1"/>
    <col min="12297" max="12297" width="22.125" style="85" customWidth="1"/>
    <col min="12298" max="12298" width="9.75" style="85" customWidth="1"/>
    <col min="12299" max="12299" width="7.375" style="85" customWidth="1"/>
    <col min="12300" max="12300" width="8.875" style="85"/>
    <col min="12301" max="12301" width="9.25" style="85" customWidth="1"/>
    <col min="12302" max="12302" width="3.5" style="85" customWidth="1"/>
    <col min="12303" max="12304" width="12.625" style="85" customWidth="1"/>
    <col min="12305" max="12305" width="8.875" style="85"/>
    <col min="12306" max="12306" width="7.75" style="85" customWidth="1"/>
    <col min="12307" max="12307" width="13.125" style="85" customWidth="1"/>
    <col min="12308" max="12308" width="6.125" style="85" customWidth="1"/>
    <col min="12309" max="12309" width="9.75" style="85" customWidth="1"/>
    <col min="12310" max="12310" width="1.375" style="85" customWidth="1"/>
    <col min="12311" max="12550" width="8.875" style="85"/>
    <col min="12551" max="12551" width="1.375" style="85" customWidth="1"/>
    <col min="12552" max="12552" width="3.5" style="85" customWidth="1"/>
    <col min="12553" max="12553" width="22.125" style="85" customWidth="1"/>
    <col min="12554" max="12554" width="9.75" style="85" customWidth="1"/>
    <col min="12555" max="12555" width="7.375" style="85" customWidth="1"/>
    <col min="12556" max="12556" width="8.875" style="85"/>
    <col min="12557" max="12557" width="9.25" style="85" customWidth="1"/>
    <col min="12558" max="12558" width="3.5" style="85" customWidth="1"/>
    <col min="12559" max="12560" width="12.625" style="85" customWidth="1"/>
    <col min="12561" max="12561" width="8.875" style="85"/>
    <col min="12562" max="12562" width="7.75" style="85" customWidth="1"/>
    <col min="12563" max="12563" width="13.125" style="85" customWidth="1"/>
    <col min="12564" max="12564" width="6.125" style="85" customWidth="1"/>
    <col min="12565" max="12565" width="9.75" style="85" customWidth="1"/>
    <col min="12566" max="12566" width="1.375" style="85" customWidth="1"/>
    <col min="12567" max="12806" width="8.875" style="85"/>
    <col min="12807" max="12807" width="1.375" style="85" customWidth="1"/>
    <col min="12808" max="12808" width="3.5" style="85" customWidth="1"/>
    <col min="12809" max="12809" width="22.125" style="85" customWidth="1"/>
    <col min="12810" max="12810" width="9.75" style="85" customWidth="1"/>
    <col min="12811" max="12811" width="7.375" style="85" customWidth="1"/>
    <col min="12812" max="12812" width="8.875" style="85"/>
    <col min="12813" max="12813" width="9.25" style="85" customWidth="1"/>
    <col min="12814" max="12814" width="3.5" style="85" customWidth="1"/>
    <col min="12815" max="12816" width="12.625" style="85" customWidth="1"/>
    <col min="12817" max="12817" width="8.875" style="85"/>
    <col min="12818" max="12818" width="7.75" style="85" customWidth="1"/>
    <col min="12819" max="12819" width="13.125" style="85" customWidth="1"/>
    <col min="12820" max="12820" width="6.125" style="85" customWidth="1"/>
    <col min="12821" max="12821" width="9.75" style="85" customWidth="1"/>
    <col min="12822" max="12822" width="1.375" style="85" customWidth="1"/>
    <col min="12823" max="13062" width="8.875" style="85"/>
    <col min="13063" max="13063" width="1.375" style="85" customWidth="1"/>
    <col min="13064" max="13064" width="3.5" style="85" customWidth="1"/>
    <col min="13065" max="13065" width="22.125" style="85" customWidth="1"/>
    <col min="13066" max="13066" width="9.75" style="85" customWidth="1"/>
    <col min="13067" max="13067" width="7.375" style="85" customWidth="1"/>
    <col min="13068" max="13068" width="8.875" style="85"/>
    <col min="13069" max="13069" width="9.25" style="85" customWidth="1"/>
    <col min="13070" max="13070" width="3.5" style="85" customWidth="1"/>
    <col min="13071" max="13072" width="12.625" style="85" customWidth="1"/>
    <col min="13073" max="13073" width="8.875" style="85"/>
    <col min="13074" max="13074" width="7.75" style="85" customWidth="1"/>
    <col min="13075" max="13075" width="13.125" style="85" customWidth="1"/>
    <col min="13076" max="13076" width="6.125" style="85" customWidth="1"/>
    <col min="13077" max="13077" width="9.75" style="85" customWidth="1"/>
    <col min="13078" max="13078" width="1.375" style="85" customWidth="1"/>
    <col min="13079" max="13318" width="8.875" style="85"/>
    <col min="13319" max="13319" width="1.375" style="85" customWidth="1"/>
    <col min="13320" max="13320" width="3.5" style="85" customWidth="1"/>
    <col min="13321" max="13321" width="22.125" style="85" customWidth="1"/>
    <col min="13322" max="13322" width="9.75" style="85" customWidth="1"/>
    <col min="13323" max="13323" width="7.375" style="85" customWidth="1"/>
    <col min="13324" max="13324" width="8.875" style="85"/>
    <col min="13325" max="13325" width="9.25" style="85" customWidth="1"/>
    <col min="13326" max="13326" width="3.5" style="85" customWidth="1"/>
    <col min="13327" max="13328" width="12.625" style="85" customWidth="1"/>
    <col min="13329" max="13329" width="8.875" style="85"/>
    <col min="13330" max="13330" width="7.75" style="85" customWidth="1"/>
    <col min="13331" max="13331" width="13.125" style="85" customWidth="1"/>
    <col min="13332" max="13332" width="6.125" style="85" customWidth="1"/>
    <col min="13333" max="13333" width="9.75" style="85" customWidth="1"/>
    <col min="13334" max="13334" width="1.375" style="85" customWidth="1"/>
    <col min="13335" max="13574" width="8.875" style="85"/>
    <col min="13575" max="13575" width="1.375" style="85" customWidth="1"/>
    <col min="13576" max="13576" width="3.5" style="85" customWidth="1"/>
    <col min="13577" max="13577" width="22.125" style="85" customWidth="1"/>
    <col min="13578" max="13578" width="9.75" style="85" customWidth="1"/>
    <col min="13579" max="13579" width="7.375" style="85" customWidth="1"/>
    <col min="13580" max="13580" width="8.875" style="85"/>
    <col min="13581" max="13581" width="9.25" style="85" customWidth="1"/>
    <col min="13582" max="13582" width="3.5" style="85" customWidth="1"/>
    <col min="13583" max="13584" width="12.625" style="85" customWidth="1"/>
    <col min="13585" max="13585" width="8.875" style="85"/>
    <col min="13586" max="13586" width="7.75" style="85" customWidth="1"/>
    <col min="13587" max="13587" width="13.125" style="85" customWidth="1"/>
    <col min="13588" max="13588" width="6.125" style="85" customWidth="1"/>
    <col min="13589" max="13589" width="9.75" style="85" customWidth="1"/>
    <col min="13590" max="13590" width="1.375" style="85" customWidth="1"/>
    <col min="13591" max="13830" width="8.875" style="85"/>
    <col min="13831" max="13831" width="1.375" style="85" customWidth="1"/>
    <col min="13832" max="13832" width="3.5" style="85" customWidth="1"/>
    <col min="13833" max="13833" width="22.125" style="85" customWidth="1"/>
    <col min="13834" max="13834" width="9.75" style="85" customWidth="1"/>
    <col min="13835" max="13835" width="7.375" style="85" customWidth="1"/>
    <col min="13836" max="13836" width="8.875" style="85"/>
    <col min="13837" max="13837" width="9.25" style="85" customWidth="1"/>
    <col min="13838" max="13838" width="3.5" style="85" customWidth="1"/>
    <col min="13839" max="13840" width="12.625" style="85" customWidth="1"/>
    <col min="13841" max="13841" width="8.875" style="85"/>
    <col min="13842" max="13842" width="7.75" style="85" customWidth="1"/>
    <col min="13843" max="13843" width="13.125" style="85" customWidth="1"/>
    <col min="13844" max="13844" width="6.125" style="85" customWidth="1"/>
    <col min="13845" max="13845" width="9.75" style="85" customWidth="1"/>
    <col min="13846" max="13846" width="1.375" style="85" customWidth="1"/>
    <col min="13847" max="14086" width="8.875" style="85"/>
    <col min="14087" max="14087" width="1.375" style="85" customWidth="1"/>
    <col min="14088" max="14088" width="3.5" style="85" customWidth="1"/>
    <col min="14089" max="14089" width="22.125" style="85" customWidth="1"/>
    <col min="14090" max="14090" width="9.75" style="85" customWidth="1"/>
    <col min="14091" max="14091" width="7.375" style="85" customWidth="1"/>
    <col min="14092" max="14092" width="8.875" style="85"/>
    <col min="14093" max="14093" width="9.25" style="85" customWidth="1"/>
    <col min="14094" max="14094" width="3.5" style="85" customWidth="1"/>
    <col min="14095" max="14096" width="12.625" style="85" customWidth="1"/>
    <col min="14097" max="14097" width="8.875" style="85"/>
    <col min="14098" max="14098" width="7.75" style="85" customWidth="1"/>
    <col min="14099" max="14099" width="13.125" style="85" customWidth="1"/>
    <col min="14100" max="14100" width="6.125" style="85" customWidth="1"/>
    <col min="14101" max="14101" width="9.75" style="85" customWidth="1"/>
    <col min="14102" max="14102" width="1.375" style="85" customWidth="1"/>
    <col min="14103" max="14342" width="8.875" style="85"/>
    <col min="14343" max="14343" width="1.375" style="85" customWidth="1"/>
    <col min="14344" max="14344" width="3.5" style="85" customWidth="1"/>
    <col min="14345" max="14345" width="22.125" style="85" customWidth="1"/>
    <col min="14346" max="14346" width="9.75" style="85" customWidth="1"/>
    <col min="14347" max="14347" width="7.375" style="85" customWidth="1"/>
    <col min="14348" max="14348" width="8.875" style="85"/>
    <col min="14349" max="14349" width="9.25" style="85" customWidth="1"/>
    <col min="14350" max="14350" width="3.5" style="85" customWidth="1"/>
    <col min="14351" max="14352" width="12.625" style="85" customWidth="1"/>
    <col min="14353" max="14353" width="8.875" style="85"/>
    <col min="14354" max="14354" width="7.75" style="85" customWidth="1"/>
    <col min="14355" max="14355" width="13.125" style="85" customWidth="1"/>
    <col min="14356" max="14356" width="6.125" style="85" customWidth="1"/>
    <col min="14357" max="14357" width="9.75" style="85" customWidth="1"/>
    <col min="14358" max="14358" width="1.375" style="85" customWidth="1"/>
    <col min="14359" max="14598" width="8.875" style="85"/>
    <col min="14599" max="14599" width="1.375" style="85" customWidth="1"/>
    <col min="14600" max="14600" width="3.5" style="85" customWidth="1"/>
    <col min="14601" max="14601" width="22.125" style="85" customWidth="1"/>
    <col min="14602" max="14602" width="9.75" style="85" customWidth="1"/>
    <col min="14603" max="14603" width="7.375" style="85" customWidth="1"/>
    <col min="14604" max="14604" width="8.875" style="85"/>
    <col min="14605" max="14605" width="9.25" style="85" customWidth="1"/>
    <col min="14606" max="14606" width="3.5" style="85" customWidth="1"/>
    <col min="14607" max="14608" width="12.625" style="85" customWidth="1"/>
    <col min="14609" max="14609" width="8.875" style="85"/>
    <col min="14610" max="14610" width="7.75" style="85" customWidth="1"/>
    <col min="14611" max="14611" width="13.125" style="85" customWidth="1"/>
    <col min="14612" max="14612" width="6.125" style="85" customWidth="1"/>
    <col min="14613" max="14613" width="9.75" style="85" customWidth="1"/>
    <col min="14614" max="14614" width="1.375" style="85" customWidth="1"/>
    <col min="14615" max="14854" width="8.875" style="85"/>
    <col min="14855" max="14855" width="1.375" style="85" customWidth="1"/>
    <col min="14856" max="14856" width="3.5" style="85" customWidth="1"/>
    <col min="14857" max="14857" width="22.125" style="85" customWidth="1"/>
    <col min="14858" max="14858" width="9.75" style="85" customWidth="1"/>
    <col min="14859" max="14859" width="7.375" style="85" customWidth="1"/>
    <col min="14860" max="14860" width="8.875" style="85"/>
    <col min="14861" max="14861" width="9.25" style="85" customWidth="1"/>
    <col min="14862" max="14862" width="3.5" style="85" customWidth="1"/>
    <col min="14863" max="14864" width="12.625" style="85" customWidth="1"/>
    <col min="14865" max="14865" width="8.875" style="85"/>
    <col min="14866" max="14866" width="7.75" style="85" customWidth="1"/>
    <col min="14867" max="14867" width="13.125" style="85" customWidth="1"/>
    <col min="14868" max="14868" width="6.125" style="85" customWidth="1"/>
    <col min="14869" max="14869" width="9.75" style="85" customWidth="1"/>
    <col min="14870" max="14870" width="1.375" style="85" customWidth="1"/>
    <col min="14871" max="15110" width="8.875" style="85"/>
    <col min="15111" max="15111" width="1.375" style="85" customWidth="1"/>
    <col min="15112" max="15112" width="3.5" style="85" customWidth="1"/>
    <col min="15113" max="15113" width="22.125" style="85" customWidth="1"/>
    <col min="15114" max="15114" width="9.75" style="85" customWidth="1"/>
    <col min="15115" max="15115" width="7.375" style="85" customWidth="1"/>
    <col min="15116" max="15116" width="8.875" style="85"/>
    <col min="15117" max="15117" width="9.25" style="85" customWidth="1"/>
    <col min="15118" max="15118" width="3.5" style="85" customWidth="1"/>
    <col min="15119" max="15120" width="12.625" style="85" customWidth="1"/>
    <col min="15121" max="15121" width="8.875" style="85"/>
    <col min="15122" max="15122" width="7.75" style="85" customWidth="1"/>
    <col min="15123" max="15123" width="13.125" style="85" customWidth="1"/>
    <col min="15124" max="15124" width="6.125" style="85" customWidth="1"/>
    <col min="15125" max="15125" width="9.75" style="85" customWidth="1"/>
    <col min="15126" max="15126" width="1.375" style="85" customWidth="1"/>
    <col min="15127" max="15366" width="8.875" style="85"/>
    <col min="15367" max="15367" width="1.375" style="85" customWidth="1"/>
    <col min="15368" max="15368" width="3.5" style="85" customWidth="1"/>
    <col min="15369" max="15369" width="22.125" style="85" customWidth="1"/>
    <col min="15370" max="15370" width="9.75" style="85" customWidth="1"/>
    <col min="15371" max="15371" width="7.375" style="85" customWidth="1"/>
    <col min="15372" max="15372" width="8.875" style="85"/>
    <col min="15373" max="15373" width="9.25" style="85" customWidth="1"/>
    <col min="15374" max="15374" width="3.5" style="85" customWidth="1"/>
    <col min="15375" max="15376" width="12.625" style="85" customWidth="1"/>
    <col min="15377" max="15377" width="8.875" style="85"/>
    <col min="15378" max="15378" width="7.75" style="85" customWidth="1"/>
    <col min="15379" max="15379" width="13.125" style="85" customWidth="1"/>
    <col min="15380" max="15380" width="6.125" style="85" customWidth="1"/>
    <col min="15381" max="15381" width="9.75" style="85" customWidth="1"/>
    <col min="15382" max="15382" width="1.375" style="85" customWidth="1"/>
    <col min="15383" max="15622" width="8.875" style="85"/>
    <col min="15623" max="15623" width="1.375" style="85" customWidth="1"/>
    <col min="15624" max="15624" width="3.5" style="85" customWidth="1"/>
    <col min="15625" max="15625" width="22.125" style="85" customWidth="1"/>
    <col min="15626" max="15626" width="9.75" style="85" customWidth="1"/>
    <col min="15627" max="15627" width="7.375" style="85" customWidth="1"/>
    <col min="15628" max="15628" width="8.875" style="85"/>
    <col min="15629" max="15629" width="9.25" style="85" customWidth="1"/>
    <col min="15630" max="15630" width="3.5" style="85" customWidth="1"/>
    <col min="15631" max="15632" width="12.625" style="85" customWidth="1"/>
    <col min="15633" max="15633" width="8.875" style="85"/>
    <col min="15634" max="15634" width="7.75" style="85" customWidth="1"/>
    <col min="15635" max="15635" width="13.125" style="85" customWidth="1"/>
    <col min="15636" max="15636" width="6.125" style="85" customWidth="1"/>
    <col min="15637" max="15637" width="9.75" style="85" customWidth="1"/>
    <col min="15638" max="15638" width="1.375" style="85" customWidth="1"/>
    <col min="15639" max="15878" width="8.875" style="85"/>
    <col min="15879" max="15879" width="1.375" style="85" customWidth="1"/>
    <col min="15880" max="15880" width="3.5" style="85" customWidth="1"/>
    <col min="15881" max="15881" width="22.125" style="85" customWidth="1"/>
    <col min="15882" max="15882" width="9.75" style="85" customWidth="1"/>
    <col min="15883" max="15883" width="7.375" style="85" customWidth="1"/>
    <col min="15884" max="15884" width="8.875" style="85"/>
    <col min="15885" max="15885" width="9.25" style="85" customWidth="1"/>
    <col min="15886" max="15886" width="3.5" style="85" customWidth="1"/>
    <col min="15887" max="15888" width="12.625" style="85" customWidth="1"/>
    <col min="15889" max="15889" width="8.875" style="85"/>
    <col min="15890" max="15890" width="7.75" style="85" customWidth="1"/>
    <col min="15891" max="15891" width="13.125" style="85" customWidth="1"/>
    <col min="15892" max="15892" width="6.125" style="85" customWidth="1"/>
    <col min="15893" max="15893" width="9.75" style="85" customWidth="1"/>
    <col min="15894" max="15894" width="1.375" style="85" customWidth="1"/>
    <col min="15895" max="16134" width="8.875" style="85"/>
    <col min="16135" max="16135" width="1.375" style="85" customWidth="1"/>
    <col min="16136" max="16136" width="3.5" style="85" customWidth="1"/>
    <col min="16137" max="16137" width="22.125" style="85" customWidth="1"/>
    <col min="16138" max="16138" width="9.75" style="85" customWidth="1"/>
    <col min="16139" max="16139" width="7.375" style="85" customWidth="1"/>
    <col min="16140" max="16140" width="8.875" style="85"/>
    <col min="16141" max="16141" width="9.25" style="85" customWidth="1"/>
    <col min="16142" max="16142" width="3.5" style="85" customWidth="1"/>
    <col min="16143" max="16144" width="12.625" style="85" customWidth="1"/>
    <col min="16145" max="16145" width="8.875" style="85"/>
    <col min="16146" max="16146" width="7.75" style="85" customWidth="1"/>
    <col min="16147" max="16147" width="13.125" style="85" customWidth="1"/>
    <col min="16148" max="16148" width="6.125" style="85" customWidth="1"/>
    <col min="16149" max="16149" width="9.75" style="85" customWidth="1"/>
    <col min="16150" max="16150" width="1.375" style="85" customWidth="1"/>
    <col min="16151" max="16384" width="8.875" style="85"/>
  </cols>
  <sheetData>
    <row r="1" spans="2:22" ht="9.9499999999999993" customHeight="1" x14ac:dyDescent="0.15"/>
    <row r="2" spans="2:22" ht="24.95" customHeight="1" x14ac:dyDescent="0.15">
      <c r="B2" s="1" t="s">
        <v>441</v>
      </c>
      <c r="C2" s="87"/>
      <c r="D2" s="13"/>
      <c r="E2" s="13"/>
      <c r="F2" s="87"/>
      <c r="G2" s="140"/>
      <c r="H2" s="149"/>
      <c r="I2" s="140"/>
      <c r="J2" s="140"/>
      <c r="K2" s="140"/>
      <c r="L2" s="140"/>
      <c r="M2" s="140"/>
      <c r="N2" s="140"/>
      <c r="O2" s="13"/>
    </row>
    <row r="3" spans="2:22" ht="15" customHeight="1" thickBot="1" x14ac:dyDescent="0.2">
      <c r="B3" s="85" t="s">
        <v>220</v>
      </c>
      <c r="I3" s="13" t="s">
        <v>221</v>
      </c>
      <c r="P3" s="85" t="s">
        <v>241</v>
      </c>
    </row>
    <row r="4" spans="2:22" ht="15" customHeight="1" x14ac:dyDescent="0.15">
      <c r="B4" s="302" t="s">
        <v>90</v>
      </c>
      <c r="C4" s="188" t="s">
        <v>181</v>
      </c>
      <c r="D4" s="188" t="s">
        <v>153</v>
      </c>
      <c r="E4" s="188" t="s">
        <v>154</v>
      </c>
      <c r="F4" s="398" t="s">
        <v>24</v>
      </c>
      <c r="G4" s="176" t="s">
        <v>155</v>
      </c>
      <c r="H4" s="189"/>
      <c r="I4" s="830" t="s">
        <v>90</v>
      </c>
      <c r="J4" s="828" t="s">
        <v>185</v>
      </c>
      <c r="K4" s="375" t="s">
        <v>182</v>
      </c>
      <c r="L4" s="375" t="s">
        <v>156</v>
      </c>
      <c r="M4" s="823" t="s">
        <v>24</v>
      </c>
      <c r="N4" s="825" t="s">
        <v>155</v>
      </c>
      <c r="O4" s="207"/>
      <c r="P4" s="303" t="s">
        <v>188</v>
      </c>
      <c r="Q4" s="304" t="s">
        <v>189</v>
      </c>
      <c r="R4" s="304" t="s">
        <v>190</v>
      </c>
      <c r="S4" s="304" t="s">
        <v>191</v>
      </c>
      <c r="T4" s="832" t="s">
        <v>192</v>
      </c>
      <c r="U4" s="782"/>
      <c r="V4" s="305" t="s">
        <v>193</v>
      </c>
    </row>
    <row r="5" spans="2:22" ht="15" customHeight="1" x14ac:dyDescent="0.15">
      <c r="B5" s="842" t="s">
        <v>176</v>
      </c>
      <c r="C5" s="90"/>
      <c r="D5" s="84"/>
      <c r="E5" s="89"/>
      <c r="F5" s="90"/>
      <c r="G5" s="177">
        <f t="shared" ref="G5:G6" si="0">D5*F5</f>
        <v>0</v>
      </c>
      <c r="H5" s="190"/>
      <c r="I5" s="831"/>
      <c r="J5" s="829"/>
      <c r="K5" s="376" t="s">
        <v>157</v>
      </c>
      <c r="L5" s="376" t="s">
        <v>299</v>
      </c>
      <c r="M5" s="824"/>
      <c r="N5" s="826"/>
      <c r="O5" s="207"/>
      <c r="P5" s="471" t="s">
        <v>398</v>
      </c>
      <c r="Q5" s="500"/>
      <c r="R5" s="501" t="s">
        <v>458</v>
      </c>
      <c r="S5" s="500"/>
      <c r="T5" s="833" t="s">
        <v>459</v>
      </c>
      <c r="U5" s="834"/>
      <c r="V5" s="502">
        <v>5806.666666666667</v>
      </c>
    </row>
    <row r="6" spans="2:22" ht="15" customHeight="1" x14ac:dyDescent="0.15">
      <c r="B6" s="839"/>
      <c r="C6" s="84"/>
      <c r="D6" s="84"/>
      <c r="E6" s="89"/>
      <c r="F6" s="84"/>
      <c r="G6" s="178">
        <f t="shared" si="0"/>
        <v>0</v>
      </c>
      <c r="H6" s="190"/>
      <c r="I6" s="835" t="s">
        <v>184</v>
      </c>
      <c r="J6" s="341" t="s">
        <v>296</v>
      </c>
      <c r="K6" s="377">
        <v>10.6</v>
      </c>
      <c r="L6" s="377">
        <v>13</v>
      </c>
      <c r="M6" s="405">
        <v>84.7</v>
      </c>
      <c r="N6" s="378">
        <f>K6*L6*M6</f>
        <v>11671.66</v>
      </c>
      <c r="O6" s="207"/>
      <c r="P6" s="471"/>
      <c r="Q6" s="496"/>
      <c r="R6" s="472"/>
      <c r="S6" s="496"/>
      <c r="T6" s="872"/>
      <c r="U6" s="834"/>
      <c r="V6" s="502"/>
    </row>
    <row r="7" spans="2:22" ht="15" customHeight="1" thickBot="1" x14ac:dyDescent="0.2">
      <c r="B7" s="841"/>
      <c r="C7" s="179" t="s">
        <v>158</v>
      </c>
      <c r="D7" s="179"/>
      <c r="E7" s="179"/>
      <c r="F7" s="179"/>
      <c r="G7" s="180">
        <f>SUM(G5:G6)</f>
        <v>0</v>
      </c>
      <c r="H7" s="190"/>
      <c r="I7" s="836"/>
      <c r="J7" s="341" t="s">
        <v>297</v>
      </c>
      <c r="K7" s="377">
        <v>5.4</v>
      </c>
      <c r="L7" s="377">
        <f>5+6.5</f>
        <v>11.5</v>
      </c>
      <c r="M7" s="405">
        <v>84.7</v>
      </c>
      <c r="N7" s="378">
        <f t="shared" ref="N7:N11" si="1">K7*L7*M7</f>
        <v>5259.87</v>
      </c>
      <c r="O7" s="207"/>
      <c r="P7" s="306"/>
      <c r="Q7" s="174"/>
      <c r="R7" s="399"/>
      <c r="S7" s="174"/>
      <c r="T7" s="821"/>
      <c r="U7" s="822"/>
      <c r="V7" s="197"/>
    </row>
    <row r="8" spans="2:22" ht="15" customHeight="1" thickTop="1" x14ac:dyDescent="0.15">
      <c r="B8" s="838" t="s">
        <v>174</v>
      </c>
      <c r="C8" s="84" t="s">
        <v>417</v>
      </c>
      <c r="D8" s="84">
        <v>10</v>
      </c>
      <c r="E8" s="89" t="s">
        <v>281</v>
      </c>
      <c r="F8" s="84">
        <v>3840</v>
      </c>
      <c r="G8" s="178">
        <f>D8*F8</f>
        <v>38400</v>
      </c>
      <c r="H8" s="190"/>
      <c r="I8" s="836"/>
      <c r="J8" s="341" t="s">
        <v>305</v>
      </c>
      <c r="K8" s="377">
        <v>1.2</v>
      </c>
      <c r="L8" s="377">
        <v>3</v>
      </c>
      <c r="M8" s="405">
        <v>84.7</v>
      </c>
      <c r="N8" s="378">
        <f t="shared" si="1"/>
        <v>304.91999999999996</v>
      </c>
      <c r="O8" s="207"/>
      <c r="P8" s="306"/>
      <c r="Q8" s="174"/>
      <c r="R8" s="399"/>
      <c r="S8" s="174"/>
      <c r="T8" s="821"/>
      <c r="U8" s="822"/>
      <c r="V8" s="197"/>
    </row>
    <row r="9" spans="2:22" ht="15" customHeight="1" x14ac:dyDescent="0.15">
      <c r="B9" s="839"/>
      <c r="C9" s="84"/>
      <c r="D9" s="84"/>
      <c r="E9" s="89"/>
      <c r="F9" s="84"/>
      <c r="G9" s="178">
        <f>D9*F9</f>
        <v>0</v>
      </c>
      <c r="H9" s="190"/>
      <c r="I9" s="836"/>
      <c r="J9" s="386" t="s">
        <v>300</v>
      </c>
      <c r="K9" s="387">
        <v>3.5</v>
      </c>
      <c r="L9" s="387">
        <v>5</v>
      </c>
      <c r="M9" s="405">
        <v>84.7</v>
      </c>
      <c r="N9" s="388">
        <f t="shared" si="1"/>
        <v>1482.25</v>
      </c>
      <c r="O9" s="207"/>
      <c r="P9" s="306"/>
      <c r="Q9" s="174"/>
      <c r="R9" s="399"/>
      <c r="S9" s="174"/>
      <c r="T9" s="821"/>
      <c r="U9" s="822"/>
      <c r="V9" s="197"/>
    </row>
    <row r="10" spans="2:22" ht="15" customHeight="1" x14ac:dyDescent="0.15">
      <c r="B10" s="839"/>
      <c r="C10" s="84"/>
      <c r="D10" s="84"/>
      <c r="E10" s="89"/>
      <c r="F10" s="84"/>
      <c r="G10" s="178">
        <f>D10*F10</f>
        <v>0</v>
      </c>
      <c r="H10" s="190"/>
      <c r="I10" s="836"/>
      <c r="J10" s="392"/>
      <c r="K10" s="393"/>
      <c r="L10" s="393"/>
      <c r="M10" s="405"/>
      <c r="N10" s="394"/>
      <c r="O10" s="207"/>
      <c r="P10" s="306"/>
      <c r="Q10" s="389"/>
      <c r="R10" s="390"/>
      <c r="S10" s="389"/>
      <c r="T10" s="391"/>
      <c r="U10" s="400"/>
      <c r="V10" s="197"/>
    </row>
    <row r="11" spans="2:22" ht="15" customHeight="1" thickBot="1" x14ac:dyDescent="0.2">
      <c r="B11" s="841"/>
      <c r="C11" s="181" t="s">
        <v>159</v>
      </c>
      <c r="D11" s="182"/>
      <c r="E11" s="182"/>
      <c r="F11" s="182"/>
      <c r="G11" s="183">
        <f>SUM(G8:G10)</f>
        <v>38400</v>
      </c>
      <c r="H11" s="190"/>
      <c r="I11" s="836"/>
      <c r="J11" s="395" t="s">
        <v>302</v>
      </c>
      <c r="K11" s="396">
        <v>2</v>
      </c>
      <c r="L11" s="396">
        <v>3.5</v>
      </c>
      <c r="M11" s="405">
        <v>84.7</v>
      </c>
      <c r="N11" s="397">
        <f t="shared" si="1"/>
        <v>592.9</v>
      </c>
      <c r="O11" s="207"/>
      <c r="P11" s="306"/>
      <c r="Q11" s="174"/>
      <c r="R11" s="399"/>
      <c r="S11" s="174"/>
      <c r="T11" s="821"/>
      <c r="U11" s="822"/>
      <c r="V11" s="197"/>
    </row>
    <row r="12" spans="2:22" ht="15" customHeight="1" thickTop="1" thickBot="1" x14ac:dyDescent="0.2">
      <c r="B12" s="838" t="s">
        <v>175</v>
      </c>
      <c r="C12" s="84" t="s">
        <v>492</v>
      </c>
      <c r="D12" s="84">
        <v>350</v>
      </c>
      <c r="E12" s="89" t="s">
        <v>286</v>
      </c>
      <c r="F12" s="84">
        <f>3220/20</f>
        <v>161</v>
      </c>
      <c r="G12" s="178">
        <f>D12*F12</f>
        <v>56350</v>
      </c>
      <c r="H12" s="190"/>
      <c r="I12" s="837"/>
      <c r="J12" s="373" t="s">
        <v>246</v>
      </c>
      <c r="K12" s="374">
        <f>SUM(K6:K9)</f>
        <v>20.7</v>
      </c>
      <c r="L12" s="374">
        <f>SUM(L6:L11)</f>
        <v>36</v>
      </c>
      <c r="M12" s="374"/>
      <c r="N12" s="379">
        <f>SUM(N6:N11)</f>
        <v>19311.599999999999</v>
      </c>
      <c r="O12" s="207"/>
      <c r="P12" s="306"/>
      <c r="Q12" s="174"/>
      <c r="R12" s="399"/>
      <c r="S12" s="174"/>
      <c r="T12" s="821"/>
      <c r="U12" s="822"/>
      <c r="V12" s="197"/>
    </row>
    <row r="13" spans="2:22" ht="15" customHeight="1" thickTop="1" x14ac:dyDescent="0.15">
      <c r="B13" s="839"/>
      <c r="C13" s="84"/>
      <c r="D13" s="84"/>
      <c r="E13" s="89"/>
      <c r="F13" s="84"/>
      <c r="G13" s="178">
        <f>D13*F13</f>
        <v>0</v>
      </c>
      <c r="H13" s="190"/>
      <c r="I13" s="866" t="s">
        <v>48</v>
      </c>
      <c r="J13" s="341" t="s">
        <v>298</v>
      </c>
      <c r="K13" s="377">
        <v>4.4000000000000004</v>
      </c>
      <c r="L13" s="377">
        <v>3.3</v>
      </c>
      <c r="M13" s="405">
        <v>158.4</v>
      </c>
      <c r="N13" s="378">
        <f>K13*L13*M13</f>
        <v>2299.9679999999998</v>
      </c>
      <c r="O13" s="207"/>
      <c r="P13" s="306"/>
      <c r="Q13" s="174"/>
      <c r="R13" s="399"/>
      <c r="S13" s="174"/>
      <c r="T13" s="821"/>
      <c r="U13" s="822"/>
      <c r="V13" s="197"/>
    </row>
    <row r="14" spans="2:22" ht="15" customHeight="1" x14ac:dyDescent="0.15">
      <c r="B14" s="839"/>
      <c r="C14" s="84"/>
      <c r="D14" s="84"/>
      <c r="E14" s="89"/>
      <c r="F14" s="84"/>
      <c r="G14" s="178">
        <f>D14*F14</f>
        <v>0</v>
      </c>
      <c r="H14" s="190"/>
      <c r="I14" s="867"/>
      <c r="J14" s="341"/>
      <c r="K14" s="377"/>
      <c r="L14" s="377"/>
      <c r="M14" s="377"/>
      <c r="N14" s="378">
        <f t="shared" ref="N14:N15" si="2">K14*L14*M14</f>
        <v>0</v>
      </c>
      <c r="O14" s="207"/>
      <c r="P14" s="306"/>
      <c r="Q14" s="174"/>
      <c r="R14" s="399"/>
      <c r="S14" s="174"/>
      <c r="T14" s="821"/>
      <c r="U14" s="822"/>
      <c r="V14" s="197"/>
    </row>
    <row r="15" spans="2:22" ht="15" customHeight="1" x14ac:dyDescent="0.15">
      <c r="B15" s="839"/>
      <c r="C15" s="84"/>
      <c r="D15" s="84"/>
      <c r="E15" s="84"/>
      <c r="F15" s="84"/>
      <c r="G15" s="178">
        <f t="shared" ref="G15" si="3">D15*F15</f>
        <v>0</v>
      </c>
      <c r="H15" s="190"/>
      <c r="I15" s="867"/>
      <c r="J15" s="341"/>
      <c r="K15" s="377"/>
      <c r="L15" s="377"/>
      <c r="M15" s="377"/>
      <c r="N15" s="378">
        <f t="shared" si="2"/>
        <v>0</v>
      </c>
      <c r="O15" s="207"/>
      <c r="P15" s="306"/>
      <c r="Q15" s="174"/>
      <c r="R15" s="399"/>
      <c r="S15" s="174"/>
      <c r="T15" s="821"/>
      <c r="U15" s="822"/>
      <c r="V15" s="197"/>
    </row>
    <row r="16" spans="2:22" ht="15" customHeight="1" thickBot="1" x14ac:dyDescent="0.2">
      <c r="B16" s="841"/>
      <c r="C16" s="181" t="s">
        <v>159</v>
      </c>
      <c r="D16" s="182"/>
      <c r="E16" s="182"/>
      <c r="F16" s="182"/>
      <c r="G16" s="183">
        <f>SUM(G12:G15)</f>
        <v>56350</v>
      </c>
      <c r="H16" s="190"/>
      <c r="I16" s="868"/>
      <c r="J16" s="307" t="s">
        <v>246</v>
      </c>
      <c r="K16" s="193">
        <f>SUM(K13:K15)</f>
        <v>4.4000000000000004</v>
      </c>
      <c r="L16" s="193">
        <f>SUM(L13:L15)</f>
        <v>3.3</v>
      </c>
      <c r="M16" s="193"/>
      <c r="N16" s="380">
        <f>SUM(N13:N15)</f>
        <v>2299.9679999999998</v>
      </c>
      <c r="O16" s="207"/>
      <c r="P16" s="306"/>
      <c r="Q16" s="174"/>
      <c r="R16" s="399"/>
      <c r="S16" s="174"/>
      <c r="T16" s="821"/>
      <c r="U16" s="822"/>
      <c r="V16" s="197"/>
    </row>
    <row r="17" spans="2:22" ht="15" customHeight="1" thickTop="1" x14ac:dyDescent="0.15">
      <c r="B17" s="838" t="s">
        <v>177</v>
      </c>
      <c r="C17" s="84"/>
      <c r="D17" s="84"/>
      <c r="E17" s="89"/>
      <c r="F17" s="84"/>
      <c r="G17" s="178">
        <f t="shared" ref="G17" si="4">D17*F17</f>
        <v>0</v>
      </c>
      <c r="H17" s="190"/>
      <c r="I17" s="866" t="s">
        <v>186</v>
      </c>
      <c r="J17" s="341"/>
      <c r="K17" s="377">
        <v>0</v>
      </c>
      <c r="L17" s="377"/>
      <c r="M17" s="377"/>
      <c r="N17" s="378">
        <f>K17*L17*M17</f>
        <v>0</v>
      </c>
      <c r="O17" s="207"/>
      <c r="P17" s="306"/>
      <c r="Q17" s="174"/>
      <c r="R17" s="399"/>
      <c r="S17" s="174"/>
      <c r="T17" s="821"/>
      <c r="U17" s="822"/>
      <c r="V17" s="197"/>
    </row>
    <row r="18" spans="2:22" ht="15" customHeight="1" x14ac:dyDescent="0.15">
      <c r="B18" s="839"/>
      <c r="C18" s="84"/>
      <c r="D18" s="84"/>
      <c r="E18" s="89"/>
      <c r="F18" s="84"/>
      <c r="G18" s="178">
        <f>D18*F18</f>
        <v>0</v>
      </c>
      <c r="H18" s="190"/>
      <c r="I18" s="867"/>
      <c r="J18" s="341"/>
      <c r="K18" s="377"/>
      <c r="L18" s="377"/>
      <c r="M18" s="377"/>
      <c r="N18" s="378">
        <f t="shared" ref="N18:N19" si="5">K18*L18*M18</f>
        <v>0</v>
      </c>
      <c r="O18" s="207"/>
      <c r="P18" s="306"/>
      <c r="Q18" s="174"/>
      <c r="R18" s="399"/>
      <c r="S18" s="174"/>
      <c r="T18" s="821"/>
      <c r="U18" s="822"/>
      <c r="V18" s="197"/>
    </row>
    <row r="19" spans="2:22" ht="15" customHeight="1" x14ac:dyDescent="0.15">
      <c r="B19" s="839"/>
      <c r="C19" s="84"/>
      <c r="D19" s="84"/>
      <c r="E19" s="84"/>
      <c r="F19" s="84"/>
      <c r="G19" s="178">
        <f t="shared" ref="G19" si="6">D19*F19</f>
        <v>0</v>
      </c>
      <c r="H19" s="190"/>
      <c r="I19" s="867"/>
      <c r="J19" s="341"/>
      <c r="K19" s="377"/>
      <c r="L19" s="377"/>
      <c r="M19" s="377"/>
      <c r="N19" s="378">
        <f t="shared" si="5"/>
        <v>0</v>
      </c>
      <c r="O19" s="207"/>
      <c r="P19" s="306"/>
      <c r="Q19" s="174"/>
      <c r="R19" s="399"/>
      <c r="S19" s="174"/>
      <c r="T19" s="821"/>
      <c r="U19" s="822"/>
      <c r="V19" s="197"/>
    </row>
    <row r="20" spans="2:22" ht="15" customHeight="1" thickBot="1" x14ac:dyDescent="0.2">
      <c r="B20" s="841"/>
      <c r="C20" s="181" t="s">
        <v>159</v>
      </c>
      <c r="D20" s="182"/>
      <c r="E20" s="182"/>
      <c r="F20" s="182"/>
      <c r="G20" s="183">
        <f>SUM(G17:G19)</f>
        <v>0</v>
      </c>
      <c r="H20" s="190"/>
      <c r="I20" s="868"/>
      <c r="J20" s="307" t="s">
        <v>246</v>
      </c>
      <c r="K20" s="193">
        <f>SUM(K17:K19)</f>
        <v>0</v>
      </c>
      <c r="L20" s="194">
        <f>SUM(L17:L19)</f>
        <v>0</v>
      </c>
      <c r="M20" s="195"/>
      <c r="N20" s="380">
        <f>SUM(N17:N19)</f>
        <v>0</v>
      </c>
      <c r="O20" s="207"/>
      <c r="P20" s="306"/>
      <c r="Q20" s="174"/>
      <c r="R20" s="399"/>
      <c r="S20" s="174"/>
      <c r="T20" s="821"/>
      <c r="U20" s="822"/>
      <c r="V20" s="197"/>
    </row>
    <row r="21" spans="2:22" ht="15" customHeight="1" thickTop="1" thickBot="1" x14ac:dyDescent="0.2">
      <c r="B21" s="838" t="s">
        <v>178</v>
      </c>
      <c r="C21" s="84" t="s">
        <v>493</v>
      </c>
      <c r="D21" s="84">
        <f>131*4.3</f>
        <v>563.29999999999995</v>
      </c>
      <c r="E21" s="89" t="s">
        <v>286</v>
      </c>
      <c r="F21" s="84">
        <f>510/20</f>
        <v>25.5</v>
      </c>
      <c r="G21" s="178">
        <f>D21*F21</f>
        <v>14364.15</v>
      </c>
      <c r="H21" s="190"/>
      <c r="I21" s="866" t="s">
        <v>187</v>
      </c>
      <c r="J21" s="341" t="s">
        <v>301</v>
      </c>
      <c r="K21" s="377">
        <v>28.2</v>
      </c>
      <c r="L21" s="377">
        <v>6.1</v>
      </c>
      <c r="M21" s="377">
        <v>102.1</v>
      </c>
      <c r="N21" s="378">
        <f>K21*L21*M21</f>
        <v>17563.241999999998</v>
      </c>
      <c r="O21" s="207"/>
      <c r="P21" s="198" t="s">
        <v>29</v>
      </c>
      <c r="Q21" s="199"/>
      <c r="R21" s="199"/>
      <c r="S21" s="199"/>
      <c r="T21" s="827"/>
      <c r="U21" s="818"/>
      <c r="V21" s="200">
        <f>SUM(V5:V20)</f>
        <v>5806.666666666667</v>
      </c>
    </row>
    <row r="22" spans="2:22" ht="15" customHeight="1" x14ac:dyDescent="0.15">
      <c r="B22" s="839"/>
      <c r="C22" s="84"/>
      <c r="D22" s="84"/>
      <c r="E22" s="89"/>
      <c r="F22" s="84"/>
      <c r="G22" s="178">
        <f>D22*F22</f>
        <v>0</v>
      </c>
      <c r="H22" s="190"/>
      <c r="I22" s="867"/>
      <c r="J22" s="341"/>
      <c r="K22" s="377"/>
      <c r="L22" s="377"/>
      <c r="M22" s="377"/>
      <c r="N22" s="378">
        <f t="shared" ref="N22:N23" si="7">K22*L22*M22</f>
        <v>0</v>
      </c>
      <c r="O22" s="207"/>
    </row>
    <row r="23" spans="2:22" ht="15" customHeight="1" thickBot="1" x14ac:dyDescent="0.2">
      <c r="B23" s="839"/>
      <c r="C23" s="84"/>
      <c r="D23" s="84"/>
      <c r="E23" s="89"/>
      <c r="F23" s="84"/>
      <c r="G23" s="178">
        <f>D23*F23</f>
        <v>0</v>
      </c>
      <c r="H23" s="190"/>
      <c r="I23" s="867"/>
      <c r="J23" s="341"/>
      <c r="K23" s="377"/>
      <c r="L23" s="377"/>
      <c r="M23" s="377"/>
      <c r="N23" s="378">
        <f t="shared" si="7"/>
        <v>0</v>
      </c>
      <c r="O23" s="207"/>
      <c r="P23" s="85" t="s">
        <v>242</v>
      </c>
    </row>
    <row r="24" spans="2:22" ht="15" customHeight="1" thickBot="1" x14ac:dyDescent="0.2">
      <c r="B24" s="840"/>
      <c r="C24" s="184" t="s">
        <v>160</v>
      </c>
      <c r="D24" s="185"/>
      <c r="E24" s="185"/>
      <c r="F24" s="192"/>
      <c r="G24" s="186">
        <f>SUM(G21:G23)</f>
        <v>14364.15</v>
      </c>
      <c r="H24" s="190"/>
      <c r="I24" s="868"/>
      <c r="J24" s="307" t="s">
        <v>246</v>
      </c>
      <c r="K24" s="193">
        <f>SUM(K21:K23)</f>
        <v>28.2</v>
      </c>
      <c r="L24" s="194">
        <f>SUM(L21:L23)</f>
        <v>6.1</v>
      </c>
      <c r="M24" s="195"/>
      <c r="N24" s="380">
        <f>SUM(N21:N23)</f>
        <v>17563.241999999998</v>
      </c>
      <c r="O24" s="207"/>
      <c r="P24" s="303" t="s">
        <v>194</v>
      </c>
      <c r="Q24" s="304" t="s">
        <v>189</v>
      </c>
      <c r="R24" s="304" t="s">
        <v>190</v>
      </c>
      <c r="S24" s="304" t="s">
        <v>191</v>
      </c>
      <c r="T24" s="304" t="s">
        <v>192</v>
      </c>
      <c r="U24" s="401" t="s">
        <v>195</v>
      </c>
      <c r="V24" s="305" t="s">
        <v>193</v>
      </c>
    </row>
    <row r="25" spans="2:22" ht="15" customHeight="1" thickTop="1" x14ac:dyDescent="0.15">
      <c r="I25" s="866" t="s">
        <v>267</v>
      </c>
      <c r="J25" s="341"/>
      <c r="K25" s="377"/>
      <c r="L25" s="377"/>
      <c r="M25" s="377"/>
      <c r="N25" s="378">
        <f>K25*L25*M25</f>
        <v>0</v>
      </c>
      <c r="O25" s="207"/>
      <c r="P25" s="306" t="s">
        <v>399</v>
      </c>
      <c r="Q25" s="174">
        <v>10</v>
      </c>
      <c r="R25" s="399" t="s">
        <v>245</v>
      </c>
      <c r="S25" s="451">
        <v>500</v>
      </c>
      <c r="T25" s="174">
        <v>2</v>
      </c>
      <c r="U25" s="175">
        <v>30</v>
      </c>
      <c r="V25" s="197">
        <f>Q25*S25/T25/U25</f>
        <v>83.333333333333329</v>
      </c>
    </row>
    <row r="26" spans="2:22" ht="15" customHeight="1" thickBot="1" x14ac:dyDescent="0.2">
      <c r="B26" s="13" t="s">
        <v>250</v>
      </c>
      <c r="C26" s="13"/>
      <c r="D26" s="87"/>
      <c r="E26" s="13"/>
      <c r="F26" s="87"/>
      <c r="G26" s="88"/>
      <c r="H26" s="191"/>
      <c r="I26" s="867"/>
      <c r="J26" s="341"/>
      <c r="K26" s="377"/>
      <c r="L26" s="377"/>
      <c r="M26" s="377"/>
      <c r="N26" s="378">
        <f t="shared" ref="N26:N27" si="8">K26*L26*M26</f>
        <v>0</v>
      </c>
      <c r="O26" s="207"/>
      <c r="P26" s="306"/>
      <c r="Q26" s="174"/>
      <c r="R26" s="399"/>
      <c r="S26" s="174"/>
      <c r="T26" s="174"/>
      <c r="U26" s="175"/>
      <c r="V26" s="197"/>
    </row>
    <row r="27" spans="2:22" ht="15" customHeight="1" x14ac:dyDescent="0.15">
      <c r="B27" s="302" t="s">
        <v>90</v>
      </c>
      <c r="C27" s="188" t="s">
        <v>152</v>
      </c>
      <c r="D27" s="188" t="s">
        <v>153</v>
      </c>
      <c r="E27" s="188" t="s">
        <v>154</v>
      </c>
      <c r="F27" s="398" t="s">
        <v>24</v>
      </c>
      <c r="G27" s="176" t="s">
        <v>155</v>
      </c>
      <c r="H27" s="189"/>
      <c r="I27" s="867"/>
      <c r="J27" s="341"/>
      <c r="K27" s="377"/>
      <c r="L27" s="377"/>
      <c r="M27" s="377"/>
      <c r="N27" s="378">
        <f t="shared" si="8"/>
        <v>0</v>
      </c>
      <c r="O27" s="207"/>
      <c r="P27" s="306"/>
      <c r="Q27" s="174"/>
      <c r="R27" s="399"/>
      <c r="S27" s="174"/>
      <c r="T27" s="174"/>
      <c r="U27" s="175"/>
      <c r="V27" s="197"/>
    </row>
    <row r="28" spans="2:22" ht="15" customHeight="1" thickBot="1" x14ac:dyDescent="0.2">
      <c r="B28" s="842" t="s">
        <v>30</v>
      </c>
      <c r="C28" s="84" t="s">
        <v>494</v>
      </c>
      <c r="D28" s="84">
        <v>300</v>
      </c>
      <c r="E28" s="89" t="s">
        <v>292</v>
      </c>
      <c r="F28" s="84">
        <f>62610/10000</f>
        <v>6.2610000000000001</v>
      </c>
      <c r="G28" s="177">
        <f>D28*F28</f>
        <v>1878.3</v>
      </c>
      <c r="H28" s="190"/>
      <c r="I28" s="868"/>
      <c r="J28" s="307" t="s">
        <v>246</v>
      </c>
      <c r="K28" s="193">
        <f>SUM(K25:K27)</f>
        <v>0</v>
      </c>
      <c r="L28" s="194">
        <f>SUM(L25:L27)</f>
        <v>0</v>
      </c>
      <c r="M28" s="195"/>
      <c r="N28" s="380">
        <f>SUM(N25:N27)</f>
        <v>0</v>
      </c>
      <c r="O28" s="207"/>
      <c r="P28" s="306"/>
      <c r="Q28" s="174"/>
      <c r="R28" s="399"/>
      <c r="S28" s="174"/>
      <c r="T28" s="174"/>
      <c r="U28" s="175"/>
      <c r="V28" s="197"/>
    </row>
    <row r="29" spans="2:22" ht="15" customHeight="1" thickTop="1" x14ac:dyDescent="0.15">
      <c r="B29" s="839"/>
      <c r="C29" s="371" t="s">
        <v>495</v>
      </c>
      <c r="D29" s="341">
        <v>180</v>
      </c>
      <c r="E29" s="89" t="s">
        <v>292</v>
      </c>
      <c r="F29" s="341">
        <f>4180/500</f>
        <v>8.36</v>
      </c>
      <c r="G29" s="177">
        <f>D29*F29</f>
        <v>1504.8</v>
      </c>
      <c r="H29" s="190"/>
      <c r="I29" s="866" t="s">
        <v>183</v>
      </c>
      <c r="J29" s="341" t="s">
        <v>301</v>
      </c>
      <c r="K29" s="377">
        <v>31.4</v>
      </c>
      <c r="L29" s="377">
        <v>3.2</v>
      </c>
      <c r="M29" s="377">
        <v>14</v>
      </c>
      <c r="N29" s="378">
        <f>K29*L29*M29</f>
        <v>1406.72</v>
      </c>
      <c r="O29" s="207"/>
      <c r="P29" s="306"/>
      <c r="Q29" s="174"/>
      <c r="R29" s="399"/>
      <c r="S29" s="174"/>
      <c r="T29" s="174"/>
      <c r="U29" s="175"/>
      <c r="V29" s="197"/>
    </row>
    <row r="30" spans="2:22" ht="15" customHeight="1" x14ac:dyDescent="0.15">
      <c r="B30" s="839"/>
      <c r="C30" s="84" t="s">
        <v>30</v>
      </c>
      <c r="D30" s="84">
        <v>1000</v>
      </c>
      <c r="E30" s="89" t="s">
        <v>307</v>
      </c>
      <c r="F30" s="84">
        <f>42580/20000</f>
        <v>2.129</v>
      </c>
      <c r="G30" s="177">
        <f>D30*F30</f>
        <v>2129</v>
      </c>
      <c r="H30" s="190"/>
      <c r="I30" s="867"/>
      <c r="J30" s="341" t="s">
        <v>303</v>
      </c>
      <c r="K30" s="377">
        <v>4</v>
      </c>
      <c r="L30" s="377">
        <v>1.9</v>
      </c>
      <c r="M30" s="377">
        <v>14</v>
      </c>
      <c r="N30" s="378">
        <f t="shared" ref="N30:N31" si="9">K30*L30*M30</f>
        <v>106.39999999999999</v>
      </c>
      <c r="O30" s="86"/>
      <c r="P30" s="306"/>
      <c r="Q30" s="174"/>
      <c r="R30" s="399"/>
      <c r="S30" s="174"/>
      <c r="T30" s="174"/>
      <c r="U30" s="340"/>
      <c r="V30" s="197"/>
    </row>
    <row r="31" spans="2:22" ht="15" customHeight="1" x14ac:dyDescent="0.15">
      <c r="B31" s="839"/>
      <c r="C31" s="371"/>
      <c r="D31" s="341"/>
      <c r="E31" s="89"/>
      <c r="F31" s="341"/>
      <c r="G31" s="178">
        <v>0</v>
      </c>
      <c r="H31" s="190"/>
      <c r="I31" s="867"/>
      <c r="J31" s="341" t="s">
        <v>304</v>
      </c>
      <c r="K31" s="377">
        <v>24.5</v>
      </c>
      <c r="L31" s="377">
        <v>6.7</v>
      </c>
      <c r="M31" s="377">
        <v>14</v>
      </c>
      <c r="N31" s="378">
        <f t="shared" si="9"/>
        <v>2298.1</v>
      </c>
      <c r="P31" s="306"/>
      <c r="Q31" s="174"/>
      <c r="R31" s="399"/>
      <c r="S31" s="174"/>
      <c r="T31" s="174"/>
      <c r="U31" s="175"/>
      <c r="V31" s="197"/>
    </row>
    <row r="32" spans="2:22" ht="15" customHeight="1" thickBot="1" x14ac:dyDescent="0.2">
      <c r="B32" s="839"/>
      <c r="C32" s="341"/>
      <c r="D32" s="341"/>
      <c r="E32" s="89"/>
      <c r="F32" s="341"/>
      <c r="G32" s="178">
        <f t="shared" ref="G32:G37" si="10">D32*F32</f>
        <v>0</v>
      </c>
      <c r="H32" s="190"/>
      <c r="I32" s="871"/>
      <c r="J32" s="381" t="s">
        <v>246</v>
      </c>
      <c r="K32" s="382">
        <f>SUM(K29:K31)</f>
        <v>59.9</v>
      </c>
      <c r="L32" s="383">
        <f>SUM(L29:L31)</f>
        <v>11.8</v>
      </c>
      <c r="M32" s="384"/>
      <c r="N32" s="385">
        <f>SUM(N29:N31)</f>
        <v>3811.2200000000003</v>
      </c>
      <c r="P32" s="306"/>
      <c r="Q32" s="174"/>
      <c r="R32" s="399"/>
      <c r="S32" s="174"/>
      <c r="T32" s="174"/>
      <c r="U32" s="175"/>
      <c r="V32" s="197"/>
    </row>
    <row r="33" spans="2:22" ht="15" customHeight="1" x14ac:dyDescent="0.15">
      <c r="B33" s="839"/>
      <c r="C33" s="341"/>
      <c r="D33" s="341"/>
      <c r="E33" s="89"/>
      <c r="F33" s="341"/>
      <c r="G33" s="178">
        <f t="shared" si="10"/>
        <v>0</v>
      </c>
      <c r="H33" s="190"/>
      <c r="I33" s="168"/>
      <c r="J33" s="168"/>
      <c r="K33" s="168"/>
      <c r="L33" s="168"/>
      <c r="M33" s="168"/>
      <c r="N33" s="168"/>
      <c r="P33" s="306"/>
      <c r="Q33" s="174"/>
      <c r="R33" s="399"/>
      <c r="S33" s="174"/>
      <c r="T33" s="174"/>
      <c r="U33" s="175"/>
      <c r="V33" s="197"/>
    </row>
    <row r="34" spans="2:22" ht="15" customHeight="1" thickBot="1" x14ac:dyDescent="0.2">
      <c r="B34" s="839"/>
      <c r="C34" s="341"/>
      <c r="D34" s="341"/>
      <c r="E34" s="89"/>
      <c r="F34" s="341"/>
      <c r="G34" s="178">
        <f t="shared" si="10"/>
        <v>0</v>
      </c>
      <c r="H34" s="190"/>
      <c r="I34" s="158" t="s">
        <v>240</v>
      </c>
      <c r="J34" s="158"/>
      <c r="K34" s="158"/>
      <c r="L34" s="158"/>
      <c r="M34" s="158"/>
      <c r="P34" s="310" t="s">
        <v>233</v>
      </c>
      <c r="Q34" s="199"/>
      <c r="R34" s="199"/>
      <c r="S34" s="199"/>
      <c r="T34" s="199"/>
      <c r="U34" s="201"/>
      <c r="V34" s="200">
        <f>SUM(V25:V33)</f>
        <v>83.333333333333329</v>
      </c>
    </row>
    <row r="35" spans="2:22" ht="15" customHeight="1" thickBot="1" x14ac:dyDescent="0.2">
      <c r="B35" s="839"/>
      <c r="C35" s="341"/>
      <c r="D35" s="341"/>
      <c r="E35" s="89"/>
      <c r="F35" s="341"/>
      <c r="G35" s="178">
        <f t="shared" si="10"/>
        <v>0</v>
      </c>
      <c r="H35" s="190"/>
      <c r="I35" s="282" t="s">
        <v>228</v>
      </c>
      <c r="J35" s="283" t="s">
        <v>5</v>
      </c>
      <c r="K35" s="869" t="s">
        <v>229</v>
      </c>
      <c r="L35" s="870"/>
      <c r="M35" s="308" t="s">
        <v>195</v>
      </c>
      <c r="N35" s="309" t="s">
        <v>252</v>
      </c>
    </row>
    <row r="36" spans="2:22" ht="15" customHeight="1" thickTop="1" thickBot="1" x14ac:dyDescent="0.2">
      <c r="B36" s="839"/>
      <c r="C36" s="341"/>
      <c r="D36" s="341"/>
      <c r="E36" s="89"/>
      <c r="F36" s="341"/>
      <c r="G36" s="178">
        <f t="shared" si="10"/>
        <v>0</v>
      </c>
      <c r="H36" s="190"/>
      <c r="I36" s="850" t="s">
        <v>2</v>
      </c>
      <c r="J36" s="187" t="str">
        <f>'６　資本装備と減価償却'!C5</f>
        <v>農機具庫</v>
      </c>
      <c r="K36" s="819">
        <f>'６　資本装備と減価償却'!I5</f>
        <v>5940000</v>
      </c>
      <c r="L36" s="819"/>
      <c r="M36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97">
        <f>+K36/M36*0.014*0.3</f>
        <v>831.6</v>
      </c>
      <c r="P36" s="158" t="s">
        <v>234</v>
      </c>
      <c r="Q36" s="158"/>
      <c r="R36" s="158"/>
      <c r="S36" s="158"/>
      <c r="T36" s="158"/>
    </row>
    <row r="37" spans="2:22" ht="15" customHeight="1" thickTop="1" thickBot="1" x14ac:dyDescent="0.2">
      <c r="B37" s="839"/>
      <c r="C37" s="341"/>
      <c r="D37" s="341"/>
      <c r="E37" s="89"/>
      <c r="F37" s="341"/>
      <c r="G37" s="178">
        <f t="shared" si="10"/>
        <v>0</v>
      </c>
      <c r="H37" s="190"/>
      <c r="I37" s="863"/>
      <c r="J37" s="187" t="str">
        <f>'６　資本装備と減価償却'!C6</f>
        <v>乾燥調製施設</v>
      </c>
      <c r="K37" s="819">
        <f>'６　資本装備と減価償却'!I6</f>
        <v>10692000</v>
      </c>
      <c r="L37" s="819"/>
      <c r="M37" s="425">
        <f>'１　対象経営の概要，２　前提条件'!$N$7+'１　対象経営の概要，２　前提条件'!$N$8+'１　対象経営の概要，２　前提条件'!$N$9</f>
        <v>30</v>
      </c>
      <c r="N37" s="297">
        <f>+K37/M37*0.014*0.3</f>
        <v>1496.88</v>
      </c>
      <c r="P37" s="282" t="s">
        <v>227</v>
      </c>
      <c r="Q37" s="820" t="s">
        <v>235</v>
      </c>
      <c r="R37" s="820"/>
      <c r="S37" s="402" t="s">
        <v>238</v>
      </c>
      <c r="T37" s="402" t="s">
        <v>237</v>
      </c>
      <c r="U37" s="311" t="s">
        <v>195</v>
      </c>
      <c r="V37" s="312" t="s">
        <v>252</v>
      </c>
    </row>
    <row r="38" spans="2:22" ht="15" customHeight="1" thickTop="1" thickBot="1" x14ac:dyDescent="0.2">
      <c r="B38" s="841"/>
      <c r="C38" s="179" t="s">
        <v>158</v>
      </c>
      <c r="D38" s="179"/>
      <c r="E38" s="179"/>
      <c r="F38" s="179"/>
      <c r="G38" s="180">
        <f>SUM(G28:G37)</f>
        <v>5512.1</v>
      </c>
      <c r="H38" s="190"/>
      <c r="I38" s="863"/>
      <c r="J38" s="187" t="str">
        <f>'６　資本装備と減価償却'!C7</f>
        <v>育苗ハウス</v>
      </c>
      <c r="K38" s="819">
        <f>'６　資本装備と減価償却'!I7</f>
        <v>1761750</v>
      </c>
      <c r="L38" s="819"/>
      <c r="M38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297">
        <f>+K38/M38*0.014*0.3</f>
        <v>246.64499999999998</v>
      </c>
      <c r="O38" s="196"/>
      <c r="P38" s="861" t="s">
        <v>236</v>
      </c>
      <c r="Q38" s="288" t="s">
        <v>226</v>
      </c>
      <c r="R38" s="316"/>
      <c r="S38" s="289"/>
      <c r="T38" s="317"/>
      <c r="U38" s="289"/>
      <c r="V38" s="297">
        <v>3880</v>
      </c>
    </row>
    <row r="39" spans="2:22" ht="15" customHeight="1" thickTop="1" x14ac:dyDescent="0.15">
      <c r="B39" s="838" t="s">
        <v>179</v>
      </c>
      <c r="C39" s="404" t="s">
        <v>496</v>
      </c>
      <c r="D39" s="84">
        <v>60</v>
      </c>
      <c r="E39" s="89" t="s">
        <v>307</v>
      </c>
      <c r="F39" s="84">
        <f>1450/500</f>
        <v>2.9</v>
      </c>
      <c r="G39" s="178">
        <f>D39*F39</f>
        <v>174</v>
      </c>
      <c r="H39" s="190"/>
      <c r="I39" s="863"/>
      <c r="J39" s="187"/>
      <c r="K39" s="819"/>
      <c r="L39" s="819"/>
      <c r="M39" s="424"/>
      <c r="N39" s="297"/>
      <c r="O39" s="196"/>
      <c r="P39" s="815"/>
      <c r="Q39" s="288"/>
      <c r="R39" s="316"/>
      <c r="S39" s="289"/>
      <c r="T39" s="317"/>
      <c r="U39" s="289"/>
      <c r="V39" s="297"/>
    </row>
    <row r="40" spans="2:22" ht="15" customHeight="1" x14ac:dyDescent="0.15">
      <c r="B40" s="839"/>
      <c r="C40" s="84" t="s">
        <v>329</v>
      </c>
      <c r="D40" s="84">
        <v>1000</v>
      </c>
      <c r="E40" s="89" t="s">
        <v>307</v>
      </c>
      <c r="F40" s="84">
        <f>96020/20000</f>
        <v>4.8010000000000002</v>
      </c>
      <c r="G40" s="178">
        <f>D40*F40</f>
        <v>4801</v>
      </c>
      <c r="H40" s="190"/>
      <c r="I40" s="863"/>
      <c r="J40" s="187"/>
      <c r="K40" s="819"/>
      <c r="L40" s="819"/>
      <c r="M40" s="424"/>
      <c r="N40" s="297"/>
      <c r="O40" s="196"/>
      <c r="P40" s="815"/>
      <c r="Q40" s="288"/>
      <c r="R40" s="316"/>
      <c r="S40" s="289"/>
      <c r="T40" s="317"/>
      <c r="U40" s="289"/>
      <c r="V40" s="297"/>
    </row>
    <row r="41" spans="2:22" ht="15" customHeight="1" x14ac:dyDescent="0.15">
      <c r="B41" s="839"/>
      <c r="C41" s="84"/>
      <c r="D41" s="84"/>
      <c r="E41" s="89"/>
      <c r="F41" s="84"/>
      <c r="G41" s="178">
        <f>D41*F41</f>
        <v>0</v>
      </c>
      <c r="H41" s="190"/>
      <c r="I41" s="863"/>
      <c r="J41" s="187"/>
      <c r="K41" s="819"/>
      <c r="L41" s="819"/>
      <c r="M41" s="424"/>
      <c r="N41" s="297"/>
      <c r="O41" s="196"/>
      <c r="P41" s="815"/>
      <c r="Q41" s="288"/>
      <c r="R41" s="316"/>
      <c r="S41" s="289"/>
      <c r="T41" s="317"/>
      <c r="U41" s="289"/>
      <c r="V41" s="297"/>
    </row>
    <row r="42" spans="2:22" ht="15" customHeight="1" thickBot="1" x14ac:dyDescent="0.2">
      <c r="B42" s="839"/>
      <c r="C42" s="84"/>
      <c r="D42" s="84"/>
      <c r="E42" s="89"/>
      <c r="F42" s="84"/>
      <c r="G42" s="178">
        <f t="shared" ref="G42:G52" si="11">D42*F42</f>
        <v>0</v>
      </c>
      <c r="H42" s="190"/>
      <c r="I42" s="864"/>
      <c r="J42" s="284" t="s">
        <v>159</v>
      </c>
      <c r="K42" s="845"/>
      <c r="L42" s="846"/>
      <c r="M42" s="285"/>
      <c r="N42" s="293">
        <f>SUM(N36:N41)</f>
        <v>2575.125</v>
      </c>
      <c r="O42" s="196"/>
      <c r="P42" s="815"/>
      <c r="Q42" s="288"/>
      <c r="R42" s="316"/>
      <c r="S42" s="289"/>
      <c r="T42" s="317"/>
      <c r="U42" s="289"/>
      <c r="V42" s="297"/>
    </row>
    <row r="43" spans="2:22" ht="15" customHeight="1" thickTop="1" x14ac:dyDescent="0.15">
      <c r="B43" s="839"/>
      <c r="C43" s="84"/>
      <c r="D43" s="84"/>
      <c r="E43" s="89"/>
      <c r="F43" s="84"/>
      <c r="G43" s="178">
        <f t="shared" si="11"/>
        <v>0</v>
      </c>
      <c r="H43" s="190"/>
      <c r="I43" s="848" t="s">
        <v>230</v>
      </c>
      <c r="J43" s="286" t="s">
        <v>253</v>
      </c>
      <c r="K43" s="847">
        <v>8200</v>
      </c>
      <c r="L43" s="847"/>
      <c r="M43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14">
        <f>+K43/M43</f>
        <v>273.33333333333331</v>
      </c>
      <c r="O43" s="196"/>
      <c r="P43" s="815"/>
      <c r="Q43" s="288"/>
      <c r="R43" s="316"/>
      <c r="S43" s="289"/>
      <c r="T43" s="317"/>
      <c r="U43" s="289"/>
      <c r="V43" s="297"/>
    </row>
    <row r="44" spans="2:22" ht="15" customHeight="1" thickBot="1" x14ac:dyDescent="0.2">
      <c r="B44" s="839"/>
      <c r="C44" s="84"/>
      <c r="D44" s="84"/>
      <c r="E44" s="89"/>
      <c r="F44" s="84"/>
      <c r="G44" s="178">
        <f t="shared" si="11"/>
        <v>0</v>
      </c>
      <c r="H44" s="190"/>
      <c r="I44" s="849"/>
      <c r="J44" s="288"/>
      <c r="K44" s="819"/>
      <c r="L44" s="819"/>
      <c r="M44" s="424"/>
      <c r="N44" s="297"/>
      <c r="O44" s="196"/>
      <c r="P44" s="862"/>
      <c r="Q44" s="298" t="s">
        <v>239</v>
      </c>
      <c r="R44" s="299"/>
      <c r="S44" s="299"/>
      <c r="T44" s="299"/>
      <c r="U44" s="299"/>
      <c r="V44" s="300">
        <f>SUM(V38:V43)</f>
        <v>3880</v>
      </c>
    </row>
    <row r="45" spans="2:22" ht="15" customHeight="1" thickTop="1" x14ac:dyDescent="0.15">
      <c r="B45" s="839"/>
      <c r="C45" s="84"/>
      <c r="D45" s="84"/>
      <c r="E45" s="89"/>
      <c r="F45" s="84"/>
      <c r="G45" s="178">
        <f t="shared" si="11"/>
        <v>0</v>
      </c>
      <c r="H45" s="190"/>
      <c r="I45" s="849"/>
      <c r="J45" s="187"/>
      <c r="K45" s="819"/>
      <c r="L45" s="819"/>
      <c r="M45" s="424"/>
      <c r="N45" s="297"/>
      <c r="O45" s="196"/>
      <c r="P45" s="814" t="s">
        <v>244</v>
      </c>
      <c r="Q45" s="811" t="s">
        <v>255</v>
      </c>
      <c r="R45" s="318" t="s">
        <v>256</v>
      </c>
      <c r="S45" s="286">
        <v>35750</v>
      </c>
      <c r="T45" s="319">
        <v>1</v>
      </c>
      <c r="U45" s="286">
        <v>30</v>
      </c>
      <c r="V45" s="313">
        <f>+S45*T45/U45</f>
        <v>1191.6666666666667</v>
      </c>
    </row>
    <row r="46" spans="2:22" ht="15" customHeight="1" thickBot="1" x14ac:dyDescent="0.2">
      <c r="B46" s="839"/>
      <c r="C46" s="84"/>
      <c r="D46" s="84"/>
      <c r="E46" s="89"/>
      <c r="F46" s="84"/>
      <c r="G46" s="178">
        <f t="shared" si="11"/>
        <v>0</v>
      </c>
      <c r="H46" s="190"/>
      <c r="I46" s="865"/>
      <c r="J46" s="284" t="s">
        <v>159</v>
      </c>
      <c r="K46" s="845"/>
      <c r="L46" s="846"/>
      <c r="M46" s="285"/>
      <c r="N46" s="293">
        <f>SUM(N43:N45)</f>
        <v>273.33333333333331</v>
      </c>
      <c r="O46" s="196"/>
      <c r="P46" s="815"/>
      <c r="Q46" s="812"/>
      <c r="R46" s="320" t="s">
        <v>243</v>
      </c>
      <c r="S46" s="288">
        <v>15600</v>
      </c>
      <c r="T46" s="317">
        <v>1</v>
      </c>
      <c r="U46" s="288">
        <v>30</v>
      </c>
      <c r="V46" s="297">
        <f>+S46*T46/U46</f>
        <v>520</v>
      </c>
    </row>
    <row r="47" spans="2:22" ht="15" customHeight="1" thickTop="1" x14ac:dyDescent="0.15">
      <c r="B47" s="839"/>
      <c r="C47" s="84"/>
      <c r="D47" s="84"/>
      <c r="E47" s="89"/>
      <c r="F47" s="84"/>
      <c r="G47" s="178">
        <f t="shared" si="11"/>
        <v>0</v>
      </c>
      <c r="H47" s="190"/>
      <c r="I47" s="848" t="s">
        <v>231</v>
      </c>
      <c r="J47" s="286" t="s">
        <v>253</v>
      </c>
      <c r="K47" s="847">
        <v>11500</v>
      </c>
      <c r="L47" s="847"/>
      <c r="M47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3">
        <f>K47/M47</f>
        <v>383.33333333333331</v>
      </c>
      <c r="O47" s="196"/>
      <c r="P47" s="815"/>
      <c r="Q47" s="812"/>
      <c r="R47" s="320"/>
      <c r="S47" s="288"/>
      <c r="T47" s="288"/>
      <c r="U47" s="187"/>
      <c r="V47" s="321"/>
    </row>
    <row r="48" spans="2:22" ht="15" customHeight="1" x14ac:dyDescent="0.15">
      <c r="B48" s="839"/>
      <c r="C48" s="84"/>
      <c r="D48" s="84"/>
      <c r="E48" s="89"/>
      <c r="F48" s="84"/>
      <c r="G48" s="178">
        <f t="shared" si="11"/>
        <v>0</v>
      </c>
      <c r="H48" s="190"/>
      <c r="I48" s="849"/>
      <c r="J48" s="288"/>
      <c r="K48" s="819"/>
      <c r="L48" s="819"/>
      <c r="M48" s="424"/>
      <c r="N48" s="297"/>
      <c r="O48" s="196"/>
      <c r="P48" s="815"/>
      <c r="Q48" s="812"/>
      <c r="R48" s="320"/>
      <c r="S48" s="288"/>
      <c r="T48" s="317"/>
      <c r="U48" s="288"/>
      <c r="V48" s="297"/>
    </row>
    <row r="49" spans="2:22" ht="15" customHeight="1" thickBot="1" x14ac:dyDescent="0.2">
      <c r="B49" s="841"/>
      <c r="C49" s="181" t="s">
        <v>159</v>
      </c>
      <c r="D49" s="182"/>
      <c r="E49" s="182"/>
      <c r="F49" s="182"/>
      <c r="G49" s="183">
        <f>SUM(G39:G48)</f>
        <v>4975</v>
      </c>
      <c r="H49" s="190"/>
      <c r="I49" s="849"/>
      <c r="J49" s="187"/>
      <c r="K49" s="819"/>
      <c r="L49" s="819"/>
      <c r="M49" s="424"/>
      <c r="N49" s="297"/>
      <c r="O49" s="196"/>
      <c r="P49" s="815"/>
      <c r="Q49" s="813"/>
      <c r="R49" s="320"/>
      <c r="S49" s="288"/>
      <c r="T49" s="288"/>
      <c r="U49" s="187"/>
      <c r="V49" s="321"/>
    </row>
    <row r="50" spans="2:22" ht="15" customHeight="1" thickTop="1" thickBot="1" x14ac:dyDescent="0.2">
      <c r="B50" s="838" t="s">
        <v>32</v>
      </c>
      <c r="C50" s="84" t="s">
        <v>497</v>
      </c>
      <c r="D50" s="84">
        <v>10</v>
      </c>
      <c r="E50" s="89" t="s">
        <v>286</v>
      </c>
      <c r="F50" s="84">
        <f>24330/10</f>
        <v>2433</v>
      </c>
      <c r="G50" s="178">
        <f t="shared" si="11"/>
        <v>24330</v>
      </c>
      <c r="H50" s="190"/>
      <c r="I50" s="865"/>
      <c r="J50" s="284" t="s">
        <v>159</v>
      </c>
      <c r="K50" s="845"/>
      <c r="L50" s="846"/>
      <c r="M50" s="285"/>
      <c r="N50" s="293">
        <f>SUM(N47:N49)</f>
        <v>383.33333333333331</v>
      </c>
      <c r="O50" s="196"/>
      <c r="P50" s="815"/>
      <c r="Q50" s="298" t="s">
        <v>239</v>
      </c>
      <c r="R50" s="299"/>
      <c r="S50" s="299"/>
      <c r="T50" s="299"/>
      <c r="U50" s="299"/>
      <c r="V50" s="300">
        <f>SUM(V45:V49)</f>
        <v>1711.6666666666667</v>
      </c>
    </row>
    <row r="51" spans="2:22" ht="15" customHeight="1" thickTop="1" x14ac:dyDescent="0.15">
      <c r="B51" s="839"/>
      <c r="C51" s="84"/>
      <c r="D51" s="84"/>
      <c r="E51" s="84"/>
      <c r="F51" s="84"/>
      <c r="G51" s="178">
        <f t="shared" si="11"/>
        <v>0</v>
      </c>
      <c r="H51" s="190"/>
      <c r="I51" s="848" t="s">
        <v>232</v>
      </c>
      <c r="J51" s="286" t="s">
        <v>54</v>
      </c>
      <c r="K51" s="851">
        <v>2400</v>
      </c>
      <c r="L51" s="852"/>
      <c r="M51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4">
        <f>+K51/M51</f>
        <v>80</v>
      </c>
      <c r="O51" s="196"/>
      <c r="P51" s="815"/>
      <c r="Q51" s="811" t="s">
        <v>257</v>
      </c>
      <c r="R51" s="318" t="s">
        <v>256</v>
      </c>
      <c r="S51" s="286">
        <v>60000</v>
      </c>
      <c r="T51" s="319">
        <v>1</v>
      </c>
      <c r="U51" s="286">
        <v>30</v>
      </c>
      <c r="V51" s="313">
        <f>+S51*T51/U51</f>
        <v>2000</v>
      </c>
    </row>
    <row r="52" spans="2:22" ht="15" customHeight="1" x14ac:dyDescent="0.15">
      <c r="B52" s="839"/>
      <c r="C52" s="84"/>
      <c r="D52" s="84"/>
      <c r="E52" s="84"/>
      <c r="F52" s="84"/>
      <c r="G52" s="178">
        <f t="shared" si="11"/>
        <v>0</v>
      </c>
      <c r="H52" s="190"/>
      <c r="I52" s="849"/>
      <c r="J52" s="288" t="s">
        <v>54</v>
      </c>
      <c r="K52" s="853">
        <v>2400</v>
      </c>
      <c r="L52" s="854"/>
      <c r="M52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297">
        <f t="shared" ref="N52:N55" si="12">+K52/M52</f>
        <v>80</v>
      </c>
      <c r="O52" s="196"/>
      <c r="P52" s="815"/>
      <c r="Q52" s="812"/>
      <c r="R52" s="320" t="s">
        <v>243</v>
      </c>
      <c r="S52" s="288">
        <v>25000</v>
      </c>
      <c r="T52" s="317">
        <v>1</v>
      </c>
      <c r="U52" s="288">
        <v>30</v>
      </c>
      <c r="V52" s="297">
        <f>+S52*T52/U52</f>
        <v>833.33333333333337</v>
      </c>
    </row>
    <row r="53" spans="2:22" ht="15" customHeight="1" thickBot="1" x14ac:dyDescent="0.2">
      <c r="B53" s="841"/>
      <c r="C53" s="181" t="s">
        <v>159</v>
      </c>
      <c r="D53" s="182"/>
      <c r="E53" s="182"/>
      <c r="F53" s="182"/>
      <c r="G53" s="183">
        <f>SUM(G50:G52)</f>
        <v>24330</v>
      </c>
      <c r="H53" s="190"/>
      <c r="I53" s="849"/>
      <c r="J53" s="288" t="s">
        <v>56</v>
      </c>
      <c r="K53" s="855">
        <v>2400</v>
      </c>
      <c r="L53" s="856"/>
      <c r="M53" s="301">
        <f>'１　対象経営の概要，２　前提条件'!N7</f>
        <v>30</v>
      </c>
      <c r="N53" s="297">
        <f t="shared" si="12"/>
        <v>80</v>
      </c>
      <c r="O53" s="196"/>
      <c r="P53" s="815"/>
      <c r="Q53" s="812"/>
      <c r="R53" s="320"/>
      <c r="S53" s="288"/>
      <c r="T53" s="288"/>
      <c r="U53" s="187"/>
      <c r="V53" s="321"/>
    </row>
    <row r="54" spans="2:22" ht="13.9" customHeight="1" thickTop="1" x14ac:dyDescent="0.15">
      <c r="B54" s="838" t="s">
        <v>326</v>
      </c>
      <c r="C54" s="84" t="s">
        <v>498</v>
      </c>
      <c r="D54" s="403">
        <f>131*50/1000</f>
        <v>6.55</v>
      </c>
      <c r="E54" s="89" t="s">
        <v>286</v>
      </c>
      <c r="F54" s="84">
        <f>9650/3</f>
        <v>3216.6666666666665</v>
      </c>
      <c r="G54" s="177">
        <f>D54*F54</f>
        <v>21069.166666666664</v>
      </c>
      <c r="I54" s="849"/>
      <c r="J54" s="424" t="s">
        <v>243</v>
      </c>
      <c r="K54" s="857">
        <v>5000</v>
      </c>
      <c r="L54" s="858"/>
      <c r="M54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297">
        <f t="shared" si="12"/>
        <v>166.66666666666666</v>
      </c>
      <c r="O54" s="196"/>
      <c r="P54" s="815"/>
      <c r="Q54" s="812"/>
      <c r="R54" s="320"/>
      <c r="S54" s="288"/>
      <c r="T54" s="317"/>
      <c r="U54" s="288"/>
      <c r="V54" s="297"/>
    </row>
    <row r="55" spans="2:22" x14ac:dyDescent="0.15">
      <c r="B55" s="839"/>
      <c r="C55" s="84" t="s">
        <v>499</v>
      </c>
      <c r="D55" s="84">
        <v>1000</v>
      </c>
      <c r="E55" s="89" t="s">
        <v>292</v>
      </c>
      <c r="F55" s="84">
        <f>68710/10000</f>
        <v>6.8710000000000004</v>
      </c>
      <c r="G55" s="178">
        <f>D55*F55</f>
        <v>6871</v>
      </c>
      <c r="I55" s="849"/>
      <c r="J55" s="288" t="s">
        <v>456</v>
      </c>
      <c r="K55" s="855">
        <v>5900</v>
      </c>
      <c r="L55" s="856"/>
      <c r="M55" s="301">
        <v>30</v>
      </c>
      <c r="N55" s="315">
        <f t="shared" si="12"/>
        <v>196.66666666666666</v>
      </c>
      <c r="O55" s="196"/>
      <c r="P55" s="815"/>
      <c r="Q55" s="813"/>
      <c r="R55" s="320"/>
      <c r="S55" s="288"/>
      <c r="T55" s="288"/>
      <c r="U55" s="187"/>
      <c r="V55" s="321"/>
    </row>
    <row r="56" spans="2:22" x14ac:dyDescent="0.15">
      <c r="B56" s="839"/>
      <c r="C56" s="84"/>
      <c r="D56" s="84"/>
      <c r="E56" s="89"/>
      <c r="F56" s="84"/>
      <c r="G56" s="178">
        <f>D56*F56</f>
        <v>0</v>
      </c>
      <c r="I56" s="850"/>
      <c r="J56" s="290" t="s">
        <v>159</v>
      </c>
      <c r="K56" s="859"/>
      <c r="L56" s="860"/>
      <c r="M56" s="291"/>
      <c r="N56" s="294">
        <f>SUM(N51:N55)</f>
        <v>603.33333333333326</v>
      </c>
      <c r="O56" s="196"/>
      <c r="P56" s="816"/>
      <c r="Q56" s="324" t="s">
        <v>239</v>
      </c>
      <c r="R56" s="325"/>
      <c r="S56" s="325"/>
      <c r="T56" s="325"/>
      <c r="U56" s="325"/>
      <c r="V56" s="326">
        <f>SUM(V51:V55)</f>
        <v>2833.3333333333335</v>
      </c>
    </row>
    <row r="57" spans="2:22" ht="14.25" thickBot="1" x14ac:dyDescent="0.2">
      <c r="B57" s="840"/>
      <c r="C57" s="184" t="s">
        <v>160</v>
      </c>
      <c r="D57" s="185"/>
      <c r="E57" s="185"/>
      <c r="F57" s="185"/>
      <c r="G57" s="186">
        <f>SUM(G54:G56)</f>
        <v>27940.166666666664</v>
      </c>
      <c r="I57" s="817" t="s">
        <v>233</v>
      </c>
      <c r="J57" s="818"/>
      <c r="K57" s="843"/>
      <c r="L57" s="844"/>
      <c r="M57" s="201"/>
      <c r="N57" s="295">
        <f>SUM(N42,N46,N50,N56)</f>
        <v>3835.125</v>
      </c>
      <c r="O57" s="196"/>
      <c r="P57" s="809" t="s">
        <v>233</v>
      </c>
      <c r="Q57" s="810"/>
      <c r="R57" s="322"/>
      <c r="S57" s="322"/>
      <c r="T57" s="322"/>
      <c r="U57" s="322"/>
      <c r="V57" s="323">
        <f>SUM(V44,V50,V56)</f>
        <v>8425</v>
      </c>
    </row>
    <row r="58" spans="2:22" x14ac:dyDescent="0.15">
      <c r="O58" s="196"/>
      <c r="V58" s="85"/>
    </row>
    <row r="59" spans="2:22" x14ac:dyDescent="0.15">
      <c r="I59" s="196"/>
      <c r="J59" s="196"/>
      <c r="K59" s="196"/>
      <c r="L59" s="196"/>
      <c r="M59" s="196"/>
      <c r="N59" s="196"/>
      <c r="O59" s="196"/>
    </row>
    <row r="60" spans="2:22" x14ac:dyDescent="0.15">
      <c r="I60" s="196"/>
      <c r="J60" s="196"/>
      <c r="K60" s="196"/>
      <c r="L60" s="196"/>
      <c r="M60" s="196"/>
      <c r="N60" s="196"/>
      <c r="O60" s="196"/>
    </row>
    <row r="61" spans="2:22" x14ac:dyDescent="0.15">
      <c r="I61" s="196"/>
      <c r="J61" s="196"/>
      <c r="K61" s="196"/>
      <c r="L61" s="196"/>
      <c r="M61" s="196"/>
      <c r="N61" s="196"/>
      <c r="O61" s="196"/>
    </row>
    <row r="62" spans="2:22" x14ac:dyDescent="0.15">
      <c r="I62" s="196"/>
      <c r="J62" s="196"/>
      <c r="K62" s="196"/>
      <c r="L62" s="196"/>
      <c r="M62" s="196"/>
      <c r="N62" s="196"/>
      <c r="O62" s="196"/>
    </row>
    <row r="63" spans="2:22" x14ac:dyDescent="0.15">
      <c r="I63" s="196"/>
      <c r="J63" s="196"/>
      <c r="K63" s="196"/>
      <c r="L63" s="196"/>
      <c r="M63" s="196"/>
      <c r="N63" s="196"/>
      <c r="O63" s="196"/>
    </row>
    <row r="64" spans="2:22" x14ac:dyDescent="0.15">
      <c r="I64" s="196"/>
      <c r="J64" s="196"/>
      <c r="K64" s="196"/>
      <c r="L64" s="196"/>
      <c r="M64" s="196"/>
      <c r="N64" s="196"/>
      <c r="O64" s="196"/>
    </row>
    <row r="65" spans="9:15" x14ac:dyDescent="0.15">
      <c r="I65" s="196"/>
      <c r="J65" s="196"/>
      <c r="K65" s="196"/>
      <c r="L65" s="196"/>
      <c r="M65" s="196"/>
      <c r="N65" s="196"/>
      <c r="O65" s="196"/>
    </row>
    <row r="66" spans="9:15" x14ac:dyDescent="0.15">
      <c r="I66" s="196"/>
      <c r="J66" s="196"/>
      <c r="K66" s="196"/>
      <c r="L66" s="196"/>
      <c r="M66" s="196"/>
      <c r="N66" s="196"/>
      <c r="O66" s="196"/>
    </row>
    <row r="67" spans="9:15" x14ac:dyDescent="0.15">
      <c r="I67" s="196"/>
      <c r="J67" s="196"/>
      <c r="K67" s="196"/>
      <c r="L67" s="196"/>
      <c r="M67" s="196"/>
      <c r="N67" s="196"/>
      <c r="O67" s="196"/>
    </row>
    <row r="68" spans="9:15" x14ac:dyDescent="0.15">
      <c r="I68" s="196"/>
      <c r="J68" s="196"/>
      <c r="K68" s="196"/>
      <c r="L68" s="196"/>
      <c r="M68" s="196"/>
      <c r="N68" s="196"/>
      <c r="O68" s="196"/>
    </row>
    <row r="69" spans="9:15" x14ac:dyDescent="0.15">
      <c r="I69" s="196"/>
      <c r="J69" s="196"/>
      <c r="K69" s="196"/>
      <c r="L69" s="196"/>
      <c r="M69" s="196"/>
      <c r="N69" s="196"/>
      <c r="O69" s="196"/>
    </row>
    <row r="70" spans="9:15" x14ac:dyDescent="0.15">
      <c r="I70" s="196"/>
      <c r="J70" s="196"/>
      <c r="K70" s="196"/>
      <c r="L70" s="196"/>
      <c r="M70" s="196"/>
      <c r="N70" s="196"/>
      <c r="O70" s="196"/>
    </row>
    <row r="71" spans="9:15" x14ac:dyDescent="0.15">
      <c r="I71" s="196"/>
      <c r="J71" s="196"/>
      <c r="K71" s="196"/>
      <c r="L71" s="196"/>
      <c r="M71" s="196"/>
      <c r="N71" s="196"/>
      <c r="O71" s="196"/>
    </row>
    <row r="72" spans="9:15" x14ac:dyDescent="0.15">
      <c r="I72" s="196"/>
      <c r="J72" s="196"/>
      <c r="K72" s="196"/>
      <c r="L72" s="196"/>
      <c r="M72" s="196"/>
      <c r="N72" s="196"/>
      <c r="O72" s="196"/>
    </row>
    <row r="73" spans="9:15" x14ac:dyDescent="0.15">
      <c r="I73" s="196"/>
      <c r="J73" s="196"/>
      <c r="K73" s="196"/>
      <c r="L73" s="196"/>
      <c r="M73" s="196"/>
      <c r="N73" s="196"/>
      <c r="O73" s="196"/>
    </row>
    <row r="74" spans="9:15" x14ac:dyDescent="0.15">
      <c r="I74" s="196"/>
      <c r="J74" s="196"/>
      <c r="K74" s="196"/>
      <c r="L74" s="196"/>
      <c r="M74" s="196"/>
      <c r="N74" s="196"/>
      <c r="O74" s="196"/>
    </row>
    <row r="75" spans="9:15" x14ac:dyDescent="0.15">
      <c r="I75" s="196"/>
      <c r="J75" s="196"/>
      <c r="K75" s="196"/>
      <c r="L75" s="196"/>
      <c r="M75" s="196"/>
      <c r="N75" s="196"/>
      <c r="O75" s="196"/>
    </row>
    <row r="76" spans="9:15" x14ac:dyDescent="0.15">
      <c r="I76" s="196"/>
      <c r="J76" s="196"/>
      <c r="K76" s="196"/>
      <c r="L76" s="196"/>
      <c r="M76" s="196"/>
      <c r="N76" s="196"/>
      <c r="O76" s="196"/>
    </row>
    <row r="77" spans="9:15" x14ac:dyDescent="0.15">
      <c r="I77" s="196"/>
      <c r="J77" s="196"/>
      <c r="K77" s="196"/>
      <c r="L77" s="196"/>
      <c r="M77" s="196"/>
      <c r="N77" s="196"/>
      <c r="O77" s="196"/>
    </row>
    <row r="78" spans="9:15" x14ac:dyDescent="0.15">
      <c r="I78" s="196"/>
      <c r="J78" s="196"/>
      <c r="K78" s="196"/>
      <c r="L78" s="196"/>
      <c r="M78" s="196"/>
      <c r="N78" s="196"/>
      <c r="O78" s="196"/>
    </row>
    <row r="79" spans="9:15" x14ac:dyDescent="0.15">
      <c r="I79" s="196"/>
      <c r="J79" s="196"/>
      <c r="K79" s="196"/>
      <c r="L79" s="196"/>
      <c r="M79" s="196"/>
      <c r="N79" s="196"/>
      <c r="O79" s="196"/>
    </row>
    <row r="80" spans="9:15" x14ac:dyDescent="0.15">
      <c r="I80" s="196"/>
      <c r="J80" s="196"/>
      <c r="K80" s="196"/>
      <c r="L80" s="196"/>
      <c r="M80" s="196"/>
      <c r="N80" s="196"/>
      <c r="O80" s="196"/>
    </row>
    <row r="81" spans="2:15" x14ac:dyDescent="0.15">
      <c r="I81" s="196"/>
      <c r="J81" s="196"/>
      <c r="K81" s="196"/>
      <c r="L81" s="196"/>
      <c r="M81" s="196"/>
      <c r="N81" s="196"/>
      <c r="O81" s="196"/>
    </row>
    <row r="82" spans="2:15" x14ac:dyDescent="0.15">
      <c r="I82" s="196"/>
      <c r="J82" s="196"/>
      <c r="K82" s="196"/>
      <c r="L82" s="196"/>
      <c r="M82" s="196"/>
      <c r="N82" s="196"/>
      <c r="O82" s="196"/>
    </row>
    <row r="83" spans="2:15" x14ac:dyDescent="0.15">
      <c r="B83" s="189"/>
      <c r="C83" s="190"/>
      <c r="D83" s="190"/>
      <c r="E83" s="190"/>
      <c r="F83" s="190"/>
      <c r="I83" s="196"/>
      <c r="J83" s="196"/>
      <c r="K83" s="196"/>
      <c r="L83" s="196"/>
      <c r="M83" s="196"/>
      <c r="N83" s="196"/>
      <c r="O83" s="196"/>
    </row>
    <row r="84" spans="2:15" x14ac:dyDescent="0.15">
      <c r="B84" s="189"/>
      <c r="C84" s="190"/>
      <c r="D84" s="190"/>
      <c r="E84" s="190"/>
      <c r="F84" s="190"/>
      <c r="I84" s="196"/>
      <c r="J84" s="196"/>
      <c r="K84" s="196"/>
      <c r="L84" s="196"/>
      <c r="M84" s="196"/>
      <c r="N84" s="196"/>
      <c r="O84" s="196"/>
    </row>
    <row r="85" spans="2:15" x14ac:dyDescent="0.15">
      <c r="I85" s="196"/>
      <c r="J85" s="196"/>
      <c r="K85" s="196"/>
      <c r="L85" s="196"/>
      <c r="M85" s="196"/>
      <c r="N85" s="196"/>
      <c r="O85" s="196"/>
    </row>
    <row r="86" spans="2:15" x14ac:dyDescent="0.15">
      <c r="I86" s="196"/>
      <c r="J86" s="196"/>
      <c r="K86" s="196"/>
      <c r="L86" s="196"/>
      <c r="M86" s="196"/>
      <c r="N86" s="196"/>
      <c r="O86" s="196"/>
    </row>
    <row r="87" spans="2:15" x14ac:dyDescent="0.15">
      <c r="I87" s="196"/>
      <c r="J87" s="196"/>
      <c r="K87" s="196"/>
      <c r="L87" s="196"/>
      <c r="M87" s="196"/>
      <c r="N87" s="196"/>
      <c r="O87" s="196"/>
    </row>
    <row r="88" spans="2:15" x14ac:dyDescent="0.15">
      <c r="I88" s="196"/>
      <c r="J88" s="196"/>
      <c r="K88" s="196"/>
      <c r="L88" s="196"/>
      <c r="M88" s="196"/>
      <c r="N88" s="196"/>
      <c r="O88" s="196"/>
    </row>
    <row r="89" spans="2:15" x14ac:dyDescent="0.15">
      <c r="I89" s="196"/>
      <c r="J89" s="196"/>
      <c r="K89" s="196"/>
      <c r="L89" s="196"/>
      <c r="M89" s="196"/>
      <c r="N89" s="196"/>
      <c r="O89" s="196"/>
    </row>
    <row r="90" spans="2:15" x14ac:dyDescent="0.15">
      <c r="I90" s="196"/>
      <c r="J90" s="196"/>
      <c r="K90" s="196"/>
      <c r="L90" s="196"/>
      <c r="M90" s="196"/>
      <c r="N90" s="196"/>
      <c r="O90" s="196"/>
    </row>
    <row r="91" spans="2:15" x14ac:dyDescent="0.15">
      <c r="I91" s="196"/>
      <c r="J91" s="196"/>
      <c r="K91" s="196"/>
      <c r="L91" s="196"/>
      <c r="M91" s="196"/>
      <c r="N91" s="196"/>
      <c r="O91" s="196"/>
    </row>
    <row r="92" spans="2:15" x14ac:dyDescent="0.15">
      <c r="I92" s="196"/>
      <c r="J92" s="196"/>
      <c r="K92" s="196"/>
      <c r="L92" s="196"/>
      <c r="M92" s="196"/>
      <c r="N92" s="196"/>
      <c r="O92" s="196"/>
    </row>
    <row r="93" spans="2:15" x14ac:dyDescent="0.15">
      <c r="I93" s="196"/>
      <c r="J93" s="196"/>
      <c r="K93" s="196"/>
      <c r="L93" s="196"/>
      <c r="M93" s="196"/>
      <c r="N93" s="196"/>
      <c r="O93" s="196"/>
    </row>
    <row r="94" spans="2:15" x14ac:dyDescent="0.15">
      <c r="I94" s="196"/>
      <c r="J94" s="196"/>
      <c r="K94" s="196"/>
      <c r="L94" s="196"/>
      <c r="M94" s="196"/>
      <c r="N94" s="196"/>
      <c r="O94" s="196"/>
    </row>
    <row r="95" spans="2:15" x14ac:dyDescent="0.15">
      <c r="I95" s="196"/>
      <c r="J95" s="196"/>
      <c r="K95" s="196"/>
      <c r="L95" s="196"/>
      <c r="M95" s="196"/>
      <c r="N95" s="196"/>
      <c r="O95" s="196"/>
    </row>
    <row r="96" spans="2:15" x14ac:dyDescent="0.15">
      <c r="I96" s="196"/>
      <c r="J96" s="196"/>
      <c r="K96" s="196"/>
      <c r="L96" s="196"/>
      <c r="M96" s="196"/>
      <c r="N96" s="196"/>
      <c r="O96" s="196"/>
    </row>
    <row r="97" spans="9:15" x14ac:dyDescent="0.15">
      <c r="I97" s="196"/>
      <c r="J97" s="196"/>
      <c r="K97" s="196"/>
      <c r="L97" s="196"/>
      <c r="M97" s="196"/>
      <c r="N97" s="196"/>
      <c r="O97" s="196"/>
    </row>
    <row r="98" spans="9:15" x14ac:dyDescent="0.15">
      <c r="I98" s="196"/>
      <c r="J98" s="196"/>
      <c r="K98" s="196"/>
      <c r="L98" s="196"/>
      <c r="M98" s="196"/>
      <c r="N98" s="196"/>
      <c r="O98" s="196"/>
    </row>
    <row r="99" spans="9:15" x14ac:dyDescent="0.15">
      <c r="I99" s="196"/>
      <c r="J99" s="196"/>
      <c r="K99" s="196"/>
      <c r="L99" s="196"/>
      <c r="M99" s="196"/>
      <c r="N99" s="196"/>
      <c r="O99" s="196"/>
    </row>
    <row r="100" spans="9:15" x14ac:dyDescent="0.15">
      <c r="I100" s="196"/>
      <c r="J100" s="196"/>
      <c r="K100" s="196"/>
      <c r="L100" s="196"/>
      <c r="M100" s="196"/>
      <c r="N100" s="196"/>
      <c r="O100" s="196"/>
    </row>
    <row r="101" spans="9:15" x14ac:dyDescent="0.15">
      <c r="I101" s="196"/>
      <c r="J101" s="196"/>
      <c r="K101" s="196"/>
      <c r="L101" s="196"/>
      <c r="M101" s="196"/>
      <c r="N101" s="196"/>
      <c r="O101" s="196"/>
    </row>
    <row r="102" spans="9:15" x14ac:dyDescent="0.15">
      <c r="I102" s="196"/>
      <c r="J102" s="196"/>
      <c r="K102" s="196"/>
      <c r="L102" s="196"/>
      <c r="M102" s="196"/>
      <c r="N102" s="196"/>
      <c r="O102" s="196"/>
    </row>
    <row r="103" spans="9:15" x14ac:dyDescent="0.15">
      <c r="I103" s="196"/>
      <c r="J103" s="196"/>
      <c r="K103" s="196"/>
      <c r="L103" s="196"/>
      <c r="M103" s="196"/>
      <c r="N103" s="196"/>
      <c r="O103" s="196"/>
    </row>
    <row r="104" spans="9:15" x14ac:dyDescent="0.15">
      <c r="I104" s="196"/>
      <c r="J104" s="196"/>
      <c r="K104" s="196"/>
      <c r="L104" s="196"/>
      <c r="M104" s="196"/>
      <c r="N104" s="196"/>
      <c r="O104" s="196"/>
    </row>
    <row r="105" spans="9:15" x14ac:dyDescent="0.15">
      <c r="I105" s="196"/>
      <c r="J105" s="196"/>
      <c r="K105" s="196"/>
      <c r="L105" s="196"/>
      <c r="M105" s="196"/>
      <c r="N105" s="196"/>
      <c r="O105" s="196"/>
    </row>
    <row r="106" spans="9:15" x14ac:dyDescent="0.15">
      <c r="I106" s="196"/>
      <c r="J106" s="196"/>
      <c r="K106" s="196"/>
      <c r="L106" s="196"/>
      <c r="M106" s="196"/>
      <c r="N106" s="196"/>
      <c r="O106" s="196"/>
    </row>
    <row r="107" spans="9:15" x14ac:dyDescent="0.15">
      <c r="I107" s="196"/>
      <c r="J107" s="196"/>
      <c r="K107" s="196"/>
      <c r="L107" s="196"/>
      <c r="M107" s="196"/>
      <c r="N107" s="196"/>
      <c r="O107" s="196"/>
    </row>
    <row r="108" spans="9:15" x14ac:dyDescent="0.15">
      <c r="I108" s="196"/>
      <c r="J108" s="196"/>
      <c r="K108" s="196"/>
      <c r="L108" s="196"/>
      <c r="M108" s="196"/>
      <c r="N108" s="196"/>
      <c r="O108" s="196"/>
    </row>
    <row r="109" spans="9:15" x14ac:dyDescent="0.15">
      <c r="I109" s="196"/>
      <c r="J109" s="196"/>
      <c r="K109" s="196"/>
      <c r="L109" s="196"/>
      <c r="M109" s="196"/>
      <c r="N109" s="196"/>
      <c r="O109" s="196"/>
    </row>
    <row r="110" spans="9:15" x14ac:dyDescent="0.15">
      <c r="I110" s="196"/>
      <c r="J110" s="196"/>
      <c r="K110" s="196"/>
      <c r="L110" s="196"/>
      <c r="M110" s="196"/>
      <c r="N110" s="196"/>
      <c r="O110" s="196"/>
    </row>
    <row r="111" spans="9:15" x14ac:dyDescent="0.15">
      <c r="I111" s="196"/>
      <c r="J111" s="196"/>
      <c r="K111" s="196"/>
      <c r="L111" s="196"/>
      <c r="M111" s="196"/>
      <c r="N111" s="196"/>
      <c r="O111" s="196"/>
    </row>
    <row r="112" spans="9:15" x14ac:dyDescent="0.15">
      <c r="I112" s="196"/>
      <c r="J112" s="196"/>
      <c r="K112" s="196"/>
      <c r="L112" s="196"/>
      <c r="M112" s="196"/>
      <c r="N112" s="196"/>
      <c r="O112" s="196"/>
    </row>
    <row r="113" spans="9:15" x14ac:dyDescent="0.15">
      <c r="I113" s="196"/>
      <c r="J113" s="196"/>
      <c r="K113" s="196"/>
      <c r="L113" s="196"/>
      <c r="M113" s="196"/>
      <c r="N113" s="196"/>
      <c r="O113" s="196"/>
    </row>
    <row r="114" spans="9:15" x14ac:dyDescent="0.15">
      <c r="I114" s="196"/>
      <c r="J114" s="196"/>
      <c r="K114" s="196"/>
      <c r="L114" s="196"/>
      <c r="M114" s="196"/>
      <c r="N114" s="196"/>
      <c r="O114" s="196"/>
    </row>
    <row r="115" spans="9:15" x14ac:dyDescent="0.15">
      <c r="I115" s="196"/>
      <c r="J115" s="196"/>
      <c r="K115" s="196"/>
      <c r="L115" s="196"/>
      <c r="M115" s="196"/>
      <c r="N115" s="196"/>
      <c r="O115" s="196"/>
    </row>
    <row r="116" spans="9:15" x14ac:dyDescent="0.15">
      <c r="I116" s="196"/>
      <c r="J116" s="196"/>
      <c r="K116" s="196"/>
      <c r="L116" s="196"/>
      <c r="M116" s="196"/>
      <c r="N116" s="196"/>
      <c r="O116" s="196"/>
    </row>
    <row r="117" spans="9:15" x14ac:dyDescent="0.15">
      <c r="I117" s="196"/>
      <c r="J117" s="196"/>
      <c r="K117" s="196"/>
      <c r="L117" s="196"/>
      <c r="M117" s="196"/>
      <c r="N117" s="196"/>
      <c r="O117" s="196"/>
    </row>
    <row r="118" spans="9:15" x14ac:dyDescent="0.15">
      <c r="I118" s="196"/>
      <c r="J118" s="196"/>
      <c r="K118" s="196"/>
      <c r="L118" s="196"/>
      <c r="M118" s="196"/>
      <c r="N118" s="196"/>
      <c r="O118" s="196"/>
    </row>
    <row r="119" spans="9:15" x14ac:dyDescent="0.15">
      <c r="I119" s="196"/>
      <c r="J119" s="196"/>
      <c r="K119" s="196"/>
      <c r="L119" s="196"/>
      <c r="M119" s="196"/>
      <c r="N119" s="196"/>
      <c r="O119" s="196"/>
    </row>
    <row r="120" spans="9:15" x14ac:dyDescent="0.15">
      <c r="I120" s="196"/>
      <c r="J120" s="196"/>
      <c r="K120" s="196"/>
      <c r="L120" s="196"/>
      <c r="M120" s="196"/>
      <c r="N120" s="196"/>
      <c r="O120" s="196"/>
    </row>
    <row r="121" spans="9:15" x14ac:dyDescent="0.15">
      <c r="I121" s="196"/>
      <c r="J121" s="196"/>
      <c r="K121" s="196"/>
      <c r="L121" s="196"/>
      <c r="M121" s="196"/>
      <c r="N121" s="196"/>
      <c r="O121" s="196"/>
    </row>
    <row r="122" spans="9:15" x14ac:dyDescent="0.15">
      <c r="I122" s="196"/>
      <c r="J122" s="196"/>
      <c r="K122" s="196"/>
      <c r="L122" s="196"/>
      <c r="M122" s="196"/>
      <c r="N122" s="196"/>
      <c r="O122" s="196"/>
    </row>
    <row r="123" spans="9:15" x14ac:dyDescent="0.15">
      <c r="I123" s="196"/>
      <c r="J123" s="196"/>
      <c r="K123" s="196"/>
      <c r="L123" s="196"/>
      <c r="M123" s="196"/>
      <c r="N123" s="196"/>
      <c r="O123" s="196"/>
    </row>
    <row r="124" spans="9:15" x14ac:dyDescent="0.15">
      <c r="I124" s="196"/>
      <c r="J124" s="196"/>
      <c r="K124" s="196"/>
      <c r="L124" s="196"/>
      <c r="M124" s="196"/>
      <c r="N124" s="196"/>
      <c r="O124" s="196"/>
    </row>
    <row r="125" spans="9:15" x14ac:dyDescent="0.15">
      <c r="I125" s="196"/>
      <c r="J125" s="196"/>
      <c r="K125" s="196"/>
      <c r="L125" s="196"/>
      <c r="M125" s="196"/>
      <c r="N125" s="196"/>
      <c r="O125" s="196"/>
    </row>
    <row r="126" spans="9:15" x14ac:dyDescent="0.15">
      <c r="I126" s="196"/>
      <c r="J126" s="196"/>
      <c r="K126" s="196"/>
      <c r="L126" s="196"/>
      <c r="M126" s="196"/>
      <c r="N126" s="196"/>
      <c r="O126" s="196"/>
    </row>
    <row r="127" spans="9:15" x14ac:dyDescent="0.15">
      <c r="I127" s="196"/>
      <c r="J127" s="196"/>
      <c r="K127" s="196"/>
      <c r="L127" s="196"/>
      <c r="M127" s="196"/>
      <c r="N127" s="196"/>
      <c r="O127" s="196"/>
    </row>
    <row r="128" spans="9:15" x14ac:dyDescent="0.15">
      <c r="I128" s="196"/>
      <c r="J128" s="196"/>
      <c r="K128" s="196"/>
      <c r="L128" s="196"/>
      <c r="M128" s="196"/>
      <c r="N128" s="196"/>
      <c r="O128" s="196"/>
    </row>
    <row r="129" spans="9:15" x14ac:dyDescent="0.15">
      <c r="I129" s="196"/>
      <c r="J129" s="196"/>
      <c r="K129" s="196"/>
      <c r="L129" s="196"/>
      <c r="M129" s="196"/>
      <c r="N129" s="196"/>
      <c r="O129" s="196"/>
    </row>
    <row r="130" spans="9:15" x14ac:dyDescent="0.15">
      <c r="I130" s="196"/>
      <c r="J130" s="196"/>
      <c r="K130" s="196"/>
      <c r="L130" s="196"/>
      <c r="M130" s="196"/>
      <c r="N130" s="196"/>
      <c r="O130" s="196"/>
    </row>
    <row r="131" spans="9:15" x14ac:dyDescent="0.15">
      <c r="I131" s="196"/>
      <c r="J131" s="196"/>
      <c r="K131" s="196"/>
      <c r="L131" s="196"/>
      <c r="M131" s="196"/>
      <c r="N131" s="196"/>
      <c r="O131" s="196"/>
    </row>
    <row r="132" spans="9:15" x14ac:dyDescent="0.15">
      <c r="I132" s="196"/>
      <c r="J132" s="196"/>
      <c r="K132" s="196"/>
      <c r="L132" s="196"/>
      <c r="M132" s="196"/>
      <c r="N132" s="196"/>
      <c r="O132" s="196"/>
    </row>
    <row r="133" spans="9:15" x14ac:dyDescent="0.15">
      <c r="I133" s="196"/>
      <c r="J133" s="196"/>
      <c r="K133" s="196"/>
      <c r="L133" s="196"/>
      <c r="M133" s="196"/>
      <c r="N133" s="196"/>
      <c r="O133" s="196"/>
    </row>
    <row r="134" spans="9:15" x14ac:dyDescent="0.15">
      <c r="I134" s="196"/>
      <c r="J134" s="196"/>
      <c r="K134" s="196"/>
      <c r="L134" s="196"/>
      <c r="M134" s="196"/>
      <c r="N134" s="196"/>
      <c r="O134" s="196"/>
    </row>
    <row r="135" spans="9:15" x14ac:dyDescent="0.15">
      <c r="I135" s="196"/>
      <c r="J135" s="196"/>
      <c r="K135" s="196"/>
      <c r="L135" s="196"/>
      <c r="M135" s="196"/>
      <c r="N135" s="196"/>
      <c r="O135" s="196"/>
    </row>
    <row r="136" spans="9:15" x14ac:dyDescent="0.15">
      <c r="I136" s="196"/>
      <c r="J136" s="196"/>
      <c r="K136" s="196"/>
      <c r="L136" s="196"/>
      <c r="M136" s="196"/>
      <c r="N136" s="196"/>
      <c r="O136" s="196"/>
    </row>
    <row r="137" spans="9:15" x14ac:dyDescent="0.15">
      <c r="I137" s="196"/>
      <c r="J137" s="196"/>
      <c r="K137" s="196"/>
      <c r="L137" s="196"/>
      <c r="M137" s="196"/>
      <c r="N137" s="196"/>
      <c r="O137" s="196"/>
    </row>
    <row r="138" spans="9:15" x14ac:dyDescent="0.15">
      <c r="I138" s="196"/>
      <c r="J138" s="196"/>
      <c r="K138" s="196"/>
      <c r="L138" s="196"/>
      <c r="M138" s="196"/>
      <c r="N138" s="196"/>
      <c r="O138" s="196"/>
    </row>
    <row r="139" spans="9:15" x14ac:dyDescent="0.15">
      <c r="I139" s="196"/>
      <c r="J139" s="196"/>
      <c r="K139" s="196"/>
      <c r="L139" s="196"/>
      <c r="M139" s="196"/>
      <c r="N139" s="196"/>
      <c r="O139" s="196"/>
    </row>
    <row r="140" spans="9:15" x14ac:dyDescent="0.15">
      <c r="I140" s="196"/>
      <c r="J140" s="196"/>
      <c r="K140" s="196"/>
      <c r="L140" s="196"/>
      <c r="M140" s="196"/>
      <c r="N140" s="196"/>
    </row>
    <row r="141" spans="9:15" x14ac:dyDescent="0.15">
      <c r="I141" s="196"/>
      <c r="J141" s="196"/>
      <c r="K141" s="196"/>
      <c r="L141" s="196"/>
      <c r="M141" s="196"/>
      <c r="N141" s="196"/>
    </row>
    <row r="142" spans="9:15" x14ac:dyDescent="0.15">
      <c r="I142" s="196"/>
      <c r="J142" s="196"/>
      <c r="K142" s="196"/>
      <c r="L142" s="196"/>
      <c r="M142" s="196"/>
      <c r="N142" s="196"/>
    </row>
    <row r="143" spans="9:15" x14ac:dyDescent="0.15">
      <c r="I143" s="196"/>
      <c r="J143" s="196"/>
      <c r="K143" s="196"/>
      <c r="L143" s="196"/>
      <c r="M143" s="196"/>
      <c r="N143" s="196"/>
    </row>
    <row r="144" spans="9:15" x14ac:dyDescent="0.15">
      <c r="I144" s="196"/>
      <c r="J144" s="196"/>
      <c r="K144" s="196"/>
      <c r="L144" s="196"/>
      <c r="M144" s="196"/>
      <c r="N144" s="196"/>
    </row>
    <row r="145" spans="9:14" x14ac:dyDescent="0.15">
      <c r="I145" s="196"/>
      <c r="J145" s="196"/>
      <c r="K145" s="196"/>
      <c r="L145" s="196"/>
      <c r="M145" s="196"/>
      <c r="N145" s="196"/>
    </row>
    <row r="146" spans="9:14" x14ac:dyDescent="0.15">
      <c r="I146" s="196"/>
      <c r="J146" s="196"/>
      <c r="K146" s="196"/>
      <c r="L146" s="196"/>
      <c r="M146" s="196"/>
      <c r="N146" s="196"/>
    </row>
    <row r="147" spans="9:14" x14ac:dyDescent="0.15">
      <c r="I147" s="196"/>
      <c r="J147" s="196"/>
      <c r="K147" s="196"/>
      <c r="L147" s="196"/>
      <c r="M147" s="196"/>
      <c r="N147" s="196"/>
    </row>
    <row r="148" spans="9:14" x14ac:dyDescent="0.15">
      <c r="I148" s="196"/>
      <c r="J148" s="196"/>
      <c r="K148" s="196"/>
      <c r="L148" s="196"/>
      <c r="M148" s="196"/>
      <c r="N148" s="196"/>
    </row>
    <row r="149" spans="9:14" x14ac:dyDescent="0.15">
      <c r="I149" s="196"/>
      <c r="J149" s="196"/>
      <c r="K149" s="196"/>
      <c r="L149" s="196"/>
      <c r="M149" s="196"/>
      <c r="N149" s="196"/>
    </row>
    <row r="150" spans="9:14" x14ac:dyDescent="0.15">
      <c r="I150" s="196"/>
      <c r="J150" s="196"/>
      <c r="K150" s="196"/>
      <c r="L150" s="196"/>
      <c r="M150" s="196"/>
      <c r="N150" s="196"/>
    </row>
    <row r="151" spans="9:14" x14ac:dyDescent="0.15">
      <c r="I151" s="196"/>
      <c r="J151" s="196"/>
      <c r="K151" s="196"/>
      <c r="L151" s="196"/>
      <c r="M151" s="196"/>
      <c r="N151" s="196"/>
    </row>
    <row r="152" spans="9:14" x14ac:dyDescent="0.15">
      <c r="I152" s="196"/>
      <c r="J152" s="196"/>
      <c r="K152" s="196"/>
      <c r="L152" s="196"/>
      <c r="M152" s="196"/>
      <c r="N152" s="196"/>
    </row>
    <row r="153" spans="9:14" x14ac:dyDescent="0.15">
      <c r="I153" s="196"/>
      <c r="J153" s="196"/>
      <c r="K153" s="196"/>
      <c r="L153" s="196"/>
      <c r="M153" s="196"/>
      <c r="N153" s="196"/>
    </row>
    <row r="154" spans="9:14" x14ac:dyDescent="0.15">
      <c r="I154" s="196"/>
      <c r="J154" s="196"/>
      <c r="K154" s="196"/>
      <c r="L154" s="196"/>
      <c r="M154" s="196"/>
      <c r="N154" s="196"/>
    </row>
    <row r="155" spans="9:14" x14ac:dyDescent="0.15">
      <c r="J155" s="196"/>
      <c r="K155" s="196"/>
      <c r="L155" s="196"/>
      <c r="M155" s="196"/>
      <c r="N155" s="196"/>
    </row>
    <row r="156" spans="9:14" x14ac:dyDescent="0.15">
      <c r="J156" s="196"/>
      <c r="K156" s="196"/>
      <c r="L156" s="196"/>
      <c r="M156" s="196"/>
      <c r="N156" s="196"/>
    </row>
    <row r="173" spans="15:15" x14ac:dyDescent="0.15">
      <c r="O173" s="196"/>
    </row>
    <row r="174" spans="15:15" x14ac:dyDescent="0.15">
      <c r="O174" s="196"/>
    </row>
    <row r="175" spans="15:15" x14ac:dyDescent="0.15">
      <c r="O175" s="196"/>
    </row>
    <row r="176" spans="15:15" x14ac:dyDescent="0.15">
      <c r="O176" s="196"/>
    </row>
    <row r="177" spans="15:15" x14ac:dyDescent="0.15">
      <c r="O177" s="196"/>
    </row>
    <row r="178" spans="15:15" x14ac:dyDescent="0.15">
      <c r="O178" s="196"/>
    </row>
    <row r="179" spans="15:15" x14ac:dyDescent="0.15">
      <c r="O179" s="196"/>
    </row>
    <row r="180" spans="15:15" x14ac:dyDescent="0.15">
      <c r="O180" s="196"/>
    </row>
    <row r="181" spans="15:15" x14ac:dyDescent="0.15">
      <c r="O181" s="196"/>
    </row>
    <row r="182" spans="15:15" x14ac:dyDescent="0.15">
      <c r="O182" s="196"/>
    </row>
    <row r="183" spans="15:15" x14ac:dyDescent="0.15">
      <c r="O183" s="196"/>
    </row>
    <row r="184" spans="15:15" x14ac:dyDescent="0.15">
      <c r="O184" s="196"/>
    </row>
    <row r="185" spans="15:15" x14ac:dyDescent="0.15">
      <c r="O185" s="196"/>
    </row>
    <row r="186" spans="15:15" x14ac:dyDescent="0.15">
      <c r="O186" s="196"/>
    </row>
    <row r="187" spans="15:15" x14ac:dyDescent="0.15">
      <c r="O187" s="196"/>
    </row>
    <row r="188" spans="15:15" x14ac:dyDescent="0.15">
      <c r="O188" s="196"/>
    </row>
    <row r="189" spans="15:15" x14ac:dyDescent="0.15">
      <c r="O189" s="196"/>
    </row>
    <row r="190" spans="15:15" x14ac:dyDescent="0.15">
      <c r="O190" s="196"/>
    </row>
    <row r="191" spans="15:15" x14ac:dyDescent="0.15">
      <c r="O191" s="196"/>
    </row>
    <row r="192" spans="15:15" x14ac:dyDescent="0.15">
      <c r="O192" s="196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K39:L39"/>
    <mergeCell ref="P38:P44"/>
    <mergeCell ref="K40:L40"/>
    <mergeCell ref="K41:L41"/>
    <mergeCell ref="K42:L42"/>
    <mergeCell ref="I43:I46"/>
    <mergeCell ref="K43:L43"/>
    <mergeCell ref="K44:L44"/>
    <mergeCell ref="K45:L45"/>
    <mergeCell ref="P45:P56"/>
    <mergeCell ref="K46:L46"/>
    <mergeCell ref="K49:L49"/>
    <mergeCell ref="K56:L56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" right="0" top="0.78740157480314965" bottom="0" header="0.39370078740157483" footer="0.39370078740157483"/>
  <pageSetup paperSize="9" scale="69" orientation="landscape" r:id="rId1"/>
  <headerFooter alignWithMargins="0">
    <oddHeader>&amp;R&amp;A</oddHeader>
  </headerFooter>
  <ignoredErrors>
    <ignoredError sqref="N28 N12 N1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V192"/>
  <sheetViews>
    <sheetView zoomScale="75" zoomScaleNormal="75" workbookViewId="0"/>
  </sheetViews>
  <sheetFormatPr defaultRowHeight="13.5" x14ac:dyDescent="0.15"/>
  <cols>
    <col min="1" max="1" width="1.625" style="85" customWidth="1"/>
    <col min="2" max="2" width="3.625" style="85" customWidth="1"/>
    <col min="3" max="3" width="19.5" style="85" customWidth="1"/>
    <col min="4" max="7" width="8.625" style="85" customWidth="1"/>
    <col min="8" max="8" width="2.375" style="196" customWidth="1"/>
    <col min="9" max="9" width="3.625" style="85" customWidth="1"/>
    <col min="10" max="10" width="15.625" style="85" customWidth="1"/>
    <col min="11" max="14" width="8.625" style="85" customWidth="1"/>
    <col min="15" max="15" width="3.5" style="85" customWidth="1"/>
    <col min="16" max="16" width="15.625" style="167" customWidth="1"/>
    <col min="17" max="17" width="8.625" style="85" customWidth="1"/>
    <col min="18" max="18" width="8.625" style="86" customWidth="1"/>
    <col min="19" max="21" width="8.625" style="85" customWidth="1"/>
    <col min="22" max="22" width="10.625" style="86" customWidth="1"/>
    <col min="23" max="262" width="8.875" style="85"/>
    <col min="263" max="263" width="1.375" style="85" customWidth="1"/>
    <col min="264" max="264" width="3.5" style="85" customWidth="1"/>
    <col min="265" max="265" width="22.125" style="85" customWidth="1"/>
    <col min="266" max="266" width="9.75" style="85" customWidth="1"/>
    <col min="267" max="267" width="7.375" style="85" customWidth="1"/>
    <col min="268" max="268" width="8.875" style="85"/>
    <col min="269" max="269" width="9.25" style="85" customWidth="1"/>
    <col min="270" max="270" width="3.5" style="85" customWidth="1"/>
    <col min="271" max="272" width="12.625" style="85" customWidth="1"/>
    <col min="273" max="273" width="8.875" style="85"/>
    <col min="274" max="274" width="7.75" style="85" customWidth="1"/>
    <col min="275" max="275" width="13.125" style="85" customWidth="1"/>
    <col min="276" max="276" width="6.125" style="85" customWidth="1"/>
    <col min="277" max="277" width="9.75" style="85" customWidth="1"/>
    <col min="278" max="278" width="1.375" style="85" customWidth="1"/>
    <col min="279" max="518" width="8.875" style="85"/>
    <col min="519" max="519" width="1.375" style="85" customWidth="1"/>
    <col min="520" max="520" width="3.5" style="85" customWidth="1"/>
    <col min="521" max="521" width="22.125" style="85" customWidth="1"/>
    <col min="522" max="522" width="9.75" style="85" customWidth="1"/>
    <col min="523" max="523" width="7.375" style="85" customWidth="1"/>
    <col min="524" max="524" width="8.875" style="85"/>
    <col min="525" max="525" width="9.25" style="85" customWidth="1"/>
    <col min="526" max="526" width="3.5" style="85" customWidth="1"/>
    <col min="527" max="528" width="12.625" style="85" customWidth="1"/>
    <col min="529" max="529" width="8.875" style="85"/>
    <col min="530" max="530" width="7.75" style="85" customWidth="1"/>
    <col min="531" max="531" width="13.125" style="85" customWidth="1"/>
    <col min="532" max="532" width="6.125" style="85" customWidth="1"/>
    <col min="533" max="533" width="9.75" style="85" customWidth="1"/>
    <col min="534" max="534" width="1.375" style="85" customWidth="1"/>
    <col min="535" max="774" width="8.875" style="85"/>
    <col min="775" max="775" width="1.375" style="85" customWidth="1"/>
    <col min="776" max="776" width="3.5" style="85" customWidth="1"/>
    <col min="777" max="777" width="22.125" style="85" customWidth="1"/>
    <col min="778" max="778" width="9.75" style="85" customWidth="1"/>
    <col min="779" max="779" width="7.375" style="85" customWidth="1"/>
    <col min="780" max="780" width="8.875" style="85"/>
    <col min="781" max="781" width="9.25" style="85" customWidth="1"/>
    <col min="782" max="782" width="3.5" style="85" customWidth="1"/>
    <col min="783" max="784" width="12.625" style="85" customWidth="1"/>
    <col min="785" max="785" width="8.875" style="85"/>
    <col min="786" max="786" width="7.75" style="85" customWidth="1"/>
    <col min="787" max="787" width="13.125" style="85" customWidth="1"/>
    <col min="788" max="788" width="6.125" style="85" customWidth="1"/>
    <col min="789" max="789" width="9.75" style="85" customWidth="1"/>
    <col min="790" max="790" width="1.375" style="85" customWidth="1"/>
    <col min="791" max="1030" width="8.875" style="85"/>
    <col min="1031" max="1031" width="1.375" style="85" customWidth="1"/>
    <col min="1032" max="1032" width="3.5" style="85" customWidth="1"/>
    <col min="1033" max="1033" width="22.125" style="85" customWidth="1"/>
    <col min="1034" max="1034" width="9.75" style="85" customWidth="1"/>
    <col min="1035" max="1035" width="7.375" style="85" customWidth="1"/>
    <col min="1036" max="1036" width="8.875" style="85"/>
    <col min="1037" max="1037" width="9.25" style="85" customWidth="1"/>
    <col min="1038" max="1038" width="3.5" style="85" customWidth="1"/>
    <col min="1039" max="1040" width="12.625" style="85" customWidth="1"/>
    <col min="1041" max="1041" width="8.875" style="85"/>
    <col min="1042" max="1042" width="7.75" style="85" customWidth="1"/>
    <col min="1043" max="1043" width="13.125" style="85" customWidth="1"/>
    <col min="1044" max="1044" width="6.125" style="85" customWidth="1"/>
    <col min="1045" max="1045" width="9.75" style="85" customWidth="1"/>
    <col min="1046" max="1046" width="1.375" style="85" customWidth="1"/>
    <col min="1047" max="1286" width="8.875" style="85"/>
    <col min="1287" max="1287" width="1.375" style="85" customWidth="1"/>
    <col min="1288" max="1288" width="3.5" style="85" customWidth="1"/>
    <col min="1289" max="1289" width="22.125" style="85" customWidth="1"/>
    <col min="1290" max="1290" width="9.75" style="85" customWidth="1"/>
    <col min="1291" max="1291" width="7.375" style="85" customWidth="1"/>
    <col min="1292" max="1292" width="8.875" style="85"/>
    <col min="1293" max="1293" width="9.25" style="85" customWidth="1"/>
    <col min="1294" max="1294" width="3.5" style="85" customWidth="1"/>
    <col min="1295" max="1296" width="12.625" style="85" customWidth="1"/>
    <col min="1297" max="1297" width="8.875" style="85"/>
    <col min="1298" max="1298" width="7.75" style="85" customWidth="1"/>
    <col min="1299" max="1299" width="13.125" style="85" customWidth="1"/>
    <col min="1300" max="1300" width="6.125" style="85" customWidth="1"/>
    <col min="1301" max="1301" width="9.75" style="85" customWidth="1"/>
    <col min="1302" max="1302" width="1.375" style="85" customWidth="1"/>
    <col min="1303" max="1542" width="8.875" style="85"/>
    <col min="1543" max="1543" width="1.375" style="85" customWidth="1"/>
    <col min="1544" max="1544" width="3.5" style="85" customWidth="1"/>
    <col min="1545" max="1545" width="22.125" style="85" customWidth="1"/>
    <col min="1546" max="1546" width="9.75" style="85" customWidth="1"/>
    <col min="1547" max="1547" width="7.375" style="85" customWidth="1"/>
    <col min="1548" max="1548" width="8.875" style="85"/>
    <col min="1549" max="1549" width="9.25" style="85" customWidth="1"/>
    <col min="1550" max="1550" width="3.5" style="85" customWidth="1"/>
    <col min="1551" max="1552" width="12.625" style="85" customWidth="1"/>
    <col min="1553" max="1553" width="8.875" style="85"/>
    <col min="1554" max="1554" width="7.75" style="85" customWidth="1"/>
    <col min="1555" max="1555" width="13.125" style="85" customWidth="1"/>
    <col min="1556" max="1556" width="6.125" style="85" customWidth="1"/>
    <col min="1557" max="1557" width="9.75" style="85" customWidth="1"/>
    <col min="1558" max="1558" width="1.375" style="85" customWidth="1"/>
    <col min="1559" max="1798" width="8.875" style="85"/>
    <col min="1799" max="1799" width="1.375" style="85" customWidth="1"/>
    <col min="1800" max="1800" width="3.5" style="85" customWidth="1"/>
    <col min="1801" max="1801" width="22.125" style="85" customWidth="1"/>
    <col min="1802" max="1802" width="9.75" style="85" customWidth="1"/>
    <col min="1803" max="1803" width="7.375" style="85" customWidth="1"/>
    <col min="1804" max="1804" width="8.875" style="85"/>
    <col min="1805" max="1805" width="9.25" style="85" customWidth="1"/>
    <col min="1806" max="1806" width="3.5" style="85" customWidth="1"/>
    <col min="1807" max="1808" width="12.625" style="85" customWidth="1"/>
    <col min="1809" max="1809" width="8.875" style="85"/>
    <col min="1810" max="1810" width="7.75" style="85" customWidth="1"/>
    <col min="1811" max="1811" width="13.125" style="85" customWidth="1"/>
    <col min="1812" max="1812" width="6.125" style="85" customWidth="1"/>
    <col min="1813" max="1813" width="9.75" style="85" customWidth="1"/>
    <col min="1814" max="1814" width="1.375" style="85" customWidth="1"/>
    <col min="1815" max="2054" width="8.875" style="85"/>
    <col min="2055" max="2055" width="1.375" style="85" customWidth="1"/>
    <col min="2056" max="2056" width="3.5" style="85" customWidth="1"/>
    <col min="2057" max="2057" width="22.125" style="85" customWidth="1"/>
    <col min="2058" max="2058" width="9.75" style="85" customWidth="1"/>
    <col min="2059" max="2059" width="7.375" style="85" customWidth="1"/>
    <col min="2060" max="2060" width="8.875" style="85"/>
    <col min="2061" max="2061" width="9.25" style="85" customWidth="1"/>
    <col min="2062" max="2062" width="3.5" style="85" customWidth="1"/>
    <col min="2063" max="2064" width="12.625" style="85" customWidth="1"/>
    <col min="2065" max="2065" width="8.875" style="85"/>
    <col min="2066" max="2066" width="7.75" style="85" customWidth="1"/>
    <col min="2067" max="2067" width="13.125" style="85" customWidth="1"/>
    <col min="2068" max="2068" width="6.125" style="85" customWidth="1"/>
    <col min="2069" max="2069" width="9.75" style="85" customWidth="1"/>
    <col min="2070" max="2070" width="1.375" style="85" customWidth="1"/>
    <col min="2071" max="2310" width="8.875" style="85"/>
    <col min="2311" max="2311" width="1.375" style="85" customWidth="1"/>
    <col min="2312" max="2312" width="3.5" style="85" customWidth="1"/>
    <col min="2313" max="2313" width="22.125" style="85" customWidth="1"/>
    <col min="2314" max="2314" width="9.75" style="85" customWidth="1"/>
    <col min="2315" max="2315" width="7.375" style="85" customWidth="1"/>
    <col min="2316" max="2316" width="8.875" style="85"/>
    <col min="2317" max="2317" width="9.25" style="85" customWidth="1"/>
    <col min="2318" max="2318" width="3.5" style="85" customWidth="1"/>
    <col min="2319" max="2320" width="12.625" style="85" customWidth="1"/>
    <col min="2321" max="2321" width="8.875" style="85"/>
    <col min="2322" max="2322" width="7.75" style="85" customWidth="1"/>
    <col min="2323" max="2323" width="13.125" style="85" customWidth="1"/>
    <col min="2324" max="2324" width="6.125" style="85" customWidth="1"/>
    <col min="2325" max="2325" width="9.75" style="85" customWidth="1"/>
    <col min="2326" max="2326" width="1.375" style="85" customWidth="1"/>
    <col min="2327" max="2566" width="8.875" style="85"/>
    <col min="2567" max="2567" width="1.375" style="85" customWidth="1"/>
    <col min="2568" max="2568" width="3.5" style="85" customWidth="1"/>
    <col min="2569" max="2569" width="22.125" style="85" customWidth="1"/>
    <col min="2570" max="2570" width="9.75" style="85" customWidth="1"/>
    <col min="2571" max="2571" width="7.375" style="85" customWidth="1"/>
    <col min="2572" max="2572" width="8.875" style="85"/>
    <col min="2573" max="2573" width="9.25" style="85" customWidth="1"/>
    <col min="2574" max="2574" width="3.5" style="85" customWidth="1"/>
    <col min="2575" max="2576" width="12.625" style="85" customWidth="1"/>
    <col min="2577" max="2577" width="8.875" style="85"/>
    <col min="2578" max="2578" width="7.75" style="85" customWidth="1"/>
    <col min="2579" max="2579" width="13.125" style="85" customWidth="1"/>
    <col min="2580" max="2580" width="6.125" style="85" customWidth="1"/>
    <col min="2581" max="2581" width="9.75" style="85" customWidth="1"/>
    <col min="2582" max="2582" width="1.375" style="85" customWidth="1"/>
    <col min="2583" max="2822" width="8.875" style="85"/>
    <col min="2823" max="2823" width="1.375" style="85" customWidth="1"/>
    <col min="2824" max="2824" width="3.5" style="85" customWidth="1"/>
    <col min="2825" max="2825" width="22.125" style="85" customWidth="1"/>
    <col min="2826" max="2826" width="9.75" style="85" customWidth="1"/>
    <col min="2827" max="2827" width="7.375" style="85" customWidth="1"/>
    <col min="2828" max="2828" width="8.875" style="85"/>
    <col min="2829" max="2829" width="9.25" style="85" customWidth="1"/>
    <col min="2830" max="2830" width="3.5" style="85" customWidth="1"/>
    <col min="2831" max="2832" width="12.625" style="85" customWidth="1"/>
    <col min="2833" max="2833" width="8.875" style="85"/>
    <col min="2834" max="2834" width="7.75" style="85" customWidth="1"/>
    <col min="2835" max="2835" width="13.125" style="85" customWidth="1"/>
    <col min="2836" max="2836" width="6.125" style="85" customWidth="1"/>
    <col min="2837" max="2837" width="9.75" style="85" customWidth="1"/>
    <col min="2838" max="2838" width="1.375" style="85" customWidth="1"/>
    <col min="2839" max="3078" width="8.875" style="85"/>
    <col min="3079" max="3079" width="1.375" style="85" customWidth="1"/>
    <col min="3080" max="3080" width="3.5" style="85" customWidth="1"/>
    <col min="3081" max="3081" width="22.125" style="85" customWidth="1"/>
    <col min="3082" max="3082" width="9.75" style="85" customWidth="1"/>
    <col min="3083" max="3083" width="7.375" style="85" customWidth="1"/>
    <col min="3084" max="3084" width="8.875" style="85"/>
    <col min="3085" max="3085" width="9.25" style="85" customWidth="1"/>
    <col min="3086" max="3086" width="3.5" style="85" customWidth="1"/>
    <col min="3087" max="3088" width="12.625" style="85" customWidth="1"/>
    <col min="3089" max="3089" width="8.875" style="85"/>
    <col min="3090" max="3090" width="7.75" style="85" customWidth="1"/>
    <col min="3091" max="3091" width="13.125" style="85" customWidth="1"/>
    <col min="3092" max="3092" width="6.125" style="85" customWidth="1"/>
    <col min="3093" max="3093" width="9.75" style="85" customWidth="1"/>
    <col min="3094" max="3094" width="1.375" style="85" customWidth="1"/>
    <col min="3095" max="3334" width="8.875" style="85"/>
    <col min="3335" max="3335" width="1.375" style="85" customWidth="1"/>
    <col min="3336" max="3336" width="3.5" style="85" customWidth="1"/>
    <col min="3337" max="3337" width="22.125" style="85" customWidth="1"/>
    <col min="3338" max="3338" width="9.75" style="85" customWidth="1"/>
    <col min="3339" max="3339" width="7.375" style="85" customWidth="1"/>
    <col min="3340" max="3340" width="8.875" style="85"/>
    <col min="3341" max="3341" width="9.25" style="85" customWidth="1"/>
    <col min="3342" max="3342" width="3.5" style="85" customWidth="1"/>
    <col min="3343" max="3344" width="12.625" style="85" customWidth="1"/>
    <col min="3345" max="3345" width="8.875" style="85"/>
    <col min="3346" max="3346" width="7.75" style="85" customWidth="1"/>
    <col min="3347" max="3347" width="13.125" style="85" customWidth="1"/>
    <col min="3348" max="3348" width="6.125" style="85" customWidth="1"/>
    <col min="3349" max="3349" width="9.75" style="85" customWidth="1"/>
    <col min="3350" max="3350" width="1.375" style="85" customWidth="1"/>
    <col min="3351" max="3590" width="8.875" style="85"/>
    <col min="3591" max="3591" width="1.375" style="85" customWidth="1"/>
    <col min="3592" max="3592" width="3.5" style="85" customWidth="1"/>
    <col min="3593" max="3593" width="22.125" style="85" customWidth="1"/>
    <col min="3594" max="3594" width="9.75" style="85" customWidth="1"/>
    <col min="3595" max="3595" width="7.375" style="85" customWidth="1"/>
    <col min="3596" max="3596" width="8.875" style="85"/>
    <col min="3597" max="3597" width="9.25" style="85" customWidth="1"/>
    <col min="3598" max="3598" width="3.5" style="85" customWidth="1"/>
    <col min="3599" max="3600" width="12.625" style="85" customWidth="1"/>
    <col min="3601" max="3601" width="8.875" style="85"/>
    <col min="3602" max="3602" width="7.75" style="85" customWidth="1"/>
    <col min="3603" max="3603" width="13.125" style="85" customWidth="1"/>
    <col min="3604" max="3604" width="6.125" style="85" customWidth="1"/>
    <col min="3605" max="3605" width="9.75" style="85" customWidth="1"/>
    <col min="3606" max="3606" width="1.375" style="85" customWidth="1"/>
    <col min="3607" max="3846" width="8.875" style="85"/>
    <col min="3847" max="3847" width="1.375" style="85" customWidth="1"/>
    <col min="3848" max="3848" width="3.5" style="85" customWidth="1"/>
    <col min="3849" max="3849" width="22.125" style="85" customWidth="1"/>
    <col min="3850" max="3850" width="9.75" style="85" customWidth="1"/>
    <col min="3851" max="3851" width="7.375" style="85" customWidth="1"/>
    <col min="3852" max="3852" width="8.875" style="85"/>
    <col min="3853" max="3853" width="9.25" style="85" customWidth="1"/>
    <col min="3854" max="3854" width="3.5" style="85" customWidth="1"/>
    <col min="3855" max="3856" width="12.625" style="85" customWidth="1"/>
    <col min="3857" max="3857" width="8.875" style="85"/>
    <col min="3858" max="3858" width="7.75" style="85" customWidth="1"/>
    <col min="3859" max="3859" width="13.125" style="85" customWidth="1"/>
    <col min="3860" max="3860" width="6.125" style="85" customWidth="1"/>
    <col min="3861" max="3861" width="9.75" style="85" customWidth="1"/>
    <col min="3862" max="3862" width="1.375" style="85" customWidth="1"/>
    <col min="3863" max="4102" width="8.875" style="85"/>
    <col min="4103" max="4103" width="1.375" style="85" customWidth="1"/>
    <col min="4104" max="4104" width="3.5" style="85" customWidth="1"/>
    <col min="4105" max="4105" width="22.125" style="85" customWidth="1"/>
    <col min="4106" max="4106" width="9.75" style="85" customWidth="1"/>
    <col min="4107" max="4107" width="7.375" style="85" customWidth="1"/>
    <col min="4108" max="4108" width="8.875" style="85"/>
    <col min="4109" max="4109" width="9.25" style="85" customWidth="1"/>
    <col min="4110" max="4110" width="3.5" style="85" customWidth="1"/>
    <col min="4111" max="4112" width="12.625" style="85" customWidth="1"/>
    <col min="4113" max="4113" width="8.875" style="85"/>
    <col min="4114" max="4114" width="7.75" style="85" customWidth="1"/>
    <col min="4115" max="4115" width="13.125" style="85" customWidth="1"/>
    <col min="4116" max="4116" width="6.125" style="85" customWidth="1"/>
    <col min="4117" max="4117" width="9.75" style="85" customWidth="1"/>
    <col min="4118" max="4118" width="1.375" style="85" customWidth="1"/>
    <col min="4119" max="4358" width="8.875" style="85"/>
    <col min="4359" max="4359" width="1.375" style="85" customWidth="1"/>
    <col min="4360" max="4360" width="3.5" style="85" customWidth="1"/>
    <col min="4361" max="4361" width="22.125" style="85" customWidth="1"/>
    <col min="4362" max="4362" width="9.75" style="85" customWidth="1"/>
    <col min="4363" max="4363" width="7.375" style="85" customWidth="1"/>
    <col min="4364" max="4364" width="8.875" style="85"/>
    <col min="4365" max="4365" width="9.25" style="85" customWidth="1"/>
    <col min="4366" max="4366" width="3.5" style="85" customWidth="1"/>
    <col min="4367" max="4368" width="12.625" style="85" customWidth="1"/>
    <col min="4369" max="4369" width="8.875" style="85"/>
    <col min="4370" max="4370" width="7.75" style="85" customWidth="1"/>
    <col min="4371" max="4371" width="13.125" style="85" customWidth="1"/>
    <col min="4372" max="4372" width="6.125" style="85" customWidth="1"/>
    <col min="4373" max="4373" width="9.75" style="85" customWidth="1"/>
    <col min="4374" max="4374" width="1.375" style="85" customWidth="1"/>
    <col min="4375" max="4614" width="8.875" style="85"/>
    <col min="4615" max="4615" width="1.375" style="85" customWidth="1"/>
    <col min="4616" max="4616" width="3.5" style="85" customWidth="1"/>
    <col min="4617" max="4617" width="22.125" style="85" customWidth="1"/>
    <col min="4618" max="4618" width="9.75" style="85" customWidth="1"/>
    <col min="4619" max="4619" width="7.375" style="85" customWidth="1"/>
    <col min="4620" max="4620" width="8.875" style="85"/>
    <col min="4621" max="4621" width="9.25" style="85" customWidth="1"/>
    <col min="4622" max="4622" width="3.5" style="85" customWidth="1"/>
    <col min="4623" max="4624" width="12.625" style="85" customWidth="1"/>
    <col min="4625" max="4625" width="8.875" style="85"/>
    <col min="4626" max="4626" width="7.75" style="85" customWidth="1"/>
    <col min="4627" max="4627" width="13.125" style="85" customWidth="1"/>
    <col min="4628" max="4628" width="6.125" style="85" customWidth="1"/>
    <col min="4629" max="4629" width="9.75" style="85" customWidth="1"/>
    <col min="4630" max="4630" width="1.375" style="85" customWidth="1"/>
    <col min="4631" max="4870" width="8.875" style="85"/>
    <col min="4871" max="4871" width="1.375" style="85" customWidth="1"/>
    <col min="4872" max="4872" width="3.5" style="85" customWidth="1"/>
    <col min="4873" max="4873" width="22.125" style="85" customWidth="1"/>
    <col min="4874" max="4874" width="9.75" style="85" customWidth="1"/>
    <col min="4875" max="4875" width="7.375" style="85" customWidth="1"/>
    <col min="4876" max="4876" width="8.875" style="85"/>
    <col min="4877" max="4877" width="9.25" style="85" customWidth="1"/>
    <col min="4878" max="4878" width="3.5" style="85" customWidth="1"/>
    <col min="4879" max="4880" width="12.625" style="85" customWidth="1"/>
    <col min="4881" max="4881" width="8.875" style="85"/>
    <col min="4882" max="4882" width="7.75" style="85" customWidth="1"/>
    <col min="4883" max="4883" width="13.125" style="85" customWidth="1"/>
    <col min="4884" max="4884" width="6.125" style="85" customWidth="1"/>
    <col min="4885" max="4885" width="9.75" style="85" customWidth="1"/>
    <col min="4886" max="4886" width="1.375" style="85" customWidth="1"/>
    <col min="4887" max="5126" width="8.875" style="85"/>
    <col min="5127" max="5127" width="1.375" style="85" customWidth="1"/>
    <col min="5128" max="5128" width="3.5" style="85" customWidth="1"/>
    <col min="5129" max="5129" width="22.125" style="85" customWidth="1"/>
    <col min="5130" max="5130" width="9.75" style="85" customWidth="1"/>
    <col min="5131" max="5131" width="7.375" style="85" customWidth="1"/>
    <col min="5132" max="5132" width="8.875" style="85"/>
    <col min="5133" max="5133" width="9.25" style="85" customWidth="1"/>
    <col min="5134" max="5134" width="3.5" style="85" customWidth="1"/>
    <col min="5135" max="5136" width="12.625" style="85" customWidth="1"/>
    <col min="5137" max="5137" width="8.875" style="85"/>
    <col min="5138" max="5138" width="7.75" style="85" customWidth="1"/>
    <col min="5139" max="5139" width="13.125" style="85" customWidth="1"/>
    <col min="5140" max="5140" width="6.125" style="85" customWidth="1"/>
    <col min="5141" max="5141" width="9.75" style="85" customWidth="1"/>
    <col min="5142" max="5142" width="1.375" style="85" customWidth="1"/>
    <col min="5143" max="5382" width="8.875" style="85"/>
    <col min="5383" max="5383" width="1.375" style="85" customWidth="1"/>
    <col min="5384" max="5384" width="3.5" style="85" customWidth="1"/>
    <col min="5385" max="5385" width="22.125" style="85" customWidth="1"/>
    <col min="5386" max="5386" width="9.75" style="85" customWidth="1"/>
    <col min="5387" max="5387" width="7.375" style="85" customWidth="1"/>
    <col min="5388" max="5388" width="8.875" style="85"/>
    <col min="5389" max="5389" width="9.25" style="85" customWidth="1"/>
    <col min="5390" max="5390" width="3.5" style="85" customWidth="1"/>
    <col min="5391" max="5392" width="12.625" style="85" customWidth="1"/>
    <col min="5393" max="5393" width="8.875" style="85"/>
    <col min="5394" max="5394" width="7.75" style="85" customWidth="1"/>
    <col min="5395" max="5395" width="13.125" style="85" customWidth="1"/>
    <col min="5396" max="5396" width="6.125" style="85" customWidth="1"/>
    <col min="5397" max="5397" width="9.75" style="85" customWidth="1"/>
    <col min="5398" max="5398" width="1.375" style="85" customWidth="1"/>
    <col min="5399" max="5638" width="8.875" style="85"/>
    <col min="5639" max="5639" width="1.375" style="85" customWidth="1"/>
    <col min="5640" max="5640" width="3.5" style="85" customWidth="1"/>
    <col min="5641" max="5641" width="22.125" style="85" customWidth="1"/>
    <col min="5642" max="5642" width="9.75" style="85" customWidth="1"/>
    <col min="5643" max="5643" width="7.375" style="85" customWidth="1"/>
    <col min="5644" max="5644" width="8.875" style="85"/>
    <col min="5645" max="5645" width="9.25" style="85" customWidth="1"/>
    <col min="5646" max="5646" width="3.5" style="85" customWidth="1"/>
    <col min="5647" max="5648" width="12.625" style="85" customWidth="1"/>
    <col min="5649" max="5649" width="8.875" style="85"/>
    <col min="5650" max="5650" width="7.75" style="85" customWidth="1"/>
    <col min="5651" max="5651" width="13.125" style="85" customWidth="1"/>
    <col min="5652" max="5652" width="6.125" style="85" customWidth="1"/>
    <col min="5653" max="5653" width="9.75" style="85" customWidth="1"/>
    <col min="5654" max="5654" width="1.375" style="85" customWidth="1"/>
    <col min="5655" max="5894" width="8.875" style="85"/>
    <col min="5895" max="5895" width="1.375" style="85" customWidth="1"/>
    <col min="5896" max="5896" width="3.5" style="85" customWidth="1"/>
    <col min="5897" max="5897" width="22.125" style="85" customWidth="1"/>
    <col min="5898" max="5898" width="9.75" style="85" customWidth="1"/>
    <col min="5899" max="5899" width="7.375" style="85" customWidth="1"/>
    <col min="5900" max="5900" width="8.875" style="85"/>
    <col min="5901" max="5901" width="9.25" style="85" customWidth="1"/>
    <col min="5902" max="5902" width="3.5" style="85" customWidth="1"/>
    <col min="5903" max="5904" width="12.625" style="85" customWidth="1"/>
    <col min="5905" max="5905" width="8.875" style="85"/>
    <col min="5906" max="5906" width="7.75" style="85" customWidth="1"/>
    <col min="5907" max="5907" width="13.125" style="85" customWidth="1"/>
    <col min="5908" max="5908" width="6.125" style="85" customWidth="1"/>
    <col min="5909" max="5909" width="9.75" style="85" customWidth="1"/>
    <col min="5910" max="5910" width="1.375" style="85" customWidth="1"/>
    <col min="5911" max="6150" width="8.875" style="85"/>
    <col min="6151" max="6151" width="1.375" style="85" customWidth="1"/>
    <col min="6152" max="6152" width="3.5" style="85" customWidth="1"/>
    <col min="6153" max="6153" width="22.125" style="85" customWidth="1"/>
    <col min="6154" max="6154" width="9.75" style="85" customWidth="1"/>
    <col min="6155" max="6155" width="7.375" style="85" customWidth="1"/>
    <col min="6156" max="6156" width="8.875" style="85"/>
    <col min="6157" max="6157" width="9.25" style="85" customWidth="1"/>
    <col min="6158" max="6158" width="3.5" style="85" customWidth="1"/>
    <col min="6159" max="6160" width="12.625" style="85" customWidth="1"/>
    <col min="6161" max="6161" width="8.875" style="85"/>
    <col min="6162" max="6162" width="7.75" style="85" customWidth="1"/>
    <col min="6163" max="6163" width="13.125" style="85" customWidth="1"/>
    <col min="6164" max="6164" width="6.125" style="85" customWidth="1"/>
    <col min="6165" max="6165" width="9.75" style="85" customWidth="1"/>
    <col min="6166" max="6166" width="1.375" style="85" customWidth="1"/>
    <col min="6167" max="6406" width="8.875" style="85"/>
    <col min="6407" max="6407" width="1.375" style="85" customWidth="1"/>
    <col min="6408" max="6408" width="3.5" style="85" customWidth="1"/>
    <col min="6409" max="6409" width="22.125" style="85" customWidth="1"/>
    <col min="6410" max="6410" width="9.75" style="85" customWidth="1"/>
    <col min="6411" max="6411" width="7.375" style="85" customWidth="1"/>
    <col min="6412" max="6412" width="8.875" style="85"/>
    <col min="6413" max="6413" width="9.25" style="85" customWidth="1"/>
    <col min="6414" max="6414" width="3.5" style="85" customWidth="1"/>
    <col min="6415" max="6416" width="12.625" style="85" customWidth="1"/>
    <col min="6417" max="6417" width="8.875" style="85"/>
    <col min="6418" max="6418" width="7.75" style="85" customWidth="1"/>
    <col min="6419" max="6419" width="13.125" style="85" customWidth="1"/>
    <col min="6420" max="6420" width="6.125" style="85" customWidth="1"/>
    <col min="6421" max="6421" width="9.75" style="85" customWidth="1"/>
    <col min="6422" max="6422" width="1.375" style="85" customWidth="1"/>
    <col min="6423" max="6662" width="8.875" style="85"/>
    <col min="6663" max="6663" width="1.375" style="85" customWidth="1"/>
    <col min="6664" max="6664" width="3.5" style="85" customWidth="1"/>
    <col min="6665" max="6665" width="22.125" style="85" customWidth="1"/>
    <col min="6666" max="6666" width="9.75" style="85" customWidth="1"/>
    <col min="6667" max="6667" width="7.375" style="85" customWidth="1"/>
    <col min="6668" max="6668" width="8.875" style="85"/>
    <col min="6669" max="6669" width="9.25" style="85" customWidth="1"/>
    <col min="6670" max="6670" width="3.5" style="85" customWidth="1"/>
    <col min="6671" max="6672" width="12.625" style="85" customWidth="1"/>
    <col min="6673" max="6673" width="8.875" style="85"/>
    <col min="6674" max="6674" width="7.75" style="85" customWidth="1"/>
    <col min="6675" max="6675" width="13.125" style="85" customWidth="1"/>
    <col min="6676" max="6676" width="6.125" style="85" customWidth="1"/>
    <col min="6677" max="6677" width="9.75" style="85" customWidth="1"/>
    <col min="6678" max="6678" width="1.375" style="85" customWidth="1"/>
    <col min="6679" max="6918" width="8.875" style="85"/>
    <col min="6919" max="6919" width="1.375" style="85" customWidth="1"/>
    <col min="6920" max="6920" width="3.5" style="85" customWidth="1"/>
    <col min="6921" max="6921" width="22.125" style="85" customWidth="1"/>
    <col min="6922" max="6922" width="9.75" style="85" customWidth="1"/>
    <col min="6923" max="6923" width="7.375" style="85" customWidth="1"/>
    <col min="6924" max="6924" width="8.875" style="85"/>
    <col min="6925" max="6925" width="9.25" style="85" customWidth="1"/>
    <col min="6926" max="6926" width="3.5" style="85" customWidth="1"/>
    <col min="6927" max="6928" width="12.625" style="85" customWidth="1"/>
    <col min="6929" max="6929" width="8.875" style="85"/>
    <col min="6930" max="6930" width="7.75" style="85" customWidth="1"/>
    <col min="6931" max="6931" width="13.125" style="85" customWidth="1"/>
    <col min="6932" max="6932" width="6.125" style="85" customWidth="1"/>
    <col min="6933" max="6933" width="9.75" style="85" customWidth="1"/>
    <col min="6934" max="6934" width="1.375" style="85" customWidth="1"/>
    <col min="6935" max="7174" width="8.875" style="85"/>
    <col min="7175" max="7175" width="1.375" style="85" customWidth="1"/>
    <col min="7176" max="7176" width="3.5" style="85" customWidth="1"/>
    <col min="7177" max="7177" width="22.125" style="85" customWidth="1"/>
    <col min="7178" max="7178" width="9.75" style="85" customWidth="1"/>
    <col min="7179" max="7179" width="7.375" style="85" customWidth="1"/>
    <col min="7180" max="7180" width="8.875" style="85"/>
    <col min="7181" max="7181" width="9.25" style="85" customWidth="1"/>
    <col min="7182" max="7182" width="3.5" style="85" customWidth="1"/>
    <col min="7183" max="7184" width="12.625" style="85" customWidth="1"/>
    <col min="7185" max="7185" width="8.875" style="85"/>
    <col min="7186" max="7186" width="7.75" style="85" customWidth="1"/>
    <col min="7187" max="7187" width="13.125" style="85" customWidth="1"/>
    <col min="7188" max="7188" width="6.125" style="85" customWidth="1"/>
    <col min="7189" max="7189" width="9.75" style="85" customWidth="1"/>
    <col min="7190" max="7190" width="1.375" style="85" customWidth="1"/>
    <col min="7191" max="7430" width="8.875" style="85"/>
    <col min="7431" max="7431" width="1.375" style="85" customWidth="1"/>
    <col min="7432" max="7432" width="3.5" style="85" customWidth="1"/>
    <col min="7433" max="7433" width="22.125" style="85" customWidth="1"/>
    <col min="7434" max="7434" width="9.75" style="85" customWidth="1"/>
    <col min="7435" max="7435" width="7.375" style="85" customWidth="1"/>
    <col min="7436" max="7436" width="8.875" style="85"/>
    <col min="7437" max="7437" width="9.25" style="85" customWidth="1"/>
    <col min="7438" max="7438" width="3.5" style="85" customWidth="1"/>
    <col min="7439" max="7440" width="12.625" style="85" customWidth="1"/>
    <col min="7441" max="7441" width="8.875" style="85"/>
    <col min="7442" max="7442" width="7.75" style="85" customWidth="1"/>
    <col min="7443" max="7443" width="13.125" style="85" customWidth="1"/>
    <col min="7444" max="7444" width="6.125" style="85" customWidth="1"/>
    <col min="7445" max="7445" width="9.75" style="85" customWidth="1"/>
    <col min="7446" max="7446" width="1.375" style="85" customWidth="1"/>
    <col min="7447" max="7686" width="8.875" style="85"/>
    <col min="7687" max="7687" width="1.375" style="85" customWidth="1"/>
    <col min="7688" max="7688" width="3.5" style="85" customWidth="1"/>
    <col min="7689" max="7689" width="22.125" style="85" customWidth="1"/>
    <col min="7690" max="7690" width="9.75" style="85" customWidth="1"/>
    <col min="7691" max="7691" width="7.375" style="85" customWidth="1"/>
    <col min="7692" max="7692" width="8.875" style="85"/>
    <col min="7693" max="7693" width="9.25" style="85" customWidth="1"/>
    <col min="7694" max="7694" width="3.5" style="85" customWidth="1"/>
    <col min="7695" max="7696" width="12.625" style="85" customWidth="1"/>
    <col min="7697" max="7697" width="8.875" style="85"/>
    <col min="7698" max="7698" width="7.75" style="85" customWidth="1"/>
    <col min="7699" max="7699" width="13.125" style="85" customWidth="1"/>
    <col min="7700" max="7700" width="6.125" style="85" customWidth="1"/>
    <col min="7701" max="7701" width="9.75" style="85" customWidth="1"/>
    <col min="7702" max="7702" width="1.375" style="85" customWidth="1"/>
    <col min="7703" max="7942" width="8.875" style="85"/>
    <col min="7943" max="7943" width="1.375" style="85" customWidth="1"/>
    <col min="7944" max="7944" width="3.5" style="85" customWidth="1"/>
    <col min="7945" max="7945" width="22.125" style="85" customWidth="1"/>
    <col min="7946" max="7946" width="9.75" style="85" customWidth="1"/>
    <col min="7947" max="7947" width="7.375" style="85" customWidth="1"/>
    <col min="7948" max="7948" width="8.875" style="85"/>
    <col min="7949" max="7949" width="9.25" style="85" customWidth="1"/>
    <col min="7950" max="7950" width="3.5" style="85" customWidth="1"/>
    <col min="7951" max="7952" width="12.625" style="85" customWidth="1"/>
    <col min="7953" max="7953" width="8.875" style="85"/>
    <col min="7954" max="7954" width="7.75" style="85" customWidth="1"/>
    <col min="7955" max="7955" width="13.125" style="85" customWidth="1"/>
    <col min="7956" max="7956" width="6.125" style="85" customWidth="1"/>
    <col min="7957" max="7957" width="9.75" style="85" customWidth="1"/>
    <col min="7958" max="7958" width="1.375" style="85" customWidth="1"/>
    <col min="7959" max="8198" width="8.875" style="85"/>
    <col min="8199" max="8199" width="1.375" style="85" customWidth="1"/>
    <col min="8200" max="8200" width="3.5" style="85" customWidth="1"/>
    <col min="8201" max="8201" width="22.125" style="85" customWidth="1"/>
    <col min="8202" max="8202" width="9.75" style="85" customWidth="1"/>
    <col min="8203" max="8203" width="7.375" style="85" customWidth="1"/>
    <col min="8204" max="8204" width="8.875" style="85"/>
    <col min="8205" max="8205" width="9.25" style="85" customWidth="1"/>
    <col min="8206" max="8206" width="3.5" style="85" customWidth="1"/>
    <col min="8207" max="8208" width="12.625" style="85" customWidth="1"/>
    <col min="8209" max="8209" width="8.875" style="85"/>
    <col min="8210" max="8210" width="7.75" style="85" customWidth="1"/>
    <col min="8211" max="8211" width="13.125" style="85" customWidth="1"/>
    <col min="8212" max="8212" width="6.125" style="85" customWidth="1"/>
    <col min="8213" max="8213" width="9.75" style="85" customWidth="1"/>
    <col min="8214" max="8214" width="1.375" style="85" customWidth="1"/>
    <col min="8215" max="8454" width="8.875" style="85"/>
    <col min="8455" max="8455" width="1.375" style="85" customWidth="1"/>
    <col min="8456" max="8456" width="3.5" style="85" customWidth="1"/>
    <col min="8457" max="8457" width="22.125" style="85" customWidth="1"/>
    <col min="8458" max="8458" width="9.75" style="85" customWidth="1"/>
    <col min="8459" max="8459" width="7.375" style="85" customWidth="1"/>
    <col min="8460" max="8460" width="8.875" style="85"/>
    <col min="8461" max="8461" width="9.25" style="85" customWidth="1"/>
    <col min="8462" max="8462" width="3.5" style="85" customWidth="1"/>
    <col min="8463" max="8464" width="12.625" style="85" customWidth="1"/>
    <col min="8465" max="8465" width="8.875" style="85"/>
    <col min="8466" max="8466" width="7.75" style="85" customWidth="1"/>
    <col min="8467" max="8467" width="13.125" style="85" customWidth="1"/>
    <col min="8468" max="8468" width="6.125" style="85" customWidth="1"/>
    <col min="8469" max="8469" width="9.75" style="85" customWidth="1"/>
    <col min="8470" max="8470" width="1.375" style="85" customWidth="1"/>
    <col min="8471" max="8710" width="8.875" style="85"/>
    <col min="8711" max="8711" width="1.375" style="85" customWidth="1"/>
    <col min="8712" max="8712" width="3.5" style="85" customWidth="1"/>
    <col min="8713" max="8713" width="22.125" style="85" customWidth="1"/>
    <col min="8714" max="8714" width="9.75" style="85" customWidth="1"/>
    <col min="8715" max="8715" width="7.375" style="85" customWidth="1"/>
    <col min="8716" max="8716" width="8.875" style="85"/>
    <col min="8717" max="8717" width="9.25" style="85" customWidth="1"/>
    <col min="8718" max="8718" width="3.5" style="85" customWidth="1"/>
    <col min="8719" max="8720" width="12.625" style="85" customWidth="1"/>
    <col min="8721" max="8721" width="8.875" style="85"/>
    <col min="8722" max="8722" width="7.75" style="85" customWidth="1"/>
    <col min="8723" max="8723" width="13.125" style="85" customWidth="1"/>
    <col min="8724" max="8724" width="6.125" style="85" customWidth="1"/>
    <col min="8725" max="8725" width="9.75" style="85" customWidth="1"/>
    <col min="8726" max="8726" width="1.375" style="85" customWidth="1"/>
    <col min="8727" max="8966" width="8.875" style="85"/>
    <col min="8967" max="8967" width="1.375" style="85" customWidth="1"/>
    <col min="8968" max="8968" width="3.5" style="85" customWidth="1"/>
    <col min="8969" max="8969" width="22.125" style="85" customWidth="1"/>
    <col min="8970" max="8970" width="9.75" style="85" customWidth="1"/>
    <col min="8971" max="8971" width="7.375" style="85" customWidth="1"/>
    <col min="8972" max="8972" width="8.875" style="85"/>
    <col min="8973" max="8973" width="9.25" style="85" customWidth="1"/>
    <col min="8974" max="8974" width="3.5" style="85" customWidth="1"/>
    <col min="8975" max="8976" width="12.625" style="85" customWidth="1"/>
    <col min="8977" max="8977" width="8.875" style="85"/>
    <col min="8978" max="8978" width="7.75" style="85" customWidth="1"/>
    <col min="8979" max="8979" width="13.125" style="85" customWidth="1"/>
    <col min="8980" max="8980" width="6.125" style="85" customWidth="1"/>
    <col min="8981" max="8981" width="9.75" style="85" customWidth="1"/>
    <col min="8982" max="8982" width="1.375" style="85" customWidth="1"/>
    <col min="8983" max="9222" width="8.875" style="85"/>
    <col min="9223" max="9223" width="1.375" style="85" customWidth="1"/>
    <col min="9224" max="9224" width="3.5" style="85" customWidth="1"/>
    <col min="9225" max="9225" width="22.125" style="85" customWidth="1"/>
    <col min="9226" max="9226" width="9.75" style="85" customWidth="1"/>
    <col min="9227" max="9227" width="7.375" style="85" customWidth="1"/>
    <col min="9228" max="9228" width="8.875" style="85"/>
    <col min="9229" max="9229" width="9.25" style="85" customWidth="1"/>
    <col min="9230" max="9230" width="3.5" style="85" customWidth="1"/>
    <col min="9231" max="9232" width="12.625" style="85" customWidth="1"/>
    <col min="9233" max="9233" width="8.875" style="85"/>
    <col min="9234" max="9234" width="7.75" style="85" customWidth="1"/>
    <col min="9235" max="9235" width="13.125" style="85" customWidth="1"/>
    <col min="9236" max="9236" width="6.125" style="85" customWidth="1"/>
    <col min="9237" max="9237" width="9.75" style="85" customWidth="1"/>
    <col min="9238" max="9238" width="1.375" style="85" customWidth="1"/>
    <col min="9239" max="9478" width="8.875" style="85"/>
    <col min="9479" max="9479" width="1.375" style="85" customWidth="1"/>
    <col min="9480" max="9480" width="3.5" style="85" customWidth="1"/>
    <col min="9481" max="9481" width="22.125" style="85" customWidth="1"/>
    <col min="9482" max="9482" width="9.75" style="85" customWidth="1"/>
    <col min="9483" max="9483" width="7.375" style="85" customWidth="1"/>
    <col min="9484" max="9484" width="8.875" style="85"/>
    <col min="9485" max="9485" width="9.25" style="85" customWidth="1"/>
    <col min="9486" max="9486" width="3.5" style="85" customWidth="1"/>
    <col min="9487" max="9488" width="12.625" style="85" customWidth="1"/>
    <col min="9489" max="9489" width="8.875" style="85"/>
    <col min="9490" max="9490" width="7.75" style="85" customWidth="1"/>
    <col min="9491" max="9491" width="13.125" style="85" customWidth="1"/>
    <col min="9492" max="9492" width="6.125" style="85" customWidth="1"/>
    <col min="9493" max="9493" width="9.75" style="85" customWidth="1"/>
    <col min="9494" max="9494" width="1.375" style="85" customWidth="1"/>
    <col min="9495" max="9734" width="8.875" style="85"/>
    <col min="9735" max="9735" width="1.375" style="85" customWidth="1"/>
    <col min="9736" max="9736" width="3.5" style="85" customWidth="1"/>
    <col min="9737" max="9737" width="22.125" style="85" customWidth="1"/>
    <col min="9738" max="9738" width="9.75" style="85" customWidth="1"/>
    <col min="9739" max="9739" width="7.375" style="85" customWidth="1"/>
    <col min="9740" max="9740" width="8.875" style="85"/>
    <col min="9741" max="9741" width="9.25" style="85" customWidth="1"/>
    <col min="9742" max="9742" width="3.5" style="85" customWidth="1"/>
    <col min="9743" max="9744" width="12.625" style="85" customWidth="1"/>
    <col min="9745" max="9745" width="8.875" style="85"/>
    <col min="9746" max="9746" width="7.75" style="85" customWidth="1"/>
    <col min="9747" max="9747" width="13.125" style="85" customWidth="1"/>
    <col min="9748" max="9748" width="6.125" style="85" customWidth="1"/>
    <col min="9749" max="9749" width="9.75" style="85" customWidth="1"/>
    <col min="9750" max="9750" width="1.375" style="85" customWidth="1"/>
    <col min="9751" max="9990" width="8.875" style="85"/>
    <col min="9991" max="9991" width="1.375" style="85" customWidth="1"/>
    <col min="9992" max="9992" width="3.5" style="85" customWidth="1"/>
    <col min="9993" max="9993" width="22.125" style="85" customWidth="1"/>
    <col min="9994" max="9994" width="9.75" style="85" customWidth="1"/>
    <col min="9995" max="9995" width="7.375" style="85" customWidth="1"/>
    <col min="9996" max="9996" width="8.875" style="85"/>
    <col min="9997" max="9997" width="9.25" style="85" customWidth="1"/>
    <col min="9998" max="9998" width="3.5" style="85" customWidth="1"/>
    <col min="9999" max="10000" width="12.625" style="85" customWidth="1"/>
    <col min="10001" max="10001" width="8.875" style="85"/>
    <col min="10002" max="10002" width="7.75" style="85" customWidth="1"/>
    <col min="10003" max="10003" width="13.125" style="85" customWidth="1"/>
    <col min="10004" max="10004" width="6.125" style="85" customWidth="1"/>
    <col min="10005" max="10005" width="9.75" style="85" customWidth="1"/>
    <col min="10006" max="10006" width="1.375" style="85" customWidth="1"/>
    <col min="10007" max="10246" width="8.875" style="85"/>
    <col min="10247" max="10247" width="1.375" style="85" customWidth="1"/>
    <col min="10248" max="10248" width="3.5" style="85" customWidth="1"/>
    <col min="10249" max="10249" width="22.125" style="85" customWidth="1"/>
    <col min="10250" max="10250" width="9.75" style="85" customWidth="1"/>
    <col min="10251" max="10251" width="7.375" style="85" customWidth="1"/>
    <col min="10252" max="10252" width="8.875" style="85"/>
    <col min="10253" max="10253" width="9.25" style="85" customWidth="1"/>
    <col min="10254" max="10254" width="3.5" style="85" customWidth="1"/>
    <col min="10255" max="10256" width="12.625" style="85" customWidth="1"/>
    <col min="10257" max="10257" width="8.875" style="85"/>
    <col min="10258" max="10258" width="7.75" style="85" customWidth="1"/>
    <col min="10259" max="10259" width="13.125" style="85" customWidth="1"/>
    <col min="10260" max="10260" width="6.125" style="85" customWidth="1"/>
    <col min="10261" max="10261" width="9.75" style="85" customWidth="1"/>
    <col min="10262" max="10262" width="1.375" style="85" customWidth="1"/>
    <col min="10263" max="10502" width="8.875" style="85"/>
    <col min="10503" max="10503" width="1.375" style="85" customWidth="1"/>
    <col min="10504" max="10504" width="3.5" style="85" customWidth="1"/>
    <col min="10505" max="10505" width="22.125" style="85" customWidth="1"/>
    <col min="10506" max="10506" width="9.75" style="85" customWidth="1"/>
    <col min="10507" max="10507" width="7.375" style="85" customWidth="1"/>
    <col min="10508" max="10508" width="8.875" style="85"/>
    <col min="10509" max="10509" width="9.25" style="85" customWidth="1"/>
    <col min="10510" max="10510" width="3.5" style="85" customWidth="1"/>
    <col min="10511" max="10512" width="12.625" style="85" customWidth="1"/>
    <col min="10513" max="10513" width="8.875" style="85"/>
    <col min="10514" max="10514" width="7.75" style="85" customWidth="1"/>
    <col min="10515" max="10515" width="13.125" style="85" customWidth="1"/>
    <col min="10516" max="10516" width="6.125" style="85" customWidth="1"/>
    <col min="10517" max="10517" width="9.75" style="85" customWidth="1"/>
    <col min="10518" max="10518" width="1.375" style="85" customWidth="1"/>
    <col min="10519" max="10758" width="8.875" style="85"/>
    <col min="10759" max="10759" width="1.375" style="85" customWidth="1"/>
    <col min="10760" max="10760" width="3.5" style="85" customWidth="1"/>
    <col min="10761" max="10761" width="22.125" style="85" customWidth="1"/>
    <col min="10762" max="10762" width="9.75" style="85" customWidth="1"/>
    <col min="10763" max="10763" width="7.375" style="85" customWidth="1"/>
    <col min="10764" max="10764" width="8.875" style="85"/>
    <col min="10765" max="10765" width="9.25" style="85" customWidth="1"/>
    <col min="10766" max="10766" width="3.5" style="85" customWidth="1"/>
    <col min="10767" max="10768" width="12.625" style="85" customWidth="1"/>
    <col min="10769" max="10769" width="8.875" style="85"/>
    <col min="10770" max="10770" width="7.75" style="85" customWidth="1"/>
    <col min="10771" max="10771" width="13.125" style="85" customWidth="1"/>
    <col min="10772" max="10772" width="6.125" style="85" customWidth="1"/>
    <col min="10773" max="10773" width="9.75" style="85" customWidth="1"/>
    <col min="10774" max="10774" width="1.375" style="85" customWidth="1"/>
    <col min="10775" max="11014" width="8.875" style="85"/>
    <col min="11015" max="11015" width="1.375" style="85" customWidth="1"/>
    <col min="11016" max="11016" width="3.5" style="85" customWidth="1"/>
    <col min="11017" max="11017" width="22.125" style="85" customWidth="1"/>
    <col min="11018" max="11018" width="9.75" style="85" customWidth="1"/>
    <col min="11019" max="11019" width="7.375" style="85" customWidth="1"/>
    <col min="11020" max="11020" width="8.875" style="85"/>
    <col min="11021" max="11021" width="9.25" style="85" customWidth="1"/>
    <col min="11022" max="11022" width="3.5" style="85" customWidth="1"/>
    <col min="11023" max="11024" width="12.625" style="85" customWidth="1"/>
    <col min="11025" max="11025" width="8.875" style="85"/>
    <col min="11026" max="11026" width="7.75" style="85" customWidth="1"/>
    <col min="11027" max="11027" width="13.125" style="85" customWidth="1"/>
    <col min="11028" max="11028" width="6.125" style="85" customWidth="1"/>
    <col min="11029" max="11029" width="9.75" style="85" customWidth="1"/>
    <col min="11030" max="11030" width="1.375" style="85" customWidth="1"/>
    <col min="11031" max="11270" width="8.875" style="85"/>
    <col min="11271" max="11271" width="1.375" style="85" customWidth="1"/>
    <col min="11272" max="11272" width="3.5" style="85" customWidth="1"/>
    <col min="11273" max="11273" width="22.125" style="85" customWidth="1"/>
    <col min="11274" max="11274" width="9.75" style="85" customWidth="1"/>
    <col min="11275" max="11275" width="7.375" style="85" customWidth="1"/>
    <col min="11276" max="11276" width="8.875" style="85"/>
    <col min="11277" max="11277" width="9.25" style="85" customWidth="1"/>
    <col min="11278" max="11278" width="3.5" style="85" customWidth="1"/>
    <col min="11279" max="11280" width="12.625" style="85" customWidth="1"/>
    <col min="11281" max="11281" width="8.875" style="85"/>
    <col min="11282" max="11282" width="7.75" style="85" customWidth="1"/>
    <col min="11283" max="11283" width="13.125" style="85" customWidth="1"/>
    <col min="11284" max="11284" width="6.125" style="85" customWidth="1"/>
    <col min="11285" max="11285" width="9.75" style="85" customWidth="1"/>
    <col min="11286" max="11286" width="1.375" style="85" customWidth="1"/>
    <col min="11287" max="11526" width="8.875" style="85"/>
    <col min="11527" max="11527" width="1.375" style="85" customWidth="1"/>
    <col min="11528" max="11528" width="3.5" style="85" customWidth="1"/>
    <col min="11529" max="11529" width="22.125" style="85" customWidth="1"/>
    <col min="11530" max="11530" width="9.75" style="85" customWidth="1"/>
    <col min="11531" max="11531" width="7.375" style="85" customWidth="1"/>
    <col min="11532" max="11532" width="8.875" style="85"/>
    <col min="11533" max="11533" width="9.25" style="85" customWidth="1"/>
    <col min="11534" max="11534" width="3.5" style="85" customWidth="1"/>
    <col min="11535" max="11536" width="12.625" style="85" customWidth="1"/>
    <col min="11537" max="11537" width="8.875" style="85"/>
    <col min="11538" max="11538" width="7.75" style="85" customWidth="1"/>
    <col min="11539" max="11539" width="13.125" style="85" customWidth="1"/>
    <col min="11540" max="11540" width="6.125" style="85" customWidth="1"/>
    <col min="11541" max="11541" width="9.75" style="85" customWidth="1"/>
    <col min="11542" max="11542" width="1.375" style="85" customWidth="1"/>
    <col min="11543" max="11782" width="8.875" style="85"/>
    <col min="11783" max="11783" width="1.375" style="85" customWidth="1"/>
    <col min="11784" max="11784" width="3.5" style="85" customWidth="1"/>
    <col min="11785" max="11785" width="22.125" style="85" customWidth="1"/>
    <col min="11786" max="11786" width="9.75" style="85" customWidth="1"/>
    <col min="11787" max="11787" width="7.375" style="85" customWidth="1"/>
    <col min="11788" max="11788" width="8.875" style="85"/>
    <col min="11789" max="11789" width="9.25" style="85" customWidth="1"/>
    <col min="11790" max="11790" width="3.5" style="85" customWidth="1"/>
    <col min="11791" max="11792" width="12.625" style="85" customWidth="1"/>
    <col min="11793" max="11793" width="8.875" style="85"/>
    <col min="11794" max="11794" width="7.75" style="85" customWidth="1"/>
    <col min="11795" max="11795" width="13.125" style="85" customWidth="1"/>
    <col min="11796" max="11796" width="6.125" style="85" customWidth="1"/>
    <col min="11797" max="11797" width="9.75" style="85" customWidth="1"/>
    <col min="11798" max="11798" width="1.375" style="85" customWidth="1"/>
    <col min="11799" max="12038" width="8.875" style="85"/>
    <col min="12039" max="12039" width="1.375" style="85" customWidth="1"/>
    <col min="12040" max="12040" width="3.5" style="85" customWidth="1"/>
    <col min="12041" max="12041" width="22.125" style="85" customWidth="1"/>
    <col min="12042" max="12042" width="9.75" style="85" customWidth="1"/>
    <col min="12043" max="12043" width="7.375" style="85" customWidth="1"/>
    <col min="12044" max="12044" width="8.875" style="85"/>
    <col min="12045" max="12045" width="9.25" style="85" customWidth="1"/>
    <col min="12046" max="12046" width="3.5" style="85" customWidth="1"/>
    <col min="12047" max="12048" width="12.625" style="85" customWidth="1"/>
    <col min="12049" max="12049" width="8.875" style="85"/>
    <col min="12050" max="12050" width="7.75" style="85" customWidth="1"/>
    <col min="12051" max="12051" width="13.125" style="85" customWidth="1"/>
    <col min="12052" max="12052" width="6.125" style="85" customWidth="1"/>
    <col min="12053" max="12053" width="9.75" style="85" customWidth="1"/>
    <col min="12054" max="12054" width="1.375" style="85" customWidth="1"/>
    <col min="12055" max="12294" width="8.875" style="85"/>
    <col min="12295" max="12295" width="1.375" style="85" customWidth="1"/>
    <col min="12296" max="12296" width="3.5" style="85" customWidth="1"/>
    <col min="12297" max="12297" width="22.125" style="85" customWidth="1"/>
    <col min="12298" max="12298" width="9.75" style="85" customWidth="1"/>
    <col min="12299" max="12299" width="7.375" style="85" customWidth="1"/>
    <col min="12300" max="12300" width="8.875" style="85"/>
    <col min="12301" max="12301" width="9.25" style="85" customWidth="1"/>
    <col min="12302" max="12302" width="3.5" style="85" customWidth="1"/>
    <col min="12303" max="12304" width="12.625" style="85" customWidth="1"/>
    <col min="12305" max="12305" width="8.875" style="85"/>
    <col min="12306" max="12306" width="7.75" style="85" customWidth="1"/>
    <col min="12307" max="12307" width="13.125" style="85" customWidth="1"/>
    <col min="12308" max="12308" width="6.125" style="85" customWidth="1"/>
    <col min="12309" max="12309" width="9.75" style="85" customWidth="1"/>
    <col min="12310" max="12310" width="1.375" style="85" customWidth="1"/>
    <col min="12311" max="12550" width="8.875" style="85"/>
    <col min="12551" max="12551" width="1.375" style="85" customWidth="1"/>
    <col min="12552" max="12552" width="3.5" style="85" customWidth="1"/>
    <col min="12553" max="12553" width="22.125" style="85" customWidth="1"/>
    <col min="12554" max="12554" width="9.75" style="85" customWidth="1"/>
    <col min="12555" max="12555" width="7.375" style="85" customWidth="1"/>
    <col min="12556" max="12556" width="8.875" style="85"/>
    <col min="12557" max="12557" width="9.25" style="85" customWidth="1"/>
    <col min="12558" max="12558" width="3.5" style="85" customWidth="1"/>
    <col min="12559" max="12560" width="12.625" style="85" customWidth="1"/>
    <col min="12561" max="12561" width="8.875" style="85"/>
    <col min="12562" max="12562" width="7.75" style="85" customWidth="1"/>
    <col min="12563" max="12563" width="13.125" style="85" customWidth="1"/>
    <col min="12564" max="12564" width="6.125" style="85" customWidth="1"/>
    <col min="12565" max="12565" width="9.75" style="85" customWidth="1"/>
    <col min="12566" max="12566" width="1.375" style="85" customWidth="1"/>
    <col min="12567" max="12806" width="8.875" style="85"/>
    <col min="12807" max="12807" width="1.375" style="85" customWidth="1"/>
    <col min="12808" max="12808" width="3.5" style="85" customWidth="1"/>
    <col min="12809" max="12809" width="22.125" style="85" customWidth="1"/>
    <col min="12810" max="12810" width="9.75" style="85" customWidth="1"/>
    <col min="12811" max="12811" width="7.375" style="85" customWidth="1"/>
    <col min="12812" max="12812" width="8.875" style="85"/>
    <col min="12813" max="12813" width="9.25" style="85" customWidth="1"/>
    <col min="12814" max="12814" width="3.5" style="85" customWidth="1"/>
    <col min="12815" max="12816" width="12.625" style="85" customWidth="1"/>
    <col min="12817" max="12817" width="8.875" style="85"/>
    <col min="12818" max="12818" width="7.75" style="85" customWidth="1"/>
    <col min="12819" max="12819" width="13.125" style="85" customWidth="1"/>
    <col min="12820" max="12820" width="6.125" style="85" customWidth="1"/>
    <col min="12821" max="12821" width="9.75" style="85" customWidth="1"/>
    <col min="12822" max="12822" width="1.375" style="85" customWidth="1"/>
    <col min="12823" max="13062" width="8.875" style="85"/>
    <col min="13063" max="13063" width="1.375" style="85" customWidth="1"/>
    <col min="13064" max="13064" width="3.5" style="85" customWidth="1"/>
    <col min="13065" max="13065" width="22.125" style="85" customWidth="1"/>
    <col min="13066" max="13066" width="9.75" style="85" customWidth="1"/>
    <col min="13067" max="13067" width="7.375" style="85" customWidth="1"/>
    <col min="13068" max="13068" width="8.875" style="85"/>
    <col min="13069" max="13069" width="9.25" style="85" customWidth="1"/>
    <col min="13070" max="13070" width="3.5" style="85" customWidth="1"/>
    <col min="13071" max="13072" width="12.625" style="85" customWidth="1"/>
    <col min="13073" max="13073" width="8.875" style="85"/>
    <col min="13074" max="13074" width="7.75" style="85" customWidth="1"/>
    <col min="13075" max="13075" width="13.125" style="85" customWidth="1"/>
    <col min="13076" max="13076" width="6.125" style="85" customWidth="1"/>
    <col min="13077" max="13077" width="9.75" style="85" customWidth="1"/>
    <col min="13078" max="13078" width="1.375" style="85" customWidth="1"/>
    <col min="13079" max="13318" width="8.875" style="85"/>
    <col min="13319" max="13319" width="1.375" style="85" customWidth="1"/>
    <col min="13320" max="13320" width="3.5" style="85" customWidth="1"/>
    <col min="13321" max="13321" width="22.125" style="85" customWidth="1"/>
    <col min="13322" max="13322" width="9.75" style="85" customWidth="1"/>
    <col min="13323" max="13323" width="7.375" style="85" customWidth="1"/>
    <col min="13324" max="13324" width="8.875" style="85"/>
    <col min="13325" max="13325" width="9.25" style="85" customWidth="1"/>
    <col min="13326" max="13326" width="3.5" style="85" customWidth="1"/>
    <col min="13327" max="13328" width="12.625" style="85" customWidth="1"/>
    <col min="13329" max="13329" width="8.875" style="85"/>
    <col min="13330" max="13330" width="7.75" style="85" customWidth="1"/>
    <col min="13331" max="13331" width="13.125" style="85" customWidth="1"/>
    <col min="13332" max="13332" width="6.125" style="85" customWidth="1"/>
    <col min="13333" max="13333" width="9.75" style="85" customWidth="1"/>
    <col min="13334" max="13334" width="1.375" style="85" customWidth="1"/>
    <col min="13335" max="13574" width="8.875" style="85"/>
    <col min="13575" max="13575" width="1.375" style="85" customWidth="1"/>
    <col min="13576" max="13576" width="3.5" style="85" customWidth="1"/>
    <col min="13577" max="13577" width="22.125" style="85" customWidth="1"/>
    <col min="13578" max="13578" width="9.75" style="85" customWidth="1"/>
    <col min="13579" max="13579" width="7.375" style="85" customWidth="1"/>
    <col min="13580" max="13580" width="8.875" style="85"/>
    <col min="13581" max="13581" width="9.25" style="85" customWidth="1"/>
    <col min="13582" max="13582" width="3.5" style="85" customWidth="1"/>
    <col min="13583" max="13584" width="12.625" style="85" customWidth="1"/>
    <col min="13585" max="13585" width="8.875" style="85"/>
    <col min="13586" max="13586" width="7.75" style="85" customWidth="1"/>
    <col min="13587" max="13587" width="13.125" style="85" customWidth="1"/>
    <col min="13588" max="13588" width="6.125" style="85" customWidth="1"/>
    <col min="13589" max="13589" width="9.75" style="85" customWidth="1"/>
    <col min="13590" max="13590" width="1.375" style="85" customWidth="1"/>
    <col min="13591" max="13830" width="8.875" style="85"/>
    <col min="13831" max="13831" width="1.375" style="85" customWidth="1"/>
    <col min="13832" max="13832" width="3.5" style="85" customWidth="1"/>
    <col min="13833" max="13833" width="22.125" style="85" customWidth="1"/>
    <col min="13834" max="13834" width="9.75" style="85" customWidth="1"/>
    <col min="13835" max="13835" width="7.375" style="85" customWidth="1"/>
    <col min="13836" max="13836" width="8.875" style="85"/>
    <col min="13837" max="13837" width="9.25" style="85" customWidth="1"/>
    <col min="13838" max="13838" width="3.5" style="85" customWidth="1"/>
    <col min="13839" max="13840" width="12.625" style="85" customWidth="1"/>
    <col min="13841" max="13841" width="8.875" style="85"/>
    <col min="13842" max="13842" width="7.75" style="85" customWidth="1"/>
    <col min="13843" max="13843" width="13.125" style="85" customWidth="1"/>
    <col min="13844" max="13844" width="6.125" style="85" customWidth="1"/>
    <col min="13845" max="13845" width="9.75" style="85" customWidth="1"/>
    <col min="13846" max="13846" width="1.375" style="85" customWidth="1"/>
    <col min="13847" max="14086" width="8.875" style="85"/>
    <col min="14087" max="14087" width="1.375" style="85" customWidth="1"/>
    <col min="14088" max="14088" width="3.5" style="85" customWidth="1"/>
    <col min="14089" max="14089" width="22.125" style="85" customWidth="1"/>
    <col min="14090" max="14090" width="9.75" style="85" customWidth="1"/>
    <col min="14091" max="14091" width="7.375" style="85" customWidth="1"/>
    <col min="14092" max="14092" width="8.875" style="85"/>
    <col min="14093" max="14093" width="9.25" style="85" customWidth="1"/>
    <col min="14094" max="14094" width="3.5" style="85" customWidth="1"/>
    <col min="14095" max="14096" width="12.625" style="85" customWidth="1"/>
    <col min="14097" max="14097" width="8.875" style="85"/>
    <col min="14098" max="14098" width="7.75" style="85" customWidth="1"/>
    <col min="14099" max="14099" width="13.125" style="85" customWidth="1"/>
    <col min="14100" max="14100" width="6.125" style="85" customWidth="1"/>
    <col min="14101" max="14101" width="9.75" style="85" customWidth="1"/>
    <col min="14102" max="14102" width="1.375" style="85" customWidth="1"/>
    <col min="14103" max="14342" width="8.875" style="85"/>
    <col min="14343" max="14343" width="1.375" style="85" customWidth="1"/>
    <col min="14344" max="14344" width="3.5" style="85" customWidth="1"/>
    <col min="14345" max="14345" width="22.125" style="85" customWidth="1"/>
    <col min="14346" max="14346" width="9.75" style="85" customWidth="1"/>
    <col min="14347" max="14347" width="7.375" style="85" customWidth="1"/>
    <col min="14348" max="14348" width="8.875" style="85"/>
    <col min="14349" max="14349" width="9.25" style="85" customWidth="1"/>
    <col min="14350" max="14350" width="3.5" style="85" customWidth="1"/>
    <col min="14351" max="14352" width="12.625" style="85" customWidth="1"/>
    <col min="14353" max="14353" width="8.875" style="85"/>
    <col min="14354" max="14354" width="7.75" style="85" customWidth="1"/>
    <col min="14355" max="14355" width="13.125" style="85" customWidth="1"/>
    <col min="14356" max="14356" width="6.125" style="85" customWidth="1"/>
    <col min="14357" max="14357" width="9.75" style="85" customWidth="1"/>
    <col min="14358" max="14358" width="1.375" style="85" customWidth="1"/>
    <col min="14359" max="14598" width="8.875" style="85"/>
    <col min="14599" max="14599" width="1.375" style="85" customWidth="1"/>
    <col min="14600" max="14600" width="3.5" style="85" customWidth="1"/>
    <col min="14601" max="14601" width="22.125" style="85" customWidth="1"/>
    <col min="14602" max="14602" width="9.75" style="85" customWidth="1"/>
    <col min="14603" max="14603" width="7.375" style="85" customWidth="1"/>
    <col min="14604" max="14604" width="8.875" style="85"/>
    <col min="14605" max="14605" width="9.25" style="85" customWidth="1"/>
    <col min="14606" max="14606" width="3.5" style="85" customWidth="1"/>
    <col min="14607" max="14608" width="12.625" style="85" customWidth="1"/>
    <col min="14609" max="14609" width="8.875" style="85"/>
    <col min="14610" max="14610" width="7.75" style="85" customWidth="1"/>
    <col min="14611" max="14611" width="13.125" style="85" customWidth="1"/>
    <col min="14612" max="14612" width="6.125" style="85" customWidth="1"/>
    <col min="14613" max="14613" width="9.75" style="85" customWidth="1"/>
    <col min="14614" max="14614" width="1.375" style="85" customWidth="1"/>
    <col min="14615" max="14854" width="8.875" style="85"/>
    <col min="14855" max="14855" width="1.375" style="85" customWidth="1"/>
    <col min="14856" max="14856" width="3.5" style="85" customWidth="1"/>
    <col min="14857" max="14857" width="22.125" style="85" customWidth="1"/>
    <col min="14858" max="14858" width="9.75" style="85" customWidth="1"/>
    <col min="14859" max="14859" width="7.375" style="85" customWidth="1"/>
    <col min="14860" max="14860" width="8.875" style="85"/>
    <col min="14861" max="14861" width="9.25" style="85" customWidth="1"/>
    <col min="14862" max="14862" width="3.5" style="85" customWidth="1"/>
    <col min="14863" max="14864" width="12.625" style="85" customWidth="1"/>
    <col min="14865" max="14865" width="8.875" style="85"/>
    <col min="14866" max="14866" width="7.75" style="85" customWidth="1"/>
    <col min="14867" max="14867" width="13.125" style="85" customWidth="1"/>
    <col min="14868" max="14868" width="6.125" style="85" customWidth="1"/>
    <col min="14869" max="14869" width="9.75" style="85" customWidth="1"/>
    <col min="14870" max="14870" width="1.375" style="85" customWidth="1"/>
    <col min="14871" max="15110" width="8.875" style="85"/>
    <col min="15111" max="15111" width="1.375" style="85" customWidth="1"/>
    <col min="15112" max="15112" width="3.5" style="85" customWidth="1"/>
    <col min="15113" max="15113" width="22.125" style="85" customWidth="1"/>
    <col min="15114" max="15114" width="9.75" style="85" customWidth="1"/>
    <col min="15115" max="15115" width="7.375" style="85" customWidth="1"/>
    <col min="15116" max="15116" width="8.875" style="85"/>
    <col min="15117" max="15117" width="9.25" style="85" customWidth="1"/>
    <col min="15118" max="15118" width="3.5" style="85" customWidth="1"/>
    <col min="15119" max="15120" width="12.625" style="85" customWidth="1"/>
    <col min="15121" max="15121" width="8.875" style="85"/>
    <col min="15122" max="15122" width="7.75" style="85" customWidth="1"/>
    <col min="15123" max="15123" width="13.125" style="85" customWidth="1"/>
    <col min="15124" max="15124" width="6.125" style="85" customWidth="1"/>
    <col min="15125" max="15125" width="9.75" style="85" customWidth="1"/>
    <col min="15126" max="15126" width="1.375" style="85" customWidth="1"/>
    <col min="15127" max="15366" width="8.875" style="85"/>
    <col min="15367" max="15367" width="1.375" style="85" customWidth="1"/>
    <col min="15368" max="15368" width="3.5" style="85" customWidth="1"/>
    <col min="15369" max="15369" width="22.125" style="85" customWidth="1"/>
    <col min="15370" max="15370" width="9.75" style="85" customWidth="1"/>
    <col min="15371" max="15371" width="7.375" style="85" customWidth="1"/>
    <col min="15372" max="15372" width="8.875" style="85"/>
    <col min="15373" max="15373" width="9.25" style="85" customWidth="1"/>
    <col min="15374" max="15374" width="3.5" style="85" customWidth="1"/>
    <col min="15375" max="15376" width="12.625" style="85" customWidth="1"/>
    <col min="15377" max="15377" width="8.875" style="85"/>
    <col min="15378" max="15378" width="7.75" style="85" customWidth="1"/>
    <col min="15379" max="15379" width="13.125" style="85" customWidth="1"/>
    <col min="15380" max="15380" width="6.125" style="85" customWidth="1"/>
    <col min="15381" max="15381" width="9.75" style="85" customWidth="1"/>
    <col min="15382" max="15382" width="1.375" style="85" customWidth="1"/>
    <col min="15383" max="15622" width="8.875" style="85"/>
    <col min="15623" max="15623" width="1.375" style="85" customWidth="1"/>
    <col min="15624" max="15624" width="3.5" style="85" customWidth="1"/>
    <col min="15625" max="15625" width="22.125" style="85" customWidth="1"/>
    <col min="15626" max="15626" width="9.75" style="85" customWidth="1"/>
    <col min="15627" max="15627" width="7.375" style="85" customWidth="1"/>
    <col min="15628" max="15628" width="8.875" style="85"/>
    <col min="15629" max="15629" width="9.25" style="85" customWidth="1"/>
    <col min="15630" max="15630" width="3.5" style="85" customWidth="1"/>
    <col min="15631" max="15632" width="12.625" style="85" customWidth="1"/>
    <col min="15633" max="15633" width="8.875" style="85"/>
    <col min="15634" max="15634" width="7.75" style="85" customWidth="1"/>
    <col min="15635" max="15635" width="13.125" style="85" customWidth="1"/>
    <col min="15636" max="15636" width="6.125" style="85" customWidth="1"/>
    <col min="15637" max="15637" width="9.75" style="85" customWidth="1"/>
    <col min="15638" max="15638" width="1.375" style="85" customWidth="1"/>
    <col min="15639" max="15878" width="8.875" style="85"/>
    <col min="15879" max="15879" width="1.375" style="85" customWidth="1"/>
    <col min="15880" max="15880" width="3.5" style="85" customWidth="1"/>
    <col min="15881" max="15881" width="22.125" style="85" customWidth="1"/>
    <col min="15882" max="15882" width="9.75" style="85" customWidth="1"/>
    <col min="15883" max="15883" width="7.375" style="85" customWidth="1"/>
    <col min="15884" max="15884" width="8.875" style="85"/>
    <col min="15885" max="15885" width="9.25" style="85" customWidth="1"/>
    <col min="15886" max="15886" width="3.5" style="85" customWidth="1"/>
    <col min="15887" max="15888" width="12.625" style="85" customWidth="1"/>
    <col min="15889" max="15889" width="8.875" style="85"/>
    <col min="15890" max="15890" width="7.75" style="85" customWidth="1"/>
    <col min="15891" max="15891" width="13.125" style="85" customWidth="1"/>
    <col min="15892" max="15892" width="6.125" style="85" customWidth="1"/>
    <col min="15893" max="15893" width="9.75" style="85" customWidth="1"/>
    <col min="15894" max="15894" width="1.375" style="85" customWidth="1"/>
    <col min="15895" max="16134" width="8.875" style="85"/>
    <col min="16135" max="16135" width="1.375" style="85" customWidth="1"/>
    <col min="16136" max="16136" width="3.5" style="85" customWidth="1"/>
    <col min="16137" max="16137" width="22.125" style="85" customWidth="1"/>
    <col min="16138" max="16138" width="9.75" style="85" customWidth="1"/>
    <col min="16139" max="16139" width="7.375" style="85" customWidth="1"/>
    <col min="16140" max="16140" width="8.875" style="85"/>
    <col min="16141" max="16141" width="9.25" style="85" customWidth="1"/>
    <col min="16142" max="16142" width="3.5" style="85" customWidth="1"/>
    <col min="16143" max="16144" width="12.625" style="85" customWidth="1"/>
    <col min="16145" max="16145" width="8.875" style="85"/>
    <col min="16146" max="16146" width="7.75" style="85" customWidth="1"/>
    <col min="16147" max="16147" width="13.125" style="85" customWidth="1"/>
    <col min="16148" max="16148" width="6.125" style="85" customWidth="1"/>
    <col min="16149" max="16149" width="9.75" style="85" customWidth="1"/>
    <col min="16150" max="16150" width="1.375" style="85" customWidth="1"/>
    <col min="16151" max="16384" width="8.875" style="85"/>
  </cols>
  <sheetData>
    <row r="1" spans="2:22" ht="9.9499999999999993" customHeight="1" x14ac:dyDescent="0.15"/>
    <row r="2" spans="2:22" ht="24.95" customHeight="1" x14ac:dyDescent="0.15">
      <c r="B2" s="1" t="s">
        <v>445</v>
      </c>
      <c r="C2" s="87"/>
      <c r="D2" s="13"/>
      <c r="E2" s="13"/>
      <c r="F2" s="87"/>
      <c r="G2" s="140"/>
      <c r="H2" s="149"/>
      <c r="I2" s="140"/>
      <c r="J2" s="140"/>
      <c r="K2" s="140"/>
      <c r="L2" s="140"/>
      <c r="M2" s="140"/>
      <c r="N2" s="140"/>
      <c r="O2" s="13"/>
    </row>
    <row r="3" spans="2:22" ht="15" customHeight="1" thickBot="1" x14ac:dyDescent="0.2">
      <c r="B3" s="85" t="s">
        <v>220</v>
      </c>
      <c r="I3" s="13" t="s">
        <v>221</v>
      </c>
      <c r="P3" s="85" t="s">
        <v>241</v>
      </c>
    </row>
    <row r="4" spans="2:22" ht="15" customHeight="1" x14ac:dyDescent="0.15">
      <c r="B4" s="302" t="s">
        <v>90</v>
      </c>
      <c r="C4" s="188" t="s">
        <v>181</v>
      </c>
      <c r="D4" s="188" t="s">
        <v>153</v>
      </c>
      <c r="E4" s="188" t="s">
        <v>154</v>
      </c>
      <c r="F4" s="398" t="s">
        <v>24</v>
      </c>
      <c r="G4" s="176" t="s">
        <v>155</v>
      </c>
      <c r="H4" s="189"/>
      <c r="I4" s="830" t="s">
        <v>90</v>
      </c>
      <c r="J4" s="828" t="s">
        <v>185</v>
      </c>
      <c r="K4" s="375" t="s">
        <v>182</v>
      </c>
      <c r="L4" s="375" t="s">
        <v>156</v>
      </c>
      <c r="M4" s="823" t="s">
        <v>24</v>
      </c>
      <c r="N4" s="825" t="s">
        <v>155</v>
      </c>
      <c r="O4" s="207"/>
      <c r="P4" s="303" t="s">
        <v>188</v>
      </c>
      <c r="Q4" s="304" t="s">
        <v>189</v>
      </c>
      <c r="R4" s="304" t="s">
        <v>190</v>
      </c>
      <c r="S4" s="304" t="s">
        <v>191</v>
      </c>
      <c r="T4" s="832" t="s">
        <v>192</v>
      </c>
      <c r="U4" s="782"/>
      <c r="V4" s="305" t="s">
        <v>193</v>
      </c>
    </row>
    <row r="5" spans="2:22" ht="15" customHeight="1" x14ac:dyDescent="0.15">
      <c r="B5" s="842" t="s">
        <v>176</v>
      </c>
      <c r="C5" s="90"/>
      <c r="D5" s="84">
        <v>0</v>
      </c>
      <c r="E5" s="89" t="s">
        <v>180</v>
      </c>
      <c r="F5" s="90">
        <v>3500</v>
      </c>
      <c r="G5" s="177">
        <f t="shared" ref="G5:G6" si="0">D5*F5</f>
        <v>0</v>
      </c>
      <c r="H5" s="190"/>
      <c r="I5" s="831"/>
      <c r="J5" s="829"/>
      <c r="K5" s="376" t="s">
        <v>157</v>
      </c>
      <c r="L5" s="376" t="s">
        <v>299</v>
      </c>
      <c r="M5" s="824"/>
      <c r="N5" s="826"/>
      <c r="O5" s="207"/>
      <c r="P5" s="471" t="s">
        <v>398</v>
      </c>
      <c r="Q5" s="500"/>
      <c r="R5" s="501" t="s">
        <v>458</v>
      </c>
      <c r="S5" s="500"/>
      <c r="T5" s="833" t="s">
        <v>459</v>
      </c>
      <c r="U5" s="834"/>
      <c r="V5" s="502">
        <v>5806.666666666667</v>
      </c>
    </row>
    <row r="6" spans="2:22" ht="15" customHeight="1" x14ac:dyDescent="0.15">
      <c r="B6" s="839"/>
      <c r="C6" s="84"/>
      <c r="D6" s="84"/>
      <c r="E6" s="89"/>
      <c r="F6" s="84"/>
      <c r="G6" s="178">
        <f t="shared" si="0"/>
        <v>0</v>
      </c>
      <c r="H6" s="190"/>
      <c r="I6" s="835" t="s">
        <v>184</v>
      </c>
      <c r="J6" s="341" t="s">
        <v>296</v>
      </c>
      <c r="K6" s="377">
        <v>10.6</v>
      </c>
      <c r="L6" s="377">
        <v>13</v>
      </c>
      <c r="M6" s="405">
        <v>84.7</v>
      </c>
      <c r="N6" s="378">
        <f>K6*L6*M6</f>
        <v>11671.66</v>
      </c>
      <c r="O6" s="207"/>
      <c r="P6" s="471"/>
      <c r="Q6" s="496"/>
      <c r="R6" s="472"/>
      <c r="S6" s="496"/>
      <c r="T6" s="872"/>
      <c r="U6" s="834"/>
      <c r="V6" s="502"/>
    </row>
    <row r="7" spans="2:22" ht="15" customHeight="1" thickBot="1" x14ac:dyDescent="0.2">
      <c r="B7" s="841"/>
      <c r="C7" s="179" t="s">
        <v>158</v>
      </c>
      <c r="D7" s="179"/>
      <c r="E7" s="179"/>
      <c r="F7" s="179"/>
      <c r="G7" s="180">
        <f>SUM(G5:G6)</f>
        <v>0</v>
      </c>
      <c r="H7" s="190"/>
      <c r="I7" s="836"/>
      <c r="J7" s="341" t="s">
        <v>297</v>
      </c>
      <c r="K7" s="377">
        <v>5.4</v>
      </c>
      <c r="L7" s="377">
        <f>5+6.5</f>
        <v>11.5</v>
      </c>
      <c r="M7" s="405">
        <v>84.7</v>
      </c>
      <c r="N7" s="378">
        <f t="shared" ref="N7:N11" si="1">K7*L7*M7</f>
        <v>5259.87</v>
      </c>
      <c r="O7" s="207"/>
      <c r="P7" s="306"/>
      <c r="Q7" s="174"/>
      <c r="R7" s="399"/>
      <c r="S7" s="174"/>
      <c r="T7" s="821"/>
      <c r="U7" s="822"/>
      <c r="V7" s="197"/>
    </row>
    <row r="8" spans="2:22" ht="15" customHeight="1" thickTop="1" x14ac:dyDescent="0.15">
      <c r="B8" s="838" t="s">
        <v>174</v>
      </c>
      <c r="C8" s="84" t="s">
        <v>417</v>
      </c>
      <c r="D8" s="84">
        <v>10</v>
      </c>
      <c r="E8" s="89" t="s">
        <v>281</v>
      </c>
      <c r="F8" s="84">
        <v>3840</v>
      </c>
      <c r="G8" s="178">
        <f>D8*F8</f>
        <v>38400</v>
      </c>
      <c r="H8" s="190"/>
      <c r="I8" s="836"/>
      <c r="J8" s="341" t="s">
        <v>305</v>
      </c>
      <c r="K8" s="377">
        <v>1.2</v>
      </c>
      <c r="L8" s="377">
        <v>3</v>
      </c>
      <c r="M8" s="405">
        <v>84.7</v>
      </c>
      <c r="N8" s="378">
        <f t="shared" si="1"/>
        <v>304.91999999999996</v>
      </c>
      <c r="O8" s="207"/>
      <c r="P8" s="306"/>
      <c r="Q8" s="174"/>
      <c r="R8" s="399"/>
      <c r="S8" s="174"/>
      <c r="T8" s="821"/>
      <c r="U8" s="822"/>
      <c r="V8" s="197"/>
    </row>
    <row r="9" spans="2:22" ht="15" customHeight="1" x14ac:dyDescent="0.15">
      <c r="B9" s="839"/>
      <c r="C9" s="84"/>
      <c r="D9" s="84"/>
      <c r="E9" s="89"/>
      <c r="F9" s="84"/>
      <c r="G9" s="178">
        <f>D9*F9</f>
        <v>0</v>
      </c>
      <c r="H9" s="190"/>
      <c r="I9" s="836"/>
      <c r="J9" s="386" t="s">
        <v>300</v>
      </c>
      <c r="K9" s="387">
        <v>3.5</v>
      </c>
      <c r="L9" s="387">
        <v>5</v>
      </c>
      <c r="M9" s="405">
        <v>84.7</v>
      </c>
      <c r="N9" s="388">
        <f t="shared" si="1"/>
        <v>1482.25</v>
      </c>
      <c r="O9" s="207"/>
      <c r="P9" s="306"/>
      <c r="Q9" s="174"/>
      <c r="R9" s="399"/>
      <c r="S9" s="174"/>
      <c r="T9" s="821"/>
      <c r="U9" s="822"/>
      <c r="V9" s="197"/>
    </row>
    <row r="10" spans="2:22" ht="15" customHeight="1" x14ac:dyDescent="0.15">
      <c r="B10" s="839"/>
      <c r="C10" s="84"/>
      <c r="D10" s="84"/>
      <c r="E10" s="89"/>
      <c r="F10" s="84"/>
      <c r="G10" s="178">
        <f>D10*F10</f>
        <v>0</v>
      </c>
      <c r="H10" s="190"/>
      <c r="I10" s="836"/>
      <c r="J10" s="392"/>
      <c r="K10" s="393"/>
      <c r="L10" s="393"/>
      <c r="M10" s="405"/>
      <c r="N10" s="394"/>
      <c r="O10" s="207"/>
      <c r="P10" s="306"/>
      <c r="Q10" s="389"/>
      <c r="R10" s="390"/>
      <c r="S10" s="389"/>
      <c r="T10" s="391"/>
      <c r="U10" s="400"/>
      <c r="V10" s="197"/>
    </row>
    <row r="11" spans="2:22" ht="15" customHeight="1" thickBot="1" x14ac:dyDescent="0.2">
      <c r="B11" s="841"/>
      <c r="C11" s="181" t="s">
        <v>159</v>
      </c>
      <c r="D11" s="182"/>
      <c r="E11" s="182"/>
      <c r="F11" s="182"/>
      <c r="G11" s="183">
        <f>SUM(G8:G10)</f>
        <v>38400</v>
      </c>
      <c r="H11" s="190"/>
      <c r="I11" s="836"/>
      <c r="J11" s="395" t="s">
        <v>302</v>
      </c>
      <c r="K11" s="396">
        <v>2</v>
      </c>
      <c r="L11" s="396">
        <v>3.5</v>
      </c>
      <c r="M11" s="405">
        <v>84.7</v>
      </c>
      <c r="N11" s="397">
        <f t="shared" si="1"/>
        <v>592.9</v>
      </c>
      <c r="O11" s="207"/>
      <c r="P11" s="306"/>
      <c r="Q11" s="174"/>
      <c r="R11" s="399"/>
      <c r="S11" s="174"/>
      <c r="T11" s="821"/>
      <c r="U11" s="822"/>
      <c r="V11" s="197"/>
    </row>
    <row r="12" spans="2:22" ht="15" customHeight="1" thickTop="1" thickBot="1" x14ac:dyDescent="0.2">
      <c r="B12" s="838" t="s">
        <v>175</v>
      </c>
      <c r="C12" s="84" t="s">
        <v>492</v>
      </c>
      <c r="D12" s="84">
        <v>550</v>
      </c>
      <c r="E12" s="89" t="s">
        <v>293</v>
      </c>
      <c r="F12" s="84">
        <f>3710/20</f>
        <v>185.5</v>
      </c>
      <c r="G12" s="178">
        <f>D12*F12</f>
        <v>102025</v>
      </c>
      <c r="H12" s="190"/>
      <c r="I12" s="837"/>
      <c r="J12" s="373" t="s">
        <v>246</v>
      </c>
      <c r="K12" s="374">
        <f>SUM(K6:K9)</f>
        <v>20.7</v>
      </c>
      <c r="L12" s="374">
        <f>SUM(L6:L11)</f>
        <v>36</v>
      </c>
      <c r="M12" s="374"/>
      <c r="N12" s="379">
        <f>SUM(N6:N11)</f>
        <v>19311.599999999999</v>
      </c>
      <c r="O12" s="207"/>
      <c r="P12" s="306"/>
      <c r="Q12" s="174"/>
      <c r="R12" s="399"/>
      <c r="S12" s="174"/>
      <c r="T12" s="821"/>
      <c r="U12" s="822"/>
      <c r="V12" s="197"/>
    </row>
    <row r="13" spans="2:22" ht="15" customHeight="1" thickTop="1" x14ac:dyDescent="0.15">
      <c r="B13" s="839"/>
      <c r="C13" s="84"/>
      <c r="D13" s="84"/>
      <c r="E13" s="89"/>
      <c r="F13" s="84"/>
      <c r="G13" s="178">
        <f>D13*F13</f>
        <v>0</v>
      </c>
      <c r="H13" s="190"/>
      <c r="I13" s="866" t="s">
        <v>48</v>
      </c>
      <c r="J13" s="341" t="s">
        <v>298</v>
      </c>
      <c r="K13" s="377">
        <v>4.4000000000000004</v>
      </c>
      <c r="L13" s="377">
        <v>3.3</v>
      </c>
      <c r="M13" s="405">
        <v>158.4</v>
      </c>
      <c r="N13" s="378">
        <f>K13*L13*M13</f>
        <v>2299.9679999999998</v>
      </c>
      <c r="O13" s="207"/>
      <c r="P13" s="306"/>
      <c r="Q13" s="174"/>
      <c r="R13" s="399"/>
      <c r="S13" s="174"/>
      <c r="T13" s="821"/>
      <c r="U13" s="822"/>
      <c r="V13" s="197"/>
    </row>
    <row r="14" spans="2:22" ht="15" customHeight="1" x14ac:dyDescent="0.15">
      <c r="B14" s="839"/>
      <c r="C14" s="84"/>
      <c r="D14" s="84"/>
      <c r="E14" s="89"/>
      <c r="F14" s="84"/>
      <c r="G14" s="178">
        <f>D14*F14</f>
        <v>0</v>
      </c>
      <c r="H14" s="190"/>
      <c r="I14" s="867"/>
      <c r="J14" s="341"/>
      <c r="K14" s="377"/>
      <c r="L14" s="377"/>
      <c r="M14" s="377"/>
      <c r="N14" s="378">
        <f t="shared" ref="N14:N15" si="2">K14*L14*M14</f>
        <v>0</v>
      </c>
      <c r="O14" s="207"/>
      <c r="P14" s="306"/>
      <c r="Q14" s="174"/>
      <c r="R14" s="399"/>
      <c r="S14" s="174"/>
      <c r="T14" s="821"/>
      <c r="U14" s="822"/>
      <c r="V14" s="197"/>
    </row>
    <row r="15" spans="2:22" ht="15" customHeight="1" x14ac:dyDescent="0.15">
      <c r="B15" s="839"/>
      <c r="C15" s="84"/>
      <c r="D15" s="84"/>
      <c r="E15" s="84"/>
      <c r="F15" s="84"/>
      <c r="G15" s="178">
        <f t="shared" ref="G15" si="3">D15*F15</f>
        <v>0</v>
      </c>
      <c r="H15" s="190"/>
      <c r="I15" s="867"/>
      <c r="J15" s="341"/>
      <c r="K15" s="377"/>
      <c r="L15" s="377"/>
      <c r="M15" s="377"/>
      <c r="N15" s="378">
        <f t="shared" si="2"/>
        <v>0</v>
      </c>
      <c r="O15" s="207"/>
      <c r="P15" s="306"/>
      <c r="Q15" s="174"/>
      <c r="R15" s="399"/>
      <c r="S15" s="174"/>
      <c r="T15" s="821"/>
      <c r="U15" s="822"/>
      <c r="V15" s="197"/>
    </row>
    <row r="16" spans="2:22" ht="15" customHeight="1" thickBot="1" x14ac:dyDescent="0.2">
      <c r="B16" s="841"/>
      <c r="C16" s="181" t="s">
        <v>159</v>
      </c>
      <c r="D16" s="182"/>
      <c r="E16" s="182"/>
      <c r="F16" s="182"/>
      <c r="G16" s="183">
        <f>SUM(G12:G15)</f>
        <v>102025</v>
      </c>
      <c r="H16" s="190"/>
      <c r="I16" s="868"/>
      <c r="J16" s="307" t="s">
        <v>246</v>
      </c>
      <c r="K16" s="193">
        <f>SUM(K13:K15)</f>
        <v>4.4000000000000004</v>
      </c>
      <c r="L16" s="193">
        <f>SUM(L13:L15)</f>
        <v>3.3</v>
      </c>
      <c r="M16" s="193"/>
      <c r="N16" s="380">
        <f>SUM(N13:N15)</f>
        <v>2299.9679999999998</v>
      </c>
      <c r="O16" s="207"/>
      <c r="P16" s="306"/>
      <c r="Q16" s="174"/>
      <c r="R16" s="399"/>
      <c r="S16" s="174"/>
      <c r="T16" s="821"/>
      <c r="U16" s="822"/>
      <c r="V16" s="197"/>
    </row>
    <row r="17" spans="2:22" ht="15" customHeight="1" thickTop="1" x14ac:dyDescent="0.15">
      <c r="B17" s="838" t="s">
        <v>177</v>
      </c>
      <c r="C17" s="84"/>
      <c r="D17" s="84"/>
      <c r="E17" s="89"/>
      <c r="F17" s="84"/>
      <c r="G17" s="178">
        <f t="shared" ref="G17" si="4">D17*F17</f>
        <v>0</v>
      </c>
      <c r="H17" s="190"/>
      <c r="I17" s="866" t="s">
        <v>186</v>
      </c>
      <c r="J17" s="341"/>
      <c r="K17" s="377">
        <v>0</v>
      </c>
      <c r="L17" s="377"/>
      <c r="M17" s="377"/>
      <c r="N17" s="378">
        <f>K17*L17*M17</f>
        <v>0</v>
      </c>
      <c r="O17" s="207"/>
      <c r="P17" s="306"/>
      <c r="Q17" s="174"/>
      <c r="R17" s="399"/>
      <c r="S17" s="174"/>
      <c r="T17" s="821"/>
      <c r="U17" s="822"/>
      <c r="V17" s="197"/>
    </row>
    <row r="18" spans="2:22" ht="15" customHeight="1" x14ac:dyDescent="0.15">
      <c r="B18" s="839"/>
      <c r="C18" s="84"/>
      <c r="D18" s="84"/>
      <c r="E18" s="89"/>
      <c r="F18" s="84"/>
      <c r="G18" s="178">
        <f>D18*F18</f>
        <v>0</v>
      </c>
      <c r="H18" s="190"/>
      <c r="I18" s="867"/>
      <c r="J18" s="341"/>
      <c r="K18" s="377"/>
      <c r="L18" s="377"/>
      <c r="M18" s="377"/>
      <c r="N18" s="378">
        <f t="shared" ref="N18:N19" si="5">K18*L18*M18</f>
        <v>0</v>
      </c>
      <c r="O18" s="207"/>
      <c r="P18" s="306"/>
      <c r="Q18" s="174"/>
      <c r="R18" s="399"/>
      <c r="S18" s="174"/>
      <c r="T18" s="821"/>
      <c r="U18" s="822"/>
      <c r="V18" s="197"/>
    </row>
    <row r="19" spans="2:22" ht="15" customHeight="1" x14ac:dyDescent="0.15">
      <c r="B19" s="839"/>
      <c r="C19" s="84"/>
      <c r="D19" s="84"/>
      <c r="E19" s="84"/>
      <c r="F19" s="84"/>
      <c r="G19" s="178">
        <f t="shared" ref="G19" si="6">D19*F19</f>
        <v>0</v>
      </c>
      <c r="H19" s="190"/>
      <c r="I19" s="867"/>
      <c r="J19" s="341"/>
      <c r="K19" s="377"/>
      <c r="L19" s="377"/>
      <c r="M19" s="377"/>
      <c r="N19" s="378">
        <f t="shared" si="5"/>
        <v>0</v>
      </c>
      <c r="O19" s="207"/>
      <c r="P19" s="306"/>
      <c r="Q19" s="174"/>
      <c r="R19" s="399"/>
      <c r="S19" s="174"/>
      <c r="T19" s="821"/>
      <c r="U19" s="822"/>
      <c r="V19" s="197"/>
    </row>
    <row r="20" spans="2:22" ht="15" customHeight="1" thickBot="1" x14ac:dyDescent="0.2">
      <c r="B20" s="841"/>
      <c r="C20" s="181" t="s">
        <v>159</v>
      </c>
      <c r="D20" s="182"/>
      <c r="E20" s="182"/>
      <c r="F20" s="182"/>
      <c r="G20" s="183">
        <f>SUM(G17:G19)</f>
        <v>0</v>
      </c>
      <c r="H20" s="190"/>
      <c r="I20" s="868"/>
      <c r="J20" s="307" t="s">
        <v>246</v>
      </c>
      <c r="K20" s="193">
        <f>SUM(K17:K19)</f>
        <v>0</v>
      </c>
      <c r="L20" s="194">
        <f>SUM(L17:L19)</f>
        <v>0</v>
      </c>
      <c r="M20" s="195"/>
      <c r="N20" s="380">
        <f>SUM(N17:N19)</f>
        <v>0</v>
      </c>
      <c r="O20" s="207"/>
      <c r="P20" s="306"/>
      <c r="Q20" s="174"/>
      <c r="R20" s="399"/>
      <c r="S20" s="174"/>
      <c r="T20" s="821"/>
      <c r="U20" s="822"/>
      <c r="V20" s="197"/>
    </row>
    <row r="21" spans="2:22" ht="15" customHeight="1" thickTop="1" thickBot="1" x14ac:dyDescent="0.2">
      <c r="B21" s="838" t="s">
        <v>178</v>
      </c>
      <c r="C21" s="84" t="s">
        <v>493</v>
      </c>
      <c r="D21" s="84">
        <f>189*4.3</f>
        <v>812.69999999999993</v>
      </c>
      <c r="E21" s="89" t="s">
        <v>286</v>
      </c>
      <c r="F21" s="84">
        <f>510/20</f>
        <v>25.5</v>
      </c>
      <c r="G21" s="178">
        <f>D21*F21</f>
        <v>20723.849999999999</v>
      </c>
      <c r="H21" s="190"/>
      <c r="I21" s="866" t="s">
        <v>187</v>
      </c>
      <c r="J21" s="341" t="s">
        <v>301</v>
      </c>
      <c r="K21" s="377">
        <v>28.2</v>
      </c>
      <c r="L21" s="377">
        <v>6.1</v>
      </c>
      <c r="M21" s="377">
        <v>102.1</v>
      </c>
      <c r="N21" s="378">
        <f>K21*L21*M21</f>
        <v>17563.241999999998</v>
      </c>
      <c r="O21" s="207"/>
      <c r="P21" s="198" t="s">
        <v>29</v>
      </c>
      <c r="Q21" s="199"/>
      <c r="R21" s="199"/>
      <c r="S21" s="199"/>
      <c r="T21" s="827"/>
      <c r="U21" s="818"/>
      <c r="V21" s="200">
        <f>SUM(V5:V20)</f>
        <v>5806.666666666667</v>
      </c>
    </row>
    <row r="22" spans="2:22" ht="15" customHeight="1" x14ac:dyDescent="0.15">
      <c r="B22" s="839"/>
      <c r="C22" s="84"/>
      <c r="D22" s="84"/>
      <c r="E22" s="89"/>
      <c r="F22" s="84"/>
      <c r="G22" s="178">
        <f>D22*F22</f>
        <v>0</v>
      </c>
      <c r="H22" s="190"/>
      <c r="I22" s="867"/>
      <c r="J22" s="341"/>
      <c r="K22" s="377"/>
      <c r="L22" s="377"/>
      <c r="M22" s="377"/>
      <c r="N22" s="378">
        <f t="shared" ref="N22:N23" si="7">K22*L22*M22</f>
        <v>0</v>
      </c>
      <c r="O22" s="207"/>
    </row>
    <row r="23" spans="2:22" ht="15" customHeight="1" thickBot="1" x14ac:dyDescent="0.2">
      <c r="B23" s="839"/>
      <c r="C23" s="84"/>
      <c r="D23" s="84"/>
      <c r="E23" s="89"/>
      <c r="F23" s="84"/>
      <c r="G23" s="178">
        <f>D23*F23</f>
        <v>0</v>
      </c>
      <c r="H23" s="190"/>
      <c r="I23" s="867"/>
      <c r="J23" s="341"/>
      <c r="K23" s="377"/>
      <c r="L23" s="377"/>
      <c r="M23" s="377"/>
      <c r="N23" s="378">
        <f t="shared" si="7"/>
        <v>0</v>
      </c>
      <c r="O23" s="207"/>
      <c r="P23" s="85" t="s">
        <v>242</v>
      </c>
    </row>
    <row r="24" spans="2:22" ht="15" customHeight="1" thickBot="1" x14ac:dyDescent="0.2">
      <c r="B24" s="840"/>
      <c r="C24" s="184" t="s">
        <v>160</v>
      </c>
      <c r="D24" s="185"/>
      <c r="E24" s="185"/>
      <c r="F24" s="192"/>
      <c r="G24" s="186">
        <f>SUM(G21:G23)</f>
        <v>20723.849999999999</v>
      </c>
      <c r="H24" s="190"/>
      <c r="I24" s="868"/>
      <c r="J24" s="307" t="s">
        <v>246</v>
      </c>
      <c r="K24" s="193">
        <f>SUM(K21:K23)</f>
        <v>28.2</v>
      </c>
      <c r="L24" s="194">
        <f>SUM(L21:L23)</f>
        <v>6.1</v>
      </c>
      <c r="M24" s="195"/>
      <c r="N24" s="380">
        <f>SUM(N21:N23)</f>
        <v>17563.241999999998</v>
      </c>
      <c r="O24" s="207"/>
      <c r="P24" s="303" t="s">
        <v>194</v>
      </c>
      <c r="Q24" s="304" t="s">
        <v>189</v>
      </c>
      <c r="R24" s="304" t="s">
        <v>190</v>
      </c>
      <c r="S24" s="304" t="s">
        <v>191</v>
      </c>
      <c r="T24" s="304" t="s">
        <v>192</v>
      </c>
      <c r="U24" s="401" t="s">
        <v>195</v>
      </c>
      <c r="V24" s="305" t="s">
        <v>193</v>
      </c>
    </row>
    <row r="25" spans="2:22" ht="15" customHeight="1" thickTop="1" x14ac:dyDescent="0.15">
      <c r="I25" s="866" t="s">
        <v>267</v>
      </c>
      <c r="J25" s="341"/>
      <c r="K25" s="377"/>
      <c r="L25" s="377"/>
      <c r="M25" s="377"/>
      <c r="N25" s="378">
        <f>K25*L25*M25</f>
        <v>0</v>
      </c>
      <c r="O25" s="207"/>
      <c r="P25" s="306" t="s">
        <v>399</v>
      </c>
      <c r="Q25" s="174">
        <v>10</v>
      </c>
      <c r="R25" s="399" t="s">
        <v>245</v>
      </c>
      <c r="S25" s="451">
        <v>500</v>
      </c>
      <c r="T25" s="174">
        <v>2</v>
      </c>
      <c r="U25" s="175">
        <v>30</v>
      </c>
      <c r="V25" s="197">
        <f>Q25*S25/T25/U25</f>
        <v>83.333333333333329</v>
      </c>
    </row>
    <row r="26" spans="2:22" ht="15" customHeight="1" thickBot="1" x14ac:dyDescent="0.2">
      <c r="B26" s="13" t="s">
        <v>250</v>
      </c>
      <c r="C26" s="13"/>
      <c r="D26" s="87"/>
      <c r="E26" s="13"/>
      <c r="F26" s="87"/>
      <c r="G26" s="88"/>
      <c r="H26" s="191"/>
      <c r="I26" s="867"/>
      <c r="J26" s="341"/>
      <c r="K26" s="377"/>
      <c r="L26" s="377"/>
      <c r="M26" s="377"/>
      <c r="N26" s="378">
        <f t="shared" ref="N26:N27" si="8">K26*L26*M26</f>
        <v>0</v>
      </c>
      <c r="O26" s="207"/>
      <c r="P26" s="306"/>
      <c r="Q26" s="174"/>
      <c r="R26" s="399"/>
      <c r="S26" s="174"/>
      <c r="T26" s="174"/>
      <c r="U26" s="175"/>
      <c r="V26" s="197"/>
    </row>
    <row r="27" spans="2:22" ht="15" customHeight="1" x14ac:dyDescent="0.15">
      <c r="B27" s="302" t="s">
        <v>90</v>
      </c>
      <c r="C27" s="188" t="s">
        <v>152</v>
      </c>
      <c r="D27" s="188" t="s">
        <v>153</v>
      </c>
      <c r="E27" s="188" t="s">
        <v>154</v>
      </c>
      <c r="F27" s="398" t="s">
        <v>24</v>
      </c>
      <c r="G27" s="176" t="s">
        <v>155</v>
      </c>
      <c r="H27" s="189"/>
      <c r="I27" s="867"/>
      <c r="J27" s="341"/>
      <c r="K27" s="377"/>
      <c r="L27" s="377"/>
      <c r="M27" s="377"/>
      <c r="N27" s="378">
        <f t="shared" si="8"/>
        <v>0</v>
      </c>
      <c r="O27" s="207"/>
      <c r="P27" s="306"/>
      <c r="Q27" s="174"/>
      <c r="R27" s="399"/>
      <c r="S27" s="174"/>
      <c r="T27" s="174"/>
      <c r="U27" s="175"/>
      <c r="V27" s="197"/>
    </row>
    <row r="28" spans="2:22" ht="15" customHeight="1" thickBot="1" x14ac:dyDescent="0.2">
      <c r="B28" s="842" t="s">
        <v>30</v>
      </c>
      <c r="C28" s="84" t="s">
        <v>494</v>
      </c>
      <c r="D28" s="84">
        <v>300</v>
      </c>
      <c r="E28" s="89" t="s">
        <v>292</v>
      </c>
      <c r="F28" s="84">
        <f>62610/10000</f>
        <v>6.2610000000000001</v>
      </c>
      <c r="G28" s="177">
        <f>D28*F28</f>
        <v>1878.3</v>
      </c>
      <c r="H28" s="190"/>
      <c r="I28" s="868"/>
      <c r="J28" s="307" t="s">
        <v>246</v>
      </c>
      <c r="K28" s="193">
        <f>SUM(K25:K27)</f>
        <v>0</v>
      </c>
      <c r="L28" s="194">
        <f>SUM(L25:L27)</f>
        <v>0</v>
      </c>
      <c r="M28" s="195"/>
      <c r="N28" s="380">
        <f>SUM(N25:N27)</f>
        <v>0</v>
      </c>
      <c r="O28" s="207"/>
      <c r="P28" s="306"/>
      <c r="Q28" s="174"/>
      <c r="R28" s="399"/>
      <c r="S28" s="174"/>
      <c r="T28" s="174"/>
      <c r="U28" s="175"/>
      <c r="V28" s="197"/>
    </row>
    <row r="29" spans="2:22" ht="15" customHeight="1" thickTop="1" x14ac:dyDescent="0.15">
      <c r="B29" s="839"/>
      <c r="C29" s="371" t="s">
        <v>495</v>
      </c>
      <c r="D29" s="341">
        <v>180</v>
      </c>
      <c r="E29" s="89" t="s">
        <v>292</v>
      </c>
      <c r="F29" s="341">
        <f>4180/500</f>
        <v>8.36</v>
      </c>
      <c r="G29" s="177">
        <f>D29*F29</f>
        <v>1504.8</v>
      </c>
      <c r="H29" s="190"/>
      <c r="I29" s="866" t="s">
        <v>183</v>
      </c>
      <c r="J29" s="341" t="s">
        <v>301</v>
      </c>
      <c r="K29" s="377">
        <v>31.4</v>
      </c>
      <c r="L29" s="377">
        <v>3.2</v>
      </c>
      <c r="M29" s="377">
        <v>14</v>
      </c>
      <c r="N29" s="378">
        <f>K29*L29*M29</f>
        <v>1406.72</v>
      </c>
      <c r="O29" s="207"/>
      <c r="P29" s="306"/>
      <c r="Q29" s="174"/>
      <c r="R29" s="399"/>
      <c r="S29" s="174"/>
      <c r="T29" s="174"/>
      <c r="U29" s="340"/>
      <c r="V29" s="197"/>
    </row>
    <row r="30" spans="2:22" ht="15" customHeight="1" x14ac:dyDescent="0.15">
      <c r="B30" s="839"/>
      <c r="C30" s="84" t="s">
        <v>30</v>
      </c>
      <c r="D30" s="84">
        <v>1000</v>
      </c>
      <c r="E30" s="89" t="s">
        <v>307</v>
      </c>
      <c r="F30" s="84">
        <f>42580/20000</f>
        <v>2.129</v>
      </c>
      <c r="G30" s="177">
        <f>D30*F30</f>
        <v>2129</v>
      </c>
      <c r="H30" s="190"/>
      <c r="I30" s="867"/>
      <c r="J30" s="341" t="s">
        <v>303</v>
      </c>
      <c r="K30" s="377">
        <v>4</v>
      </c>
      <c r="L30" s="377">
        <v>1.9</v>
      </c>
      <c r="M30" s="377">
        <v>14</v>
      </c>
      <c r="N30" s="378">
        <f t="shared" ref="N30:N31" si="9">K30*L30*M30</f>
        <v>106.39999999999999</v>
      </c>
      <c r="O30" s="86"/>
      <c r="P30" s="306"/>
      <c r="Q30" s="174"/>
      <c r="R30" s="399"/>
      <c r="S30" s="174"/>
      <c r="T30" s="174"/>
      <c r="U30" s="340"/>
      <c r="V30" s="197"/>
    </row>
    <row r="31" spans="2:22" ht="15" customHeight="1" x14ac:dyDescent="0.15">
      <c r="B31" s="839"/>
      <c r="C31" s="371"/>
      <c r="D31" s="341"/>
      <c r="E31" s="89"/>
      <c r="F31" s="341"/>
      <c r="G31" s="178">
        <v>0</v>
      </c>
      <c r="H31" s="190"/>
      <c r="I31" s="867"/>
      <c r="J31" s="341" t="s">
        <v>304</v>
      </c>
      <c r="K31" s="377">
        <v>24.5</v>
      </c>
      <c r="L31" s="377">
        <v>6.7</v>
      </c>
      <c r="M31" s="377">
        <v>14</v>
      </c>
      <c r="N31" s="378">
        <f t="shared" si="9"/>
        <v>2298.1</v>
      </c>
      <c r="P31" s="306"/>
      <c r="Q31" s="174"/>
      <c r="R31" s="399"/>
      <c r="S31" s="174"/>
      <c r="T31" s="174"/>
      <c r="U31" s="175"/>
      <c r="V31" s="197"/>
    </row>
    <row r="32" spans="2:22" ht="15" customHeight="1" thickBot="1" x14ac:dyDescent="0.2">
      <c r="B32" s="839"/>
      <c r="C32" s="341"/>
      <c r="D32" s="341"/>
      <c r="E32" s="89"/>
      <c r="F32" s="341"/>
      <c r="G32" s="178">
        <f t="shared" ref="G32:G37" si="10">D32*F32</f>
        <v>0</v>
      </c>
      <c r="H32" s="190"/>
      <c r="I32" s="871"/>
      <c r="J32" s="381" t="s">
        <v>246</v>
      </c>
      <c r="K32" s="382">
        <f>SUM(K29:K31)</f>
        <v>59.9</v>
      </c>
      <c r="L32" s="383">
        <f>SUM(L29:L31)</f>
        <v>11.8</v>
      </c>
      <c r="M32" s="384"/>
      <c r="N32" s="385">
        <f>SUM(N29:N31)</f>
        <v>3811.2200000000003</v>
      </c>
      <c r="P32" s="306"/>
      <c r="Q32" s="174"/>
      <c r="R32" s="399"/>
      <c r="S32" s="174"/>
      <c r="T32" s="174"/>
      <c r="U32" s="175"/>
      <c r="V32" s="197"/>
    </row>
    <row r="33" spans="2:22" ht="15" customHeight="1" x14ac:dyDescent="0.15">
      <c r="B33" s="839"/>
      <c r="C33" s="341"/>
      <c r="D33" s="341"/>
      <c r="E33" s="89"/>
      <c r="F33" s="341"/>
      <c r="G33" s="178">
        <f t="shared" si="10"/>
        <v>0</v>
      </c>
      <c r="H33" s="190"/>
      <c r="I33" s="168"/>
      <c r="J33" s="168"/>
      <c r="K33" s="168"/>
      <c r="L33" s="168"/>
      <c r="M33" s="168"/>
      <c r="N33" s="168"/>
      <c r="P33" s="306"/>
      <c r="Q33" s="174"/>
      <c r="R33" s="399"/>
      <c r="S33" s="174"/>
      <c r="T33" s="174"/>
      <c r="U33" s="175"/>
      <c r="V33" s="197"/>
    </row>
    <row r="34" spans="2:22" ht="15" customHeight="1" thickBot="1" x14ac:dyDescent="0.2">
      <c r="B34" s="839"/>
      <c r="C34" s="341"/>
      <c r="D34" s="341"/>
      <c r="E34" s="89"/>
      <c r="F34" s="341"/>
      <c r="G34" s="178">
        <f t="shared" si="10"/>
        <v>0</v>
      </c>
      <c r="H34" s="190"/>
      <c r="I34" s="158" t="s">
        <v>240</v>
      </c>
      <c r="J34" s="158"/>
      <c r="K34" s="158"/>
      <c r="L34" s="158"/>
      <c r="M34" s="158"/>
      <c r="P34" s="310" t="s">
        <v>233</v>
      </c>
      <c r="Q34" s="199"/>
      <c r="R34" s="199"/>
      <c r="S34" s="199"/>
      <c r="T34" s="199"/>
      <c r="U34" s="201"/>
      <c r="V34" s="200">
        <f>SUM(V25:V33)</f>
        <v>83.333333333333329</v>
      </c>
    </row>
    <row r="35" spans="2:22" ht="15" customHeight="1" x14ac:dyDescent="0.15">
      <c r="B35" s="839"/>
      <c r="C35" s="341"/>
      <c r="D35" s="341"/>
      <c r="E35" s="89"/>
      <c r="F35" s="341"/>
      <c r="G35" s="178">
        <f t="shared" si="10"/>
        <v>0</v>
      </c>
      <c r="H35" s="190"/>
      <c r="I35" s="282" t="s">
        <v>228</v>
      </c>
      <c r="J35" s="283" t="s">
        <v>5</v>
      </c>
      <c r="K35" s="869" t="s">
        <v>229</v>
      </c>
      <c r="L35" s="870"/>
      <c r="M35" s="503" t="s">
        <v>195</v>
      </c>
      <c r="N35" s="309" t="s">
        <v>252</v>
      </c>
    </row>
    <row r="36" spans="2:22" ht="15" customHeight="1" thickBot="1" x14ac:dyDescent="0.2">
      <c r="B36" s="839"/>
      <c r="C36" s="341"/>
      <c r="D36" s="341"/>
      <c r="E36" s="89"/>
      <c r="F36" s="341"/>
      <c r="G36" s="178">
        <f t="shared" si="10"/>
        <v>0</v>
      </c>
      <c r="H36" s="190"/>
      <c r="I36" s="850" t="s">
        <v>2</v>
      </c>
      <c r="J36" s="187" t="str">
        <f>'６　資本装備と減価償却'!C5</f>
        <v>農機具庫</v>
      </c>
      <c r="K36" s="819">
        <f>'６　資本装備と減価償却'!I5</f>
        <v>5940000</v>
      </c>
      <c r="L36" s="819"/>
      <c r="M36" s="499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97">
        <f>+K36/M36*0.014*0.3</f>
        <v>831.6</v>
      </c>
      <c r="P36" s="158" t="s">
        <v>234</v>
      </c>
      <c r="Q36" s="158"/>
      <c r="R36" s="158"/>
      <c r="S36" s="158"/>
      <c r="T36" s="158"/>
    </row>
    <row r="37" spans="2:22" ht="15" customHeight="1" x14ac:dyDescent="0.15">
      <c r="B37" s="839"/>
      <c r="C37" s="341"/>
      <c r="D37" s="341"/>
      <c r="E37" s="89"/>
      <c r="F37" s="341"/>
      <c r="G37" s="178">
        <f t="shared" si="10"/>
        <v>0</v>
      </c>
      <c r="H37" s="190"/>
      <c r="I37" s="863"/>
      <c r="J37" s="187" t="str">
        <f>'６　資本装備と減価償却'!C6</f>
        <v>乾燥調製施設</v>
      </c>
      <c r="K37" s="819">
        <f>'６　資本装備と減価償却'!I6</f>
        <v>10692000</v>
      </c>
      <c r="L37" s="819"/>
      <c r="M37" s="499">
        <f>'１　対象経営の概要，２　前提条件'!$N$7+'１　対象経営の概要，２　前提条件'!$N$8+'１　対象経営の概要，２　前提条件'!$N$9</f>
        <v>30</v>
      </c>
      <c r="N37" s="297">
        <f>+K37/M37*0.014*0.3</f>
        <v>1496.88</v>
      </c>
      <c r="P37" s="282" t="s">
        <v>227</v>
      </c>
      <c r="Q37" s="820" t="s">
        <v>235</v>
      </c>
      <c r="R37" s="820"/>
      <c r="S37" s="402" t="s">
        <v>238</v>
      </c>
      <c r="T37" s="402" t="s">
        <v>237</v>
      </c>
      <c r="U37" s="311" t="s">
        <v>195</v>
      </c>
      <c r="V37" s="312" t="s">
        <v>252</v>
      </c>
    </row>
    <row r="38" spans="2:22" ht="15" customHeight="1" thickBot="1" x14ac:dyDescent="0.2">
      <c r="B38" s="841"/>
      <c r="C38" s="179" t="s">
        <v>158</v>
      </c>
      <c r="D38" s="179"/>
      <c r="E38" s="179"/>
      <c r="F38" s="179"/>
      <c r="G38" s="180">
        <f>SUM(G28:G37)</f>
        <v>5512.1</v>
      </c>
      <c r="H38" s="190"/>
      <c r="I38" s="863"/>
      <c r="J38" s="187" t="str">
        <f>'６　資本装備と減価償却'!C7</f>
        <v>育苗ハウス</v>
      </c>
      <c r="K38" s="819">
        <f>'６　資本装備と減価償却'!I7</f>
        <v>1761750</v>
      </c>
      <c r="L38" s="819"/>
      <c r="M38" s="499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297">
        <f>+K38/M38*0.014*0.3</f>
        <v>246.64499999999998</v>
      </c>
      <c r="O38" s="196"/>
      <c r="P38" s="861" t="s">
        <v>236</v>
      </c>
      <c r="Q38" s="288" t="s">
        <v>226</v>
      </c>
      <c r="R38" s="316"/>
      <c r="S38" s="289"/>
      <c r="T38" s="317"/>
      <c r="U38" s="289"/>
      <c r="V38" s="297">
        <v>3880</v>
      </c>
    </row>
    <row r="39" spans="2:22" ht="15" customHeight="1" thickTop="1" x14ac:dyDescent="0.15">
      <c r="B39" s="838" t="s">
        <v>179</v>
      </c>
      <c r="C39" s="404" t="s">
        <v>496</v>
      </c>
      <c r="D39" s="84">
        <v>60</v>
      </c>
      <c r="E39" s="89" t="s">
        <v>307</v>
      </c>
      <c r="F39" s="84">
        <f>1450/500</f>
        <v>2.9</v>
      </c>
      <c r="G39" s="178">
        <f>D39*F39</f>
        <v>174</v>
      </c>
      <c r="H39" s="190"/>
      <c r="I39" s="863"/>
      <c r="J39" s="187"/>
      <c r="K39" s="819"/>
      <c r="L39" s="819"/>
      <c r="M39" s="424"/>
      <c r="N39" s="297"/>
      <c r="O39" s="196"/>
      <c r="P39" s="815"/>
      <c r="Q39" s="288"/>
      <c r="R39" s="316"/>
      <c r="S39" s="289"/>
      <c r="T39" s="317"/>
      <c r="U39" s="289"/>
      <c r="V39" s="297"/>
    </row>
    <row r="40" spans="2:22" ht="15" customHeight="1" x14ac:dyDescent="0.15">
      <c r="B40" s="839"/>
      <c r="C40" s="84" t="s">
        <v>329</v>
      </c>
      <c r="D40" s="84">
        <v>1000</v>
      </c>
      <c r="E40" s="89" t="s">
        <v>307</v>
      </c>
      <c r="F40" s="84">
        <f>96020/20000</f>
        <v>4.8010000000000002</v>
      </c>
      <c r="G40" s="178">
        <f>D40*F40</f>
        <v>4801</v>
      </c>
      <c r="H40" s="190"/>
      <c r="I40" s="863"/>
      <c r="J40" s="187"/>
      <c r="K40" s="819"/>
      <c r="L40" s="819"/>
      <c r="M40" s="424"/>
      <c r="N40" s="297"/>
      <c r="O40" s="196"/>
      <c r="P40" s="815"/>
      <c r="Q40" s="288"/>
      <c r="R40" s="316"/>
      <c r="S40" s="289"/>
      <c r="T40" s="317"/>
      <c r="U40" s="289"/>
      <c r="V40" s="297"/>
    </row>
    <row r="41" spans="2:22" ht="15" customHeight="1" x14ac:dyDescent="0.15">
      <c r="B41" s="839"/>
      <c r="C41" s="84"/>
      <c r="D41" s="84"/>
      <c r="E41" s="89"/>
      <c r="F41" s="84"/>
      <c r="G41" s="178">
        <f>D41*F41</f>
        <v>0</v>
      </c>
      <c r="H41" s="190"/>
      <c r="I41" s="863"/>
      <c r="J41" s="187"/>
      <c r="K41" s="819"/>
      <c r="L41" s="819"/>
      <c r="M41" s="424"/>
      <c r="N41" s="297"/>
      <c r="O41" s="196"/>
      <c r="P41" s="815"/>
      <c r="Q41" s="288"/>
      <c r="R41" s="316"/>
      <c r="S41" s="289"/>
      <c r="T41" s="317"/>
      <c r="U41" s="289"/>
      <c r="V41" s="297"/>
    </row>
    <row r="42" spans="2:22" ht="15" customHeight="1" thickBot="1" x14ac:dyDescent="0.2">
      <c r="B42" s="839"/>
      <c r="C42" s="84"/>
      <c r="D42" s="84"/>
      <c r="E42" s="89"/>
      <c r="F42" s="84"/>
      <c r="G42" s="178">
        <f>D42*F42</f>
        <v>0</v>
      </c>
      <c r="H42" s="190"/>
      <c r="I42" s="864"/>
      <c r="J42" s="284" t="s">
        <v>159</v>
      </c>
      <c r="K42" s="845"/>
      <c r="L42" s="846"/>
      <c r="M42" s="285"/>
      <c r="N42" s="293">
        <f>SUM(N36:N41)</f>
        <v>2575.125</v>
      </c>
      <c r="O42" s="196"/>
      <c r="P42" s="815"/>
      <c r="Q42" s="288"/>
      <c r="R42" s="316"/>
      <c r="S42" s="289"/>
      <c r="T42" s="317"/>
      <c r="U42" s="289"/>
      <c r="V42" s="297"/>
    </row>
    <row r="43" spans="2:22" ht="15" customHeight="1" thickTop="1" x14ac:dyDescent="0.15">
      <c r="B43" s="839"/>
      <c r="C43" s="84"/>
      <c r="D43" s="84"/>
      <c r="E43" s="89"/>
      <c r="F43" s="84"/>
      <c r="G43" s="178">
        <f t="shared" ref="G43:G45" si="11">D43*F43</f>
        <v>0</v>
      </c>
      <c r="H43" s="190"/>
      <c r="I43" s="848" t="s">
        <v>230</v>
      </c>
      <c r="J43" s="286" t="s">
        <v>253</v>
      </c>
      <c r="K43" s="847">
        <v>8200</v>
      </c>
      <c r="L43" s="847"/>
      <c r="M43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14">
        <f>+K43/M43</f>
        <v>273.33333333333331</v>
      </c>
      <c r="O43" s="196"/>
      <c r="P43" s="815"/>
      <c r="Q43" s="288"/>
      <c r="R43" s="316"/>
      <c r="S43" s="289"/>
      <c r="T43" s="317"/>
      <c r="U43" s="289"/>
      <c r="V43" s="297"/>
    </row>
    <row r="44" spans="2:22" ht="15" customHeight="1" thickBot="1" x14ac:dyDescent="0.2">
      <c r="B44" s="839"/>
      <c r="C44" s="84"/>
      <c r="D44" s="84"/>
      <c r="E44" s="89"/>
      <c r="F44" s="84"/>
      <c r="G44" s="178">
        <f t="shared" si="11"/>
        <v>0</v>
      </c>
      <c r="H44" s="190"/>
      <c r="I44" s="849"/>
      <c r="J44" s="288"/>
      <c r="K44" s="819"/>
      <c r="L44" s="819"/>
      <c r="M44" s="424"/>
      <c r="N44" s="297"/>
      <c r="O44" s="196"/>
      <c r="P44" s="862"/>
      <c r="Q44" s="298" t="s">
        <v>239</v>
      </c>
      <c r="R44" s="299"/>
      <c r="S44" s="299"/>
      <c r="T44" s="299"/>
      <c r="U44" s="299"/>
      <c r="V44" s="300">
        <f>SUM(V38:V43)</f>
        <v>3880</v>
      </c>
    </row>
    <row r="45" spans="2:22" ht="15" customHeight="1" thickTop="1" x14ac:dyDescent="0.15">
      <c r="B45" s="839"/>
      <c r="C45" s="84"/>
      <c r="D45" s="84"/>
      <c r="E45" s="89"/>
      <c r="F45" s="84"/>
      <c r="G45" s="178">
        <f t="shared" si="11"/>
        <v>0</v>
      </c>
      <c r="H45" s="190"/>
      <c r="I45" s="849"/>
      <c r="J45" s="187"/>
      <c r="K45" s="819"/>
      <c r="L45" s="819"/>
      <c r="M45" s="424"/>
      <c r="N45" s="297"/>
      <c r="O45" s="196"/>
      <c r="P45" s="814" t="s">
        <v>244</v>
      </c>
      <c r="Q45" s="811" t="s">
        <v>255</v>
      </c>
      <c r="R45" s="318" t="s">
        <v>256</v>
      </c>
      <c r="S45" s="286">
        <v>35750</v>
      </c>
      <c r="T45" s="319">
        <v>1</v>
      </c>
      <c r="U45" s="286">
        <v>30</v>
      </c>
      <c r="V45" s="313">
        <f>+S45*T45/U45</f>
        <v>1191.6666666666667</v>
      </c>
    </row>
    <row r="46" spans="2:22" ht="15" customHeight="1" thickBot="1" x14ac:dyDescent="0.2">
      <c r="B46" s="839"/>
      <c r="C46" s="84"/>
      <c r="D46" s="84"/>
      <c r="E46" s="89"/>
      <c r="F46" s="84"/>
      <c r="G46" s="178">
        <f t="shared" ref="G46:G52" si="12">D46*F46</f>
        <v>0</v>
      </c>
      <c r="H46" s="190"/>
      <c r="I46" s="865"/>
      <c r="J46" s="284" t="s">
        <v>159</v>
      </c>
      <c r="K46" s="845"/>
      <c r="L46" s="846"/>
      <c r="M46" s="285"/>
      <c r="N46" s="293">
        <f>SUM(N43:N45)</f>
        <v>273.33333333333331</v>
      </c>
      <c r="O46" s="196"/>
      <c r="P46" s="815"/>
      <c r="Q46" s="812"/>
      <c r="R46" s="320" t="s">
        <v>243</v>
      </c>
      <c r="S46" s="288">
        <v>15600</v>
      </c>
      <c r="T46" s="317">
        <v>1</v>
      </c>
      <c r="U46" s="288">
        <v>30</v>
      </c>
      <c r="V46" s="297">
        <f>+S46*T46/U46</f>
        <v>520</v>
      </c>
    </row>
    <row r="47" spans="2:22" ht="15" customHeight="1" thickTop="1" x14ac:dyDescent="0.15">
      <c r="B47" s="839"/>
      <c r="C47" s="84"/>
      <c r="D47" s="84"/>
      <c r="E47" s="89"/>
      <c r="F47" s="84"/>
      <c r="G47" s="178">
        <f t="shared" si="12"/>
        <v>0</v>
      </c>
      <c r="H47" s="190"/>
      <c r="I47" s="848" t="s">
        <v>231</v>
      </c>
      <c r="J47" s="286" t="s">
        <v>253</v>
      </c>
      <c r="K47" s="847">
        <v>11500</v>
      </c>
      <c r="L47" s="847"/>
      <c r="M47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3">
        <f>K47/M47</f>
        <v>383.33333333333331</v>
      </c>
      <c r="O47" s="196"/>
      <c r="P47" s="815"/>
      <c r="Q47" s="812"/>
      <c r="R47" s="320"/>
      <c r="S47" s="288"/>
      <c r="T47" s="288"/>
      <c r="U47" s="187"/>
      <c r="V47" s="321"/>
    </row>
    <row r="48" spans="2:22" ht="15" customHeight="1" x14ac:dyDescent="0.15">
      <c r="B48" s="839"/>
      <c r="C48" s="84"/>
      <c r="D48" s="84"/>
      <c r="E48" s="89"/>
      <c r="F48" s="84"/>
      <c r="G48" s="178">
        <f t="shared" si="12"/>
        <v>0</v>
      </c>
      <c r="H48" s="190"/>
      <c r="I48" s="849"/>
      <c r="J48" s="288"/>
      <c r="K48" s="819"/>
      <c r="L48" s="819"/>
      <c r="M48" s="424"/>
      <c r="N48" s="297"/>
      <c r="O48" s="196"/>
      <c r="P48" s="815"/>
      <c r="Q48" s="812"/>
      <c r="R48" s="320"/>
      <c r="S48" s="288"/>
      <c r="T48" s="317"/>
      <c r="U48" s="288"/>
      <c r="V48" s="297"/>
    </row>
    <row r="49" spans="2:22" ht="15" customHeight="1" thickBot="1" x14ac:dyDescent="0.2">
      <c r="B49" s="841"/>
      <c r="C49" s="181" t="s">
        <v>159</v>
      </c>
      <c r="D49" s="182"/>
      <c r="E49" s="182"/>
      <c r="F49" s="182"/>
      <c r="G49" s="183">
        <f>SUM(G39:G48)</f>
        <v>4975</v>
      </c>
      <c r="H49" s="190"/>
      <c r="I49" s="849"/>
      <c r="J49" s="187"/>
      <c r="K49" s="819"/>
      <c r="L49" s="819"/>
      <c r="M49" s="424"/>
      <c r="N49" s="297"/>
      <c r="O49" s="196"/>
      <c r="P49" s="815"/>
      <c r="Q49" s="813"/>
      <c r="R49" s="320"/>
      <c r="S49" s="288"/>
      <c r="T49" s="288"/>
      <c r="U49" s="187"/>
      <c r="V49" s="321"/>
    </row>
    <row r="50" spans="2:22" ht="15" customHeight="1" thickTop="1" thickBot="1" x14ac:dyDescent="0.2">
      <c r="B50" s="838" t="s">
        <v>32</v>
      </c>
      <c r="C50" s="84" t="s">
        <v>497</v>
      </c>
      <c r="D50" s="84">
        <v>10</v>
      </c>
      <c r="E50" s="89" t="s">
        <v>286</v>
      </c>
      <c r="F50" s="84">
        <f>24330/10</f>
        <v>2433</v>
      </c>
      <c r="G50" s="178">
        <f t="shared" si="12"/>
        <v>24330</v>
      </c>
      <c r="H50" s="190"/>
      <c r="I50" s="865"/>
      <c r="J50" s="284" t="s">
        <v>159</v>
      </c>
      <c r="K50" s="845"/>
      <c r="L50" s="846"/>
      <c r="M50" s="285"/>
      <c r="N50" s="293">
        <f>SUM(N47:N49)</f>
        <v>383.33333333333331</v>
      </c>
      <c r="O50" s="196"/>
      <c r="P50" s="815"/>
      <c r="Q50" s="298" t="s">
        <v>239</v>
      </c>
      <c r="R50" s="299"/>
      <c r="S50" s="299"/>
      <c r="T50" s="299"/>
      <c r="U50" s="299"/>
      <c r="V50" s="300">
        <f>SUM(V45:V49)</f>
        <v>1711.6666666666667</v>
      </c>
    </row>
    <row r="51" spans="2:22" ht="15" customHeight="1" thickTop="1" x14ac:dyDescent="0.15">
      <c r="B51" s="839"/>
      <c r="C51" s="84"/>
      <c r="D51" s="84"/>
      <c r="E51" s="84"/>
      <c r="F51" s="84"/>
      <c r="G51" s="178">
        <f t="shared" si="12"/>
        <v>0</v>
      </c>
      <c r="H51" s="190"/>
      <c r="I51" s="848" t="s">
        <v>232</v>
      </c>
      <c r="J51" s="286" t="s">
        <v>54</v>
      </c>
      <c r="K51" s="851">
        <v>2400</v>
      </c>
      <c r="L51" s="852"/>
      <c r="M51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4">
        <f>+K51/M51</f>
        <v>80</v>
      </c>
      <c r="O51" s="196"/>
      <c r="P51" s="815"/>
      <c r="Q51" s="811" t="s">
        <v>257</v>
      </c>
      <c r="R51" s="318" t="s">
        <v>256</v>
      </c>
      <c r="S51" s="286">
        <v>60000</v>
      </c>
      <c r="T51" s="319">
        <v>1</v>
      </c>
      <c r="U51" s="286">
        <v>30</v>
      </c>
      <c r="V51" s="313">
        <f>+S51*T51/U51</f>
        <v>2000</v>
      </c>
    </row>
    <row r="52" spans="2:22" ht="15" customHeight="1" x14ac:dyDescent="0.15">
      <c r="B52" s="839"/>
      <c r="C52" s="84"/>
      <c r="D52" s="84"/>
      <c r="E52" s="84"/>
      <c r="F52" s="84"/>
      <c r="G52" s="178">
        <f t="shared" si="12"/>
        <v>0</v>
      </c>
      <c r="H52" s="190"/>
      <c r="I52" s="849"/>
      <c r="J52" s="288" t="s">
        <v>54</v>
      </c>
      <c r="K52" s="853">
        <v>2400</v>
      </c>
      <c r="L52" s="854"/>
      <c r="M52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297">
        <f t="shared" ref="N52:N55" si="13">+K52/M52</f>
        <v>80</v>
      </c>
      <c r="O52" s="196"/>
      <c r="P52" s="815"/>
      <c r="Q52" s="812"/>
      <c r="R52" s="320" t="s">
        <v>243</v>
      </c>
      <c r="S52" s="288">
        <v>25000</v>
      </c>
      <c r="T52" s="317">
        <v>1</v>
      </c>
      <c r="U52" s="288">
        <v>30</v>
      </c>
      <c r="V52" s="297">
        <f>+S52*T52/U52</f>
        <v>833.33333333333337</v>
      </c>
    </row>
    <row r="53" spans="2:22" ht="15" customHeight="1" thickBot="1" x14ac:dyDescent="0.2">
      <c r="B53" s="841"/>
      <c r="C53" s="181" t="s">
        <v>159</v>
      </c>
      <c r="D53" s="182"/>
      <c r="E53" s="182"/>
      <c r="F53" s="182"/>
      <c r="G53" s="183">
        <f>SUM(G50:G52)</f>
        <v>24330</v>
      </c>
      <c r="H53" s="190"/>
      <c r="I53" s="849"/>
      <c r="J53" s="288" t="s">
        <v>56</v>
      </c>
      <c r="K53" s="855">
        <v>2400</v>
      </c>
      <c r="L53" s="856"/>
      <c r="M53" s="301">
        <f>'１　対象経営の概要，２　前提条件'!N7</f>
        <v>30</v>
      </c>
      <c r="N53" s="297">
        <f t="shared" si="13"/>
        <v>80</v>
      </c>
      <c r="O53" s="196"/>
      <c r="P53" s="815"/>
      <c r="Q53" s="812"/>
      <c r="R53" s="320"/>
      <c r="S53" s="288"/>
      <c r="T53" s="288"/>
      <c r="U53" s="187"/>
      <c r="V53" s="321"/>
    </row>
    <row r="54" spans="2:22" ht="13.9" customHeight="1" thickTop="1" x14ac:dyDescent="0.15">
      <c r="B54" s="838" t="s">
        <v>326</v>
      </c>
      <c r="C54" s="84" t="s">
        <v>498</v>
      </c>
      <c r="D54" s="403">
        <f>131*50/1000</f>
        <v>6.55</v>
      </c>
      <c r="E54" s="89" t="s">
        <v>286</v>
      </c>
      <c r="F54" s="84">
        <f>9650/3</f>
        <v>3216.6666666666665</v>
      </c>
      <c r="G54" s="177">
        <f>D54*F54</f>
        <v>21069.166666666664</v>
      </c>
      <c r="I54" s="849"/>
      <c r="J54" s="424" t="s">
        <v>243</v>
      </c>
      <c r="K54" s="857">
        <v>5000</v>
      </c>
      <c r="L54" s="858"/>
      <c r="M54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297">
        <f t="shared" si="13"/>
        <v>166.66666666666666</v>
      </c>
      <c r="O54" s="196"/>
      <c r="P54" s="815"/>
      <c r="Q54" s="812"/>
      <c r="R54" s="320"/>
      <c r="S54" s="288"/>
      <c r="T54" s="317"/>
      <c r="U54" s="288"/>
      <c r="V54" s="297"/>
    </row>
    <row r="55" spans="2:22" x14ac:dyDescent="0.15">
      <c r="B55" s="839"/>
      <c r="C55" s="84" t="s">
        <v>499</v>
      </c>
      <c r="D55" s="84">
        <v>1000</v>
      </c>
      <c r="E55" s="89" t="s">
        <v>292</v>
      </c>
      <c r="F55" s="84">
        <f>68710/10000</f>
        <v>6.8710000000000004</v>
      </c>
      <c r="G55" s="178">
        <f>D55*F55</f>
        <v>6871</v>
      </c>
      <c r="I55" s="849"/>
      <c r="J55" s="288" t="s">
        <v>456</v>
      </c>
      <c r="K55" s="855">
        <v>5900</v>
      </c>
      <c r="L55" s="856"/>
      <c r="M55" s="301">
        <v>30</v>
      </c>
      <c r="N55" s="315">
        <f t="shared" si="13"/>
        <v>196.66666666666666</v>
      </c>
      <c r="O55" s="196"/>
      <c r="P55" s="815"/>
      <c r="Q55" s="813"/>
      <c r="R55" s="320"/>
      <c r="S55" s="288"/>
      <c r="T55" s="288"/>
      <c r="U55" s="187"/>
      <c r="V55" s="321"/>
    </row>
    <row r="56" spans="2:22" x14ac:dyDescent="0.15">
      <c r="B56" s="839"/>
      <c r="C56" s="84"/>
      <c r="D56" s="84"/>
      <c r="E56" s="89"/>
      <c r="F56" s="84"/>
      <c r="G56" s="178">
        <f>D56*F56</f>
        <v>0</v>
      </c>
      <c r="I56" s="850"/>
      <c r="J56" s="290" t="s">
        <v>159</v>
      </c>
      <c r="K56" s="859"/>
      <c r="L56" s="860"/>
      <c r="M56" s="291"/>
      <c r="N56" s="294">
        <f>SUM(N51:N55)</f>
        <v>603.33333333333326</v>
      </c>
      <c r="O56" s="196"/>
      <c r="P56" s="816"/>
      <c r="Q56" s="324" t="s">
        <v>239</v>
      </c>
      <c r="R56" s="325"/>
      <c r="S56" s="325"/>
      <c r="T56" s="325"/>
      <c r="U56" s="325"/>
      <c r="V56" s="326">
        <f>SUM(V51:V55)</f>
        <v>2833.3333333333335</v>
      </c>
    </row>
    <row r="57" spans="2:22" ht="14.25" thickBot="1" x14ac:dyDescent="0.2">
      <c r="B57" s="840"/>
      <c r="C57" s="184" t="s">
        <v>160</v>
      </c>
      <c r="D57" s="185"/>
      <c r="E57" s="185"/>
      <c r="F57" s="185"/>
      <c r="G57" s="186">
        <f>SUM(G54:G56)</f>
        <v>27940.166666666664</v>
      </c>
      <c r="I57" s="817" t="s">
        <v>233</v>
      </c>
      <c r="J57" s="818"/>
      <c r="K57" s="843"/>
      <c r="L57" s="844"/>
      <c r="M57" s="201"/>
      <c r="N57" s="295">
        <f>SUM(N42,N46,N50,N56)</f>
        <v>3835.125</v>
      </c>
      <c r="O57" s="196"/>
      <c r="P57" s="809" t="s">
        <v>233</v>
      </c>
      <c r="Q57" s="810"/>
      <c r="R57" s="322"/>
      <c r="S57" s="322"/>
      <c r="T57" s="322"/>
      <c r="U57" s="322"/>
      <c r="V57" s="323">
        <f>SUM(V44,V50,V56)</f>
        <v>8425</v>
      </c>
    </row>
    <row r="58" spans="2:22" x14ac:dyDescent="0.15">
      <c r="O58" s="196"/>
      <c r="V58" s="85"/>
    </row>
    <row r="59" spans="2:22" x14ac:dyDescent="0.15">
      <c r="I59" s="196"/>
      <c r="J59" s="196"/>
      <c r="K59" s="196"/>
      <c r="L59" s="196"/>
      <c r="M59" s="196"/>
      <c r="N59" s="196"/>
      <c r="O59" s="196"/>
    </row>
    <row r="60" spans="2:22" x14ac:dyDescent="0.15">
      <c r="I60" s="196"/>
      <c r="J60" s="196"/>
      <c r="K60" s="196"/>
      <c r="L60" s="196"/>
      <c r="M60" s="196"/>
      <c r="N60" s="196"/>
      <c r="O60" s="196"/>
    </row>
    <row r="61" spans="2:22" x14ac:dyDescent="0.15">
      <c r="I61" s="196"/>
      <c r="J61" s="196"/>
      <c r="K61" s="196"/>
      <c r="L61" s="196"/>
      <c r="M61" s="196"/>
      <c r="N61" s="196"/>
      <c r="O61" s="196"/>
    </row>
    <row r="62" spans="2:22" x14ac:dyDescent="0.15">
      <c r="I62" s="196"/>
      <c r="J62" s="196"/>
      <c r="K62" s="196"/>
      <c r="L62" s="196"/>
      <c r="M62" s="196"/>
      <c r="N62" s="196"/>
      <c r="O62" s="196"/>
    </row>
    <row r="63" spans="2:22" x14ac:dyDescent="0.15">
      <c r="I63" s="196"/>
      <c r="J63" s="196"/>
      <c r="K63" s="196"/>
      <c r="L63" s="196"/>
      <c r="M63" s="196"/>
      <c r="N63" s="196"/>
      <c r="O63" s="196"/>
    </row>
    <row r="64" spans="2:22" x14ac:dyDescent="0.15">
      <c r="I64" s="196"/>
      <c r="J64" s="196"/>
      <c r="K64" s="196"/>
      <c r="L64" s="196"/>
      <c r="M64" s="196"/>
      <c r="N64" s="196"/>
      <c r="O64" s="196"/>
    </row>
    <row r="65" spans="9:15" x14ac:dyDescent="0.15">
      <c r="I65" s="196"/>
      <c r="J65" s="196"/>
      <c r="K65" s="196"/>
      <c r="L65" s="196"/>
      <c r="M65" s="196"/>
      <c r="N65" s="196"/>
      <c r="O65" s="196"/>
    </row>
    <row r="66" spans="9:15" x14ac:dyDescent="0.15">
      <c r="I66" s="196"/>
      <c r="J66" s="196"/>
      <c r="K66" s="196"/>
      <c r="L66" s="196"/>
      <c r="M66" s="196"/>
      <c r="N66" s="196"/>
      <c r="O66" s="196"/>
    </row>
    <row r="67" spans="9:15" x14ac:dyDescent="0.15">
      <c r="I67" s="196"/>
      <c r="J67" s="196"/>
      <c r="K67" s="196"/>
      <c r="L67" s="196"/>
      <c r="M67" s="196"/>
      <c r="N67" s="196"/>
      <c r="O67" s="196"/>
    </row>
    <row r="68" spans="9:15" x14ac:dyDescent="0.15">
      <c r="I68" s="196"/>
      <c r="J68" s="196"/>
      <c r="K68" s="196"/>
      <c r="L68" s="196"/>
      <c r="M68" s="196"/>
      <c r="N68" s="196"/>
      <c r="O68" s="196"/>
    </row>
    <row r="69" spans="9:15" x14ac:dyDescent="0.15">
      <c r="I69" s="196"/>
      <c r="J69" s="196"/>
      <c r="K69" s="196"/>
      <c r="L69" s="196"/>
      <c r="M69" s="196"/>
      <c r="N69" s="196"/>
      <c r="O69" s="196"/>
    </row>
    <row r="70" spans="9:15" x14ac:dyDescent="0.15">
      <c r="I70" s="196"/>
      <c r="J70" s="196"/>
      <c r="K70" s="196"/>
      <c r="L70" s="196"/>
      <c r="M70" s="196"/>
      <c r="N70" s="196"/>
      <c r="O70" s="196"/>
    </row>
    <row r="71" spans="9:15" x14ac:dyDescent="0.15">
      <c r="I71" s="196"/>
      <c r="J71" s="196"/>
      <c r="K71" s="196"/>
      <c r="L71" s="196"/>
      <c r="M71" s="196"/>
      <c r="N71" s="196"/>
      <c r="O71" s="196"/>
    </row>
    <row r="72" spans="9:15" x14ac:dyDescent="0.15">
      <c r="I72" s="196"/>
      <c r="J72" s="196"/>
      <c r="K72" s="196"/>
      <c r="L72" s="196"/>
      <c r="M72" s="196"/>
      <c r="N72" s="196"/>
      <c r="O72" s="196"/>
    </row>
    <row r="73" spans="9:15" x14ac:dyDescent="0.15">
      <c r="I73" s="196"/>
      <c r="J73" s="196"/>
      <c r="K73" s="196"/>
      <c r="L73" s="196"/>
      <c r="M73" s="196"/>
      <c r="N73" s="196"/>
      <c r="O73" s="196"/>
    </row>
    <row r="74" spans="9:15" x14ac:dyDescent="0.15">
      <c r="I74" s="196"/>
      <c r="J74" s="196"/>
      <c r="K74" s="196"/>
      <c r="L74" s="196"/>
      <c r="M74" s="196"/>
      <c r="N74" s="196"/>
      <c r="O74" s="196"/>
    </row>
    <row r="75" spans="9:15" x14ac:dyDescent="0.15">
      <c r="I75" s="196"/>
      <c r="J75" s="196"/>
      <c r="K75" s="196"/>
      <c r="L75" s="196"/>
      <c r="M75" s="196"/>
      <c r="N75" s="196"/>
      <c r="O75" s="196"/>
    </row>
    <row r="76" spans="9:15" x14ac:dyDescent="0.15">
      <c r="I76" s="196"/>
      <c r="J76" s="196"/>
      <c r="K76" s="196"/>
      <c r="L76" s="196"/>
      <c r="M76" s="196"/>
      <c r="N76" s="196"/>
      <c r="O76" s="196"/>
    </row>
    <row r="77" spans="9:15" x14ac:dyDescent="0.15">
      <c r="I77" s="196"/>
      <c r="J77" s="196"/>
      <c r="K77" s="196"/>
      <c r="L77" s="196"/>
      <c r="M77" s="196"/>
      <c r="N77" s="196"/>
      <c r="O77" s="196"/>
    </row>
    <row r="78" spans="9:15" x14ac:dyDescent="0.15">
      <c r="I78" s="196"/>
      <c r="J78" s="196"/>
      <c r="K78" s="196"/>
      <c r="L78" s="196"/>
      <c r="M78" s="196"/>
      <c r="N78" s="196"/>
      <c r="O78" s="196"/>
    </row>
    <row r="79" spans="9:15" x14ac:dyDescent="0.15">
      <c r="I79" s="196"/>
      <c r="J79" s="196"/>
      <c r="K79" s="196"/>
      <c r="L79" s="196"/>
      <c r="M79" s="196"/>
      <c r="N79" s="196"/>
      <c r="O79" s="196"/>
    </row>
    <row r="80" spans="9:15" x14ac:dyDescent="0.15">
      <c r="I80" s="196"/>
      <c r="J80" s="196"/>
      <c r="K80" s="196"/>
      <c r="L80" s="196"/>
      <c r="M80" s="196"/>
      <c r="N80" s="196"/>
      <c r="O80" s="196"/>
    </row>
    <row r="81" spans="2:15" x14ac:dyDescent="0.15">
      <c r="I81" s="196"/>
      <c r="J81" s="196"/>
      <c r="K81" s="196"/>
      <c r="L81" s="196"/>
      <c r="M81" s="196"/>
      <c r="N81" s="196"/>
      <c r="O81" s="196"/>
    </row>
    <row r="82" spans="2:15" x14ac:dyDescent="0.15">
      <c r="I82" s="196"/>
      <c r="J82" s="196"/>
      <c r="K82" s="196"/>
      <c r="L82" s="196"/>
      <c r="M82" s="196"/>
      <c r="N82" s="196"/>
      <c r="O82" s="196"/>
    </row>
    <row r="83" spans="2:15" x14ac:dyDescent="0.15">
      <c r="B83" s="189"/>
      <c r="C83" s="190"/>
      <c r="D83" s="190"/>
      <c r="E83" s="190"/>
      <c r="F83" s="190"/>
      <c r="I83" s="196"/>
      <c r="J83" s="196"/>
      <c r="K83" s="196"/>
      <c r="L83" s="196"/>
      <c r="M83" s="196"/>
      <c r="N83" s="196"/>
      <c r="O83" s="196"/>
    </row>
    <row r="84" spans="2:15" x14ac:dyDescent="0.15">
      <c r="B84" s="189"/>
      <c r="C84" s="190"/>
      <c r="D84" s="190"/>
      <c r="E84" s="190"/>
      <c r="F84" s="190"/>
      <c r="I84" s="196"/>
      <c r="J84" s="196"/>
      <c r="K84" s="196"/>
      <c r="L84" s="196"/>
      <c r="M84" s="196"/>
      <c r="N84" s="196"/>
      <c r="O84" s="196"/>
    </row>
    <row r="85" spans="2:15" x14ac:dyDescent="0.15">
      <c r="I85" s="196"/>
      <c r="J85" s="196"/>
      <c r="K85" s="196"/>
      <c r="L85" s="196"/>
      <c r="M85" s="196"/>
      <c r="N85" s="196"/>
      <c r="O85" s="196"/>
    </row>
    <row r="86" spans="2:15" x14ac:dyDescent="0.15">
      <c r="I86" s="196"/>
      <c r="J86" s="196"/>
      <c r="K86" s="196"/>
      <c r="L86" s="196"/>
      <c r="M86" s="196"/>
      <c r="N86" s="196"/>
      <c r="O86" s="196"/>
    </row>
    <row r="87" spans="2:15" x14ac:dyDescent="0.15">
      <c r="I87" s="196"/>
      <c r="J87" s="196"/>
      <c r="K87" s="196"/>
      <c r="L87" s="196"/>
      <c r="M87" s="196"/>
      <c r="N87" s="196"/>
      <c r="O87" s="196"/>
    </row>
    <row r="88" spans="2:15" x14ac:dyDescent="0.15">
      <c r="I88" s="196"/>
      <c r="J88" s="196"/>
      <c r="K88" s="196"/>
      <c r="L88" s="196"/>
      <c r="M88" s="196"/>
      <c r="N88" s="196"/>
      <c r="O88" s="196"/>
    </row>
    <row r="89" spans="2:15" x14ac:dyDescent="0.15">
      <c r="I89" s="196"/>
      <c r="J89" s="196"/>
      <c r="K89" s="196"/>
      <c r="L89" s="196"/>
      <c r="M89" s="196"/>
      <c r="N89" s="196"/>
      <c r="O89" s="196"/>
    </row>
    <row r="90" spans="2:15" x14ac:dyDescent="0.15">
      <c r="I90" s="196"/>
      <c r="J90" s="196"/>
      <c r="K90" s="196"/>
      <c r="L90" s="196"/>
      <c r="M90" s="196"/>
      <c r="N90" s="196"/>
      <c r="O90" s="196"/>
    </row>
    <row r="91" spans="2:15" x14ac:dyDescent="0.15">
      <c r="I91" s="196"/>
      <c r="J91" s="196"/>
      <c r="K91" s="196"/>
      <c r="L91" s="196"/>
      <c r="M91" s="196"/>
      <c r="N91" s="196"/>
      <c r="O91" s="196"/>
    </row>
    <row r="92" spans="2:15" x14ac:dyDescent="0.15">
      <c r="I92" s="196"/>
      <c r="J92" s="196"/>
      <c r="K92" s="196"/>
      <c r="L92" s="196"/>
      <c r="M92" s="196"/>
      <c r="N92" s="196"/>
      <c r="O92" s="196"/>
    </row>
    <row r="93" spans="2:15" x14ac:dyDescent="0.15">
      <c r="I93" s="196"/>
      <c r="J93" s="196"/>
      <c r="K93" s="196"/>
      <c r="L93" s="196"/>
      <c r="M93" s="196"/>
      <c r="N93" s="196"/>
      <c r="O93" s="196"/>
    </row>
    <row r="94" spans="2:15" x14ac:dyDescent="0.15">
      <c r="I94" s="196"/>
      <c r="J94" s="196"/>
      <c r="K94" s="196"/>
      <c r="L94" s="196"/>
      <c r="M94" s="196"/>
      <c r="N94" s="196"/>
      <c r="O94" s="196"/>
    </row>
    <row r="95" spans="2:15" x14ac:dyDescent="0.15">
      <c r="I95" s="196"/>
      <c r="J95" s="196"/>
      <c r="K95" s="196"/>
      <c r="L95" s="196"/>
      <c r="M95" s="196"/>
      <c r="N95" s="196"/>
      <c r="O95" s="196"/>
    </row>
    <row r="96" spans="2:15" x14ac:dyDescent="0.15">
      <c r="I96" s="196"/>
      <c r="J96" s="196"/>
      <c r="K96" s="196"/>
      <c r="L96" s="196"/>
      <c r="M96" s="196"/>
      <c r="N96" s="196"/>
      <c r="O96" s="196"/>
    </row>
    <row r="97" spans="9:15" x14ac:dyDescent="0.15">
      <c r="I97" s="196"/>
      <c r="J97" s="196"/>
      <c r="K97" s="196"/>
      <c r="L97" s="196"/>
      <c r="M97" s="196"/>
      <c r="N97" s="196"/>
      <c r="O97" s="196"/>
    </row>
    <row r="98" spans="9:15" x14ac:dyDescent="0.15">
      <c r="I98" s="196"/>
      <c r="J98" s="196"/>
      <c r="K98" s="196"/>
      <c r="L98" s="196"/>
      <c r="M98" s="196"/>
      <c r="N98" s="196"/>
      <c r="O98" s="196"/>
    </row>
    <row r="99" spans="9:15" x14ac:dyDescent="0.15">
      <c r="I99" s="196"/>
      <c r="J99" s="196"/>
      <c r="K99" s="196"/>
      <c r="L99" s="196"/>
      <c r="M99" s="196"/>
      <c r="N99" s="196"/>
      <c r="O99" s="196"/>
    </row>
    <row r="100" spans="9:15" x14ac:dyDescent="0.15">
      <c r="I100" s="196"/>
      <c r="J100" s="196"/>
      <c r="K100" s="196"/>
      <c r="L100" s="196"/>
      <c r="M100" s="196"/>
      <c r="N100" s="196"/>
      <c r="O100" s="196"/>
    </row>
    <row r="101" spans="9:15" x14ac:dyDescent="0.15">
      <c r="I101" s="196"/>
      <c r="J101" s="196"/>
      <c r="K101" s="196"/>
      <c r="L101" s="196"/>
      <c r="M101" s="196"/>
      <c r="N101" s="196"/>
      <c r="O101" s="196"/>
    </row>
    <row r="102" spans="9:15" x14ac:dyDescent="0.15">
      <c r="I102" s="196"/>
      <c r="J102" s="196"/>
      <c r="K102" s="196"/>
      <c r="L102" s="196"/>
      <c r="M102" s="196"/>
      <c r="N102" s="196"/>
      <c r="O102" s="196"/>
    </row>
    <row r="103" spans="9:15" x14ac:dyDescent="0.15">
      <c r="I103" s="196"/>
      <c r="J103" s="196"/>
      <c r="K103" s="196"/>
      <c r="L103" s="196"/>
      <c r="M103" s="196"/>
      <c r="N103" s="196"/>
      <c r="O103" s="196"/>
    </row>
    <row r="104" spans="9:15" x14ac:dyDescent="0.15">
      <c r="I104" s="196"/>
      <c r="J104" s="196"/>
      <c r="K104" s="196"/>
      <c r="L104" s="196"/>
      <c r="M104" s="196"/>
      <c r="N104" s="196"/>
      <c r="O104" s="196"/>
    </row>
    <row r="105" spans="9:15" x14ac:dyDescent="0.15">
      <c r="I105" s="196"/>
      <c r="J105" s="196"/>
      <c r="K105" s="196"/>
      <c r="L105" s="196"/>
      <c r="M105" s="196"/>
      <c r="N105" s="196"/>
      <c r="O105" s="196"/>
    </row>
    <row r="106" spans="9:15" x14ac:dyDescent="0.15">
      <c r="I106" s="196"/>
      <c r="J106" s="196"/>
      <c r="K106" s="196"/>
      <c r="L106" s="196"/>
      <c r="M106" s="196"/>
      <c r="N106" s="196"/>
      <c r="O106" s="196"/>
    </row>
    <row r="107" spans="9:15" x14ac:dyDescent="0.15">
      <c r="I107" s="196"/>
      <c r="J107" s="196"/>
      <c r="K107" s="196"/>
      <c r="L107" s="196"/>
      <c r="M107" s="196"/>
      <c r="N107" s="196"/>
      <c r="O107" s="196"/>
    </row>
    <row r="108" spans="9:15" x14ac:dyDescent="0.15">
      <c r="I108" s="196"/>
      <c r="J108" s="196"/>
      <c r="K108" s="196"/>
      <c r="L108" s="196"/>
      <c r="M108" s="196"/>
      <c r="N108" s="196"/>
      <c r="O108" s="196"/>
    </row>
    <row r="109" spans="9:15" x14ac:dyDescent="0.15">
      <c r="I109" s="196"/>
      <c r="J109" s="196"/>
      <c r="K109" s="196"/>
      <c r="L109" s="196"/>
      <c r="M109" s="196"/>
      <c r="N109" s="196"/>
      <c r="O109" s="196"/>
    </row>
    <row r="110" spans="9:15" x14ac:dyDescent="0.15">
      <c r="I110" s="196"/>
      <c r="J110" s="196"/>
      <c r="K110" s="196"/>
      <c r="L110" s="196"/>
      <c r="M110" s="196"/>
      <c r="N110" s="196"/>
      <c r="O110" s="196"/>
    </row>
    <row r="111" spans="9:15" x14ac:dyDescent="0.15">
      <c r="I111" s="196"/>
      <c r="J111" s="196"/>
      <c r="K111" s="196"/>
      <c r="L111" s="196"/>
      <c r="M111" s="196"/>
      <c r="N111" s="196"/>
      <c r="O111" s="196"/>
    </row>
    <row r="112" spans="9:15" x14ac:dyDescent="0.15">
      <c r="I112" s="196"/>
      <c r="J112" s="196"/>
      <c r="K112" s="196"/>
      <c r="L112" s="196"/>
      <c r="M112" s="196"/>
      <c r="N112" s="196"/>
      <c r="O112" s="196"/>
    </row>
    <row r="113" spans="9:15" x14ac:dyDescent="0.15">
      <c r="I113" s="196"/>
      <c r="J113" s="196"/>
      <c r="K113" s="196"/>
      <c r="L113" s="196"/>
      <c r="M113" s="196"/>
      <c r="N113" s="196"/>
      <c r="O113" s="196"/>
    </row>
    <row r="114" spans="9:15" x14ac:dyDescent="0.15">
      <c r="I114" s="196"/>
      <c r="J114" s="196"/>
      <c r="K114" s="196"/>
      <c r="L114" s="196"/>
      <c r="M114" s="196"/>
      <c r="N114" s="196"/>
      <c r="O114" s="196"/>
    </row>
    <row r="115" spans="9:15" x14ac:dyDescent="0.15">
      <c r="I115" s="196"/>
      <c r="J115" s="196"/>
      <c r="K115" s="196"/>
      <c r="L115" s="196"/>
      <c r="M115" s="196"/>
      <c r="N115" s="196"/>
      <c r="O115" s="196"/>
    </row>
    <row r="116" spans="9:15" x14ac:dyDescent="0.15">
      <c r="I116" s="196"/>
      <c r="J116" s="196"/>
      <c r="K116" s="196"/>
      <c r="L116" s="196"/>
      <c r="M116" s="196"/>
      <c r="N116" s="196"/>
      <c r="O116" s="196"/>
    </row>
    <row r="117" spans="9:15" x14ac:dyDescent="0.15">
      <c r="I117" s="196"/>
      <c r="J117" s="196"/>
      <c r="K117" s="196"/>
      <c r="L117" s="196"/>
      <c r="M117" s="196"/>
      <c r="N117" s="196"/>
      <c r="O117" s="196"/>
    </row>
    <row r="118" spans="9:15" x14ac:dyDescent="0.15">
      <c r="I118" s="196"/>
      <c r="J118" s="196"/>
      <c r="K118" s="196"/>
      <c r="L118" s="196"/>
      <c r="M118" s="196"/>
      <c r="N118" s="196"/>
      <c r="O118" s="196"/>
    </row>
    <row r="119" spans="9:15" x14ac:dyDescent="0.15">
      <c r="I119" s="196"/>
      <c r="J119" s="196"/>
      <c r="K119" s="196"/>
      <c r="L119" s="196"/>
      <c r="M119" s="196"/>
      <c r="N119" s="196"/>
      <c r="O119" s="196"/>
    </row>
    <row r="120" spans="9:15" x14ac:dyDescent="0.15">
      <c r="I120" s="196"/>
      <c r="J120" s="196"/>
      <c r="K120" s="196"/>
      <c r="L120" s="196"/>
      <c r="M120" s="196"/>
      <c r="N120" s="196"/>
      <c r="O120" s="196"/>
    </row>
    <row r="121" spans="9:15" x14ac:dyDescent="0.15">
      <c r="I121" s="196"/>
      <c r="J121" s="196"/>
      <c r="K121" s="196"/>
      <c r="L121" s="196"/>
      <c r="M121" s="196"/>
      <c r="N121" s="196"/>
      <c r="O121" s="196"/>
    </row>
    <row r="122" spans="9:15" x14ac:dyDescent="0.15">
      <c r="I122" s="196"/>
      <c r="J122" s="196"/>
      <c r="K122" s="196"/>
      <c r="L122" s="196"/>
      <c r="M122" s="196"/>
      <c r="N122" s="196"/>
      <c r="O122" s="196"/>
    </row>
    <row r="123" spans="9:15" x14ac:dyDescent="0.15">
      <c r="I123" s="196"/>
      <c r="J123" s="196"/>
      <c r="K123" s="196"/>
      <c r="L123" s="196"/>
      <c r="M123" s="196"/>
      <c r="N123" s="196"/>
      <c r="O123" s="196"/>
    </row>
    <row r="124" spans="9:15" x14ac:dyDescent="0.15">
      <c r="I124" s="196"/>
      <c r="J124" s="196"/>
      <c r="K124" s="196"/>
      <c r="L124" s="196"/>
      <c r="M124" s="196"/>
      <c r="N124" s="196"/>
      <c r="O124" s="196"/>
    </row>
    <row r="125" spans="9:15" x14ac:dyDescent="0.15">
      <c r="I125" s="196"/>
      <c r="J125" s="196"/>
      <c r="K125" s="196"/>
      <c r="L125" s="196"/>
      <c r="M125" s="196"/>
      <c r="N125" s="196"/>
      <c r="O125" s="196"/>
    </row>
    <row r="126" spans="9:15" x14ac:dyDescent="0.15">
      <c r="I126" s="196"/>
      <c r="J126" s="196"/>
      <c r="K126" s="196"/>
      <c r="L126" s="196"/>
      <c r="M126" s="196"/>
      <c r="N126" s="196"/>
      <c r="O126" s="196"/>
    </row>
    <row r="127" spans="9:15" x14ac:dyDescent="0.15">
      <c r="I127" s="196"/>
      <c r="J127" s="196"/>
      <c r="K127" s="196"/>
      <c r="L127" s="196"/>
      <c r="M127" s="196"/>
      <c r="N127" s="196"/>
      <c r="O127" s="196"/>
    </row>
    <row r="128" spans="9:15" x14ac:dyDescent="0.15">
      <c r="I128" s="196"/>
      <c r="J128" s="196"/>
      <c r="K128" s="196"/>
      <c r="L128" s="196"/>
      <c r="M128" s="196"/>
      <c r="N128" s="196"/>
      <c r="O128" s="196"/>
    </row>
    <row r="129" spans="9:15" x14ac:dyDescent="0.15">
      <c r="I129" s="196"/>
      <c r="J129" s="196"/>
      <c r="K129" s="196"/>
      <c r="L129" s="196"/>
      <c r="M129" s="196"/>
      <c r="N129" s="196"/>
      <c r="O129" s="196"/>
    </row>
    <row r="130" spans="9:15" x14ac:dyDescent="0.15">
      <c r="I130" s="196"/>
      <c r="J130" s="196"/>
      <c r="K130" s="196"/>
      <c r="L130" s="196"/>
      <c r="M130" s="196"/>
      <c r="N130" s="196"/>
      <c r="O130" s="196"/>
    </row>
    <row r="131" spans="9:15" x14ac:dyDescent="0.15">
      <c r="I131" s="196"/>
      <c r="J131" s="196"/>
      <c r="K131" s="196"/>
      <c r="L131" s="196"/>
      <c r="M131" s="196"/>
      <c r="N131" s="196"/>
      <c r="O131" s="196"/>
    </row>
    <row r="132" spans="9:15" x14ac:dyDescent="0.15">
      <c r="I132" s="196"/>
      <c r="J132" s="196"/>
      <c r="K132" s="196"/>
      <c r="L132" s="196"/>
      <c r="M132" s="196"/>
      <c r="N132" s="196"/>
      <c r="O132" s="196"/>
    </row>
    <row r="133" spans="9:15" x14ac:dyDescent="0.15">
      <c r="I133" s="196"/>
      <c r="J133" s="196"/>
      <c r="K133" s="196"/>
      <c r="L133" s="196"/>
      <c r="M133" s="196"/>
      <c r="N133" s="196"/>
      <c r="O133" s="196"/>
    </row>
    <row r="134" spans="9:15" x14ac:dyDescent="0.15">
      <c r="I134" s="196"/>
      <c r="J134" s="196"/>
      <c r="K134" s="196"/>
      <c r="L134" s="196"/>
      <c r="M134" s="196"/>
      <c r="N134" s="196"/>
      <c r="O134" s="196"/>
    </row>
    <row r="135" spans="9:15" x14ac:dyDescent="0.15">
      <c r="I135" s="196"/>
      <c r="J135" s="196"/>
      <c r="K135" s="196"/>
      <c r="L135" s="196"/>
      <c r="M135" s="196"/>
      <c r="N135" s="196"/>
      <c r="O135" s="196"/>
    </row>
    <row r="136" spans="9:15" x14ac:dyDescent="0.15">
      <c r="I136" s="196"/>
      <c r="J136" s="196"/>
      <c r="K136" s="196"/>
      <c r="L136" s="196"/>
      <c r="M136" s="196"/>
      <c r="N136" s="196"/>
      <c r="O136" s="196"/>
    </row>
    <row r="137" spans="9:15" x14ac:dyDescent="0.15">
      <c r="I137" s="196"/>
      <c r="J137" s="196"/>
      <c r="K137" s="196"/>
      <c r="L137" s="196"/>
      <c r="M137" s="196"/>
      <c r="N137" s="196"/>
      <c r="O137" s="196"/>
    </row>
    <row r="138" spans="9:15" x14ac:dyDescent="0.15">
      <c r="I138" s="196"/>
      <c r="J138" s="196"/>
      <c r="K138" s="196"/>
      <c r="L138" s="196"/>
      <c r="M138" s="196"/>
      <c r="N138" s="196"/>
      <c r="O138" s="196"/>
    </row>
    <row r="139" spans="9:15" x14ac:dyDescent="0.15">
      <c r="I139" s="196"/>
      <c r="J139" s="196"/>
      <c r="K139" s="196"/>
      <c r="L139" s="196"/>
      <c r="M139" s="196"/>
      <c r="N139" s="196"/>
      <c r="O139" s="196"/>
    </row>
    <row r="140" spans="9:15" x14ac:dyDescent="0.15">
      <c r="I140" s="196"/>
      <c r="J140" s="196"/>
      <c r="K140" s="196"/>
      <c r="L140" s="196"/>
      <c r="M140" s="196"/>
      <c r="N140" s="196"/>
    </row>
    <row r="141" spans="9:15" x14ac:dyDescent="0.15">
      <c r="I141" s="196"/>
      <c r="J141" s="196"/>
      <c r="K141" s="196"/>
      <c r="L141" s="196"/>
      <c r="M141" s="196"/>
      <c r="N141" s="196"/>
    </row>
    <row r="142" spans="9:15" x14ac:dyDescent="0.15">
      <c r="I142" s="196"/>
      <c r="J142" s="196"/>
      <c r="K142" s="196"/>
      <c r="L142" s="196"/>
      <c r="M142" s="196"/>
      <c r="N142" s="196"/>
    </row>
    <row r="143" spans="9:15" x14ac:dyDescent="0.15">
      <c r="I143" s="196"/>
      <c r="J143" s="196"/>
      <c r="K143" s="196"/>
      <c r="L143" s="196"/>
      <c r="M143" s="196"/>
      <c r="N143" s="196"/>
    </row>
    <row r="144" spans="9:15" x14ac:dyDescent="0.15">
      <c r="I144" s="196"/>
      <c r="J144" s="196"/>
      <c r="K144" s="196"/>
      <c r="L144" s="196"/>
      <c r="M144" s="196"/>
      <c r="N144" s="196"/>
    </row>
    <row r="145" spans="9:14" x14ac:dyDescent="0.15">
      <c r="I145" s="196"/>
      <c r="J145" s="196"/>
      <c r="K145" s="196"/>
      <c r="L145" s="196"/>
      <c r="M145" s="196"/>
      <c r="N145" s="196"/>
    </row>
    <row r="146" spans="9:14" x14ac:dyDescent="0.15">
      <c r="I146" s="196"/>
      <c r="J146" s="196"/>
      <c r="K146" s="196"/>
      <c r="L146" s="196"/>
      <c r="M146" s="196"/>
      <c r="N146" s="196"/>
    </row>
    <row r="147" spans="9:14" x14ac:dyDescent="0.15">
      <c r="I147" s="196"/>
      <c r="J147" s="196"/>
      <c r="K147" s="196"/>
      <c r="L147" s="196"/>
      <c r="M147" s="196"/>
      <c r="N147" s="196"/>
    </row>
    <row r="148" spans="9:14" x14ac:dyDescent="0.15">
      <c r="I148" s="196"/>
      <c r="J148" s="196"/>
      <c r="K148" s="196"/>
      <c r="L148" s="196"/>
      <c r="M148" s="196"/>
      <c r="N148" s="196"/>
    </row>
    <row r="149" spans="9:14" x14ac:dyDescent="0.15">
      <c r="I149" s="196"/>
      <c r="J149" s="196"/>
      <c r="K149" s="196"/>
      <c r="L149" s="196"/>
      <c r="M149" s="196"/>
      <c r="N149" s="196"/>
    </row>
    <row r="150" spans="9:14" x14ac:dyDescent="0.15">
      <c r="I150" s="196"/>
      <c r="J150" s="196"/>
      <c r="K150" s="196"/>
      <c r="L150" s="196"/>
      <c r="M150" s="196"/>
      <c r="N150" s="196"/>
    </row>
    <row r="151" spans="9:14" x14ac:dyDescent="0.15">
      <c r="I151" s="196"/>
      <c r="J151" s="196"/>
      <c r="K151" s="196"/>
      <c r="L151" s="196"/>
      <c r="M151" s="196"/>
      <c r="N151" s="196"/>
    </row>
    <row r="152" spans="9:14" x14ac:dyDescent="0.15">
      <c r="I152" s="196"/>
      <c r="J152" s="196"/>
      <c r="K152" s="196"/>
      <c r="L152" s="196"/>
      <c r="M152" s="196"/>
      <c r="N152" s="196"/>
    </row>
    <row r="153" spans="9:14" x14ac:dyDescent="0.15">
      <c r="I153" s="196"/>
      <c r="J153" s="196"/>
      <c r="K153" s="196"/>
      <c r="L153" s="196"/>
      <c r="M153" s="196"/>
      <c r="N153" s="196"/>
    </row>
    <row r="154" spans="9:14" x14ac:dyDescent="0.15">
      <c r="I154" s="196"/>
      <c r="J154" s="196"/>
      <c r="K154" s="196"/>
      <c r="L154" s="196"/>
      <c r="M154" s="196"/>
      <c r="N154" s="196"/>
    </row>
    <row r="155" spans="9:14" x14ac:dyDescent="0.15">
      <c r="J155" s="196"/>
      <c r="K155" s="196"/>
      <c r="L155" s="196"/>
      <c r="M155" s="196"/>
      <c r="N155" s="196"/>
    </row>
    <row r="156" spans="9:14" x14ac:dyDescent="0.15">
      <c r="J156" s="196"/>
      <c r="K156" s="196"/>
      <c r="L156" s="196"/>
      <c r="M156" s="196"/>
      <c r="N156" s="196"/>
    </row>
    <row r="173" spans="15:15" x14ac:dyDescent="0.15">
      <c r="O173" s="196"/>
    </row>
    <row r="174" spans="15:15" x14ac:dyDescent="0.15">
      <c r="O174" s="196"/>
    </row>
    <row r="175" spans="15:15" x14ac:dyDescent="0.15">
      <c r="O175" s="196"/>
    </row>
    <row r="176" spans="15:15" x14ac:dyDescent="0.15">
      <c r="O176" s="196"/>
    </row>
    <row r="177" spans="15:15" x14ac:dyDescent="0.15">
      <c r="O177" s="196"/>
    </row>
    <row r="178" spans="15:15" x14ac:dyDescent="0.15">
      <c r="O178" s="196"/>
    </row>
    <row r="179" spans="15:15" x14ac:dyDescent="0.15">
      <c r="O179" s="196"/>
    </row>
    <row r="180" spans="15:15" x14ac:dyDescent="0.15">
      <c r="O180" s="196"/>
    </row>
    <row r="181" spans="15:15" x14ac:dyDescent="0.15">
      <c r="O181" s="196"/>
    </row>
    <row r="182" spans="15:15" x14ac:dyDescent="0.15">
      <c r="O182" s="196"/>
    </row>
    <row r="183" spans="15:15" x14ac:dyDescent="0.15">
      <c r="O183" s="196"/>
    </row>
    <row r="184" spans="15:15" x14ac:dyDescent="0.15">
      <c r="O184" s="196"/>
    </row>
    <row r="185" spans="15:15" x14ac:dyDescent="0.15">
      <c r="O185" s="196"/>
    </row>
    <row r="186" spans="15:15" x14ac:dyDescent="0.15">
      <c r="O186" s="196"/>
    </row>
    <row r="187" spans="15:15" x14ac:dyDescent="0.15">
      <c r="O187" s="196"/>
    </row>
    <row r="188" spans="15:15" x14ac:dyDescent="0.15">
      <c r="O188" s="196"/>
    </row>
    <row r="189" spans="15:15" x14ac:dyDescent="0.15">
      <c r="O189" s="196"/>
    </row>
    <row r="190" spans="15:15" x14ac:dyDescent="0.15">
      <c r="O190" s="196"/>
    </row>
    <row r="191" spans="15:15" x14ac:dyDescent="0.15">
      <c r="O191" s="196"/>
    </row>
    <row r="192" spans="15:15" x14ac:dyDescent="0.15">
      <c r="O192" s="196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" right="0" top="0.78740157480314965" bottom="0" header="0.39370078740157483" footer="0.39370078740157483"/>
  <pageSetup paperSize="9" scale="69" orientation="landscape" r:id="rId1"/>
  <headerFooter alignWithMargins="0">
    <oddHeader>&amp;R&amp;A</oddHeader>
  </headerFooter>
  <ignoredErrors>
    <ignoredError sqref="G3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W192"/>
  <sheetViews>
    <sheetView zoomScale="75" zoomScaleNormal="75" workbookViewId="0"/>
  </sheetViews>
  <sheetFormatPr defaultRowHeight="13.5" x14ac:dyDescent="0.15"/>
  <cols>
    <col min="1" max="1" width="1.625" style="85" customWidth="1"/>
    <col min="2" max="2" width="3.625" style="85" customWidth="1"/>
    <col min="3" max="3" width="19.5" style="85" customWidth="1"/>
    <col min="4" max="7" width="8.625" style="85" customWidth="1"/>
    <col min="8" max="8" width="2.375" style="196" customWidth="1"/>
    <col min="9" max="9" width="3.625" style="85" customWidth="1"/>
    <col min="10" max="10" width="15.625" style="85" customWidth="1"/>
    <col min="11" max="14" width="8.625" style="85" customWidth="1"/>
    <col min="15" max="15" width="3.5" style="85" customWidth="1"/>
    <col min="16" max="16" width="15.625" style="167" customWidth="1"/>
    <col min="17" max="17" width="8.625" style="85" customWidth="1"/>
    <col min="18" max="18" width="8.625" style="86" customWidth="1"/>
    <col min="19" max="21" width="8.625" style="85" customWidth="1"/>
    <col min="22" max="22" width="10.625" style="86" customWidth="1"/>
    <col min="23" max="262" width="8.875" style="85"/>
    <col min="263" max="263" width="1.375" style="85" customWidth="1"/>
    <col min="264" max="264" width="3.5" style="85" customWidth="1"/>
    <col min="265" max="265" width="22.125" style="85" customWidth="1"/>
    <col min="266" max="266" width="9.75" style="85" customWidth="1"/>
    <col min="267" max="267" width="7.375" style="85" customWidth="1"/>
    <col min="268" max="268" width="8.875" style="85"/>
    <col min="269" max="269" width="9.25" style="85" customWidth="1"/>
    <col min="270" max="270" width="3.5" style="85" customWidth="1"/>
    <col min="271" max="272" width="12.625" style="85" customWidth="1"/>
    <col min="273" max="273" width="8.875" style="85"/>
    <col min="274" max="274" width="7.75" style="85" customWidth="1"/>
    <col min="275" max="275" width="13.125" style="85" customWidth="1"/>
    <col min="276" max="276" width="6.125" style="85" customWidth="1"/>
    <col min="277" max="277" width="9.75" style="85" customWidth="1"/>
    <col min="278" max="278" width="1.375" style="85" customWidth="1"/>
    <col min="279" max="518" width="8.875" style="85"/>
    <col min="519" max="519" width="1.375" style="85" customWidth="1"/>
    <col min="520" max="520" width="3.5" style="85" customWidth="1"/>
    <col min="521" max="521" width="22.125" style="85" customWidth="1"/>
    <col min="522" max="522" width="9.75" style="85" customWidth="1"/>
    <col min="523" max="523" width="7.375" style="85" customWidth="1"/>
    <col min="524" max="524" width="8.875" style="85"/>
    <col min="525" max="525" width="9.25" style="85" customWidth="1"/>
    <col min="526" max="526" width="3.5" style="85" customWidth="1"/>
    <col min="527" max="528" width="12.625" style="85" customWidth="1"/>
    <col min="529" max="529" width="8.875" style="85"/>
    <col min="530" max="530" width="7.75" style="85" customWidth="1"/>
    <col min="531" max="531" width="13.125" style="85" customWidth="1"/>
    <col min="532" max="532" width="6.125" style="85" customWidth="1"/>
    <col min="533" max="533" width="9.75" style="85" customWidth="1"/>
    <col min="534" max="534" width="1.375" style="85" customWidth="1"/>
    <col min="535" max="774" width="8.875" style="85"/>
    <col min="775" max="775" width="1.375" style="85" customWidth="1"/>
    <col min="776" max="776" width="3.5" style="85" customWidth="1"/>
    <col min="777" max="777" width="22.125" style="85" customWidth="1"/>
    <col min="778" max="778" width="9.75" style="85" customWidth="1"/>
    <col min="779" max="779" width="7.375" style="85" customWidth="1"/>
    <col min="780" max="780" width="8.875" style="85"/>
    <col min="781" max="781" width="9.25" style="85" customWidth="1"/>
    <col min="782" max="782" width="3.5" style="85" customWidth="1"/>
    <col min="783" max="784" width="12.625" style="85" customWidth="1"/>
    <col min="785" max="785" width="8.875" style="85"/>
    <col min="786" max="786" width="7.75" style="85" customWidth="1"/>
    <col min="787" max="787" width="13.125" style="85" customWidth="1"/>
    <col min="788" max="788" width="6.125" style="85" customWidth="1"/>
    <col min="789" max="789" width="9.75" style="85" customWidth="1"/>
    <col min="790" max="790" width="1.375" style="85" customWidth="1"/>
    <col min="791" max="1030" width="8.875" style="85"/>
    <col min="1031" max="1031" width="1.375" style="85" customWidth="1"/>
    <col min="1032" max="1032" width="3.5" style="85" customWidth="1"/>
    <col min="1033" max="1033" width="22.125" style="85" customWidth="1"/>
    <col min="1034" max="1034" width="9.75" style="85" customWidth="1"/>
    <col min="1035" max="1035" width="7.375" style="85" customWidth="1"/>
    <col min="1036" max="1036" width="8.875" style="85"/>
    <col min="1037" max="1037" width="9.25" style="85" customWidth="1"/>
    <col min="1038" max="1038" width="3.5" style="85" customWidth="1"/>
    <col min="1039" max="1040" width="12.625" style="85" customWidth="1"/>
    <col min="1041" max="1041" width="8.875" style="85"/>
    <col min="1042" max="1042" width="7.75" style="85" customWidth="1"/>
    <col min="1043" max="1043" width="13.125" style="85" customWidth="1"/>
    <col min="1044" max="1044" width="6.125" style="85" customWidth="1"/>
    <col min="1045" max="1045" width="9.75" style="85" customWidth="1"/>
    <col min="1046" max="1046" width="1.375" style="85" customWidth="1"/>
    <col min="1047" max="1286" width="8.875" style="85"/>
    <col min="1287" max="1287" width="1.375" style="85" customWidth="1"/>
    <col min="1288" max="1288" width="3.5" style="85" customWidth="1"/>
    <col min="1289" max="1289" width="22.125" style="85" customWidth="1"/>
    <col min="1290" max="1290" width="9.75" style="85" customWidth="1"/>
    <col min="1291" max="1291" width="7.375" style="85" customWidth="1"/>
    <col min="1292" max="1292" width="8.875" style="85"/>
    <col min="1293" max="1293" width="9.25" style="85" customWidth="1"/>
    <col min="1294" max="1294" width="3.5" style="85" customWidth="1"/>
    <col min="1295" max="1296" width="12.625" style="85" customWidth="1"/>
    <col min="1297" max="1297" width="8.875" style="85"/>
    <col min="1298" max="1298" width="7.75" style="85" customWidth="1"/>
    <col min="1299" max="1299" width="13.125" style="85" customWidth="1"/>
    <col min="1300" max="1300" width="6.125" style="85" customWidth="1"/>
    <col min="1301" max="1301" width="9.75" style="85" customWidth="1"/>
    <col min="1302" max="1302" width="1.375" style="85" customWidth="1"/>
    <col min="1303" max="1542" width="8.875" style="85"/>
    <col min="1543" max="1543" width="1.375" style="85" customWidth="1"/>
    <col min="1544" max="1544" width="3.5" style="85" customWidth="1"/>
    <col min="1545" max="1545" width="22.125" style="85" customWidth="1"/>
    <col min="1546" max="1546" width="9.75" style="85" customWidth="1"/>
    <col min="1547" max="1547" width="7.375" style="85" customWidth="1"/>
    <col min="1548" max="1548" width="8.875" style="85"/>
    <col min="1549" max="1549" width="9.25" style="85" customWidth="1"/>
    <col min="1550" max="1550" width="3.5" style="85" customWidth="1"/>
    <col min="1551" max="1552" width="12.625" style="85" customWidth="1"/>
    <col min="1553" max="1553" width="8.875" style="85"/>
    <col min="1554" max="1554" width="7.75" style="85" customWidth="1"/>
    <col min="1555" max="1555" width="13.125" style="85" customWidth="1"/>
    <col min="1556" max="1556" width="6.125" style="85" customWidth="1"/>
    <col min="1557" max="1557" width="9.75" style="85" customWidth="1"/>
    <col min="1558" max="1558" width="1.375" style="85" customWidth="1"/>
    <col min="1559" max="1798" width="8.875" style="85"/>
    <col min="1799" max="1799" width="1.375" style="85" customWidth="1"/>
    <col min="1800" max="1800" width="3.5" style="85" customWidth="1"/>
    <col min="1801" max="1801" width="22.125" style="85" customWidth="1"/>
    <col min="1802" max="1802" width="9.75" style="85" customWidth="1"/>
    <col min="1803" max="1803" width="7.375" style="85" customWidth="1"/>
    <col min="1804" max="1804" width="8.875" style="85"/>
    <col min="1805" max="1805" width="9.25" style="85" customWidth="1"/>
    <col min="1806" max="1806" width="3.5" style="85" customWidth="1"/>
    <col min="1807" max="1808" width="12.625" style="85" customWidth="1"/>
    <col min="1809" max="1809" width="8.875" style="85"/>
    <col min="1810" max="1810" width="7.75" style="85" customWidth="1"/>
    <col min="1811" max="1811" width="13.125" style="85" customWidth="1"/>
    <col min="1812" max="1812" width="6.125" style="85" customWidth="1"/>
    <col min="1813" max="1813" width="9.75" style="85" customWidth="1"/>
    <col min="1814" max="1814" width="1.375" style="85" customWidth="1"/>
    <col min="1815" max="2054" width="8.875" style="85"/>
    <col min="2055" max="2055" width="1.375" style="85" customWidth="1"/>
    <col min="2056" max="2056" width="3.5" style="85" customWidth="1"/>
    <col min="2057" max="2057" width="22.125" style="85" customWidth="1"/>
    <col min="2058" max="2058" width="9.75" style="85" customWidth="1"/>
    <col min="2059" max="2059" width="7.375" style="85" customWidth="1"/>
    <col min="2060" max="2060" width="8.875" style="85"/>
    <col min="2061" max="2061" width="9.25" style="85" customWidth="1"/>
    <col min="2062" max="2062" width="3.5" style="85" customWidth="1"/>
    <col min="2063" max="2064" width="12.625" style="85" customWidth="1"/>
    <col min="2065" max="2065" width="8.875" style="85"/>
    <col min="2066" max="2066" width="7.75" style="85" customWidth="1"/>
    <col min="2067" max="2067" width="13.125" style="85" customWidth="1"/>
    <col min="2068" max="2068" width="6.125" style="85" customWidth="1"/>
    <col min="2069" max="2069" width="9.75" style="85" customWidth="1"/>
    <col min="2070" max="2070" width="1.375" style="85" customWidth="1"/>
    <col min="2071" max="2310" width="8.875" style="85"/>
    <col min="2311" max="2311" width="1.375" style="85" customWidth="1"/>
    <col min="2312" max="2312" width="3.5" style="85" customWidth="1"/>
    <col min="2313" max="2313" width="22.125" style="85" customWidth="1"/>
    <col min="2314" max="2314" width="9.75" style="85" customWidth="1"/>
    <col min="2315" max="2315" width="7.375" style="85" customWidth="1"/>
    <col min="2316" max="2316" width="8.875" style="85"/>
    <col min="2317" max="2317" width="9.25" style="85" customWidth="1"/>
    <col min="2318" max="2318" width="3.5" style="85" customWidth="1"/>
    <col min="2319" max="2320" width="12.625" style="85" customWidth="1"/>
    <col min="2321" max="2321" width="8.875" style="85"/>
    <col min="2322" max="2322" width="7.75" style="85" customWidth="1"/>
    <col min="2323" max="2323" width="13.125" style="85" customWidth="1"/>
    <col min="2324" max="2324" width="6.125" style="85" customWidth="1"/>
    <col min="2325" max="2325" width="9.75" style="85" customWidth="1"/>
    <col min="2326" max="2326" width="1.375" style="85" customWidth="1"/>
    <col min="2327" max="2566" width="8.875" style="85"/>
    <col min="2567" max="2567" width="1.375" style="85" customWidth="1"/>
    <col min="2568" max="2568" width="3.5" style="85" customWidth="1"/>
    <col min="2569" max="2569" width="22.125" style="85" customWidth="1"/>
    <col min="2570" max="2570" width="9.75" style="85" customWidth="1"/>
    <col min="2571" max="2571" width="7.375" style="85" customWidth="1"/>
    <col min="2572" max="2572" width="8.875" style="85"/>
    <col min="2573" max="2573" width="9.25" style="85" customWidth="1"/>
    <col min="2574" max="2574" width="3.5" style="85" customWidth="1"/>
    <col min="2575" max="2576" width="12.625" style="85" customWidth="1"/>
    <col min="2577" max="2577" width="8.875" style="85"/>
    <col min="2578" max="2578" width="7.75" style="85" customWidth="1"/>
    <col min="2579" max="2579" width="13.125" style="85" customWidth="1"/>
    <col min="2580" max="2580" width="6.125" style="85" customWidth="1"/>
    <col min="2581" max="2581" width="9.75" style="85" customWidth="1"/>
    <col min="2582" max="2582" width="1.375" style="85" customWidth="1"/>
    <col min="2583" max="2822" width="8.875" style="85"/>
    <col min="2823" max="2823" width="1.375" style="85" customWidth="1"/>
    <col min="2824" max="2824" width="3.5" style="85" customWidth="1"/>
    <col min="2825" max="2825" width="22.125" style="85" customWidth="1"/>
    <col min="2826" max="2826" width="9.75" style="85" customWidth="1"/>
    <col min="2827" max="2827" width="7.375" style="85" customWidth="1"/>
    <col min="2828" max="2828" width="8.875" style="85"/>
    <col min="2829" max="2829" width="9.25" style="85" customWidth="1"/>
    <col min="2830" max="2830" width="3.5" style="85" customWidth="1"/>
    <col min="2831" max="2832" width="12.625" style="85" customWidth="1"/>
    <col min="2833" max="2833" width="8.875" style="85"/>
    <col min="2834" max="2834" width="7.75" style="85" customWidth="1"/>
    <col min="2835" max="2835" width="13.125" style="85" customWidth="1"/>
    <col min="2836" max="2836" width="6.125" style="85" customWidth="1"/>
    <col min="2837" max="2837" width="9.75" style="85" customWidth="1"/>
    <col min="2838" max="2838" width="1.375" style="85" customWidth="1"/>
    <col min="2839" max="3078" width="8.875" style="85"/>
    <col min="3079" max="3079" width="1.375" style="85" customWidth="1"/>
    <col min="3080" max="3080" width="3.5" style="85" customWidth="1"/>
    <col min="3081" max="3081" width="22.125" style="85" customWidth="1"/>
    <col min="3082" max="3082" width="9.75" style="85" customWidth="1"/>
    <col min="3083" max="3083" width="7.375" style="85" customWidth="1"/>
    <col min="3084" max="3084" width="8.875" style="85"/>
    <col min="3085" max="3085" width="9.25" style="85" customWidth="1"/>
    <col min="3086" max="3086" width="3.5" style="85" customWidth="1"/>
    <col min="3087" max="3088" width="12.625" style="85" customWidth="1"/>
    <col min="3089" max="3089" width="8.875" style="85"/>
    <col min="3090" max="3090" width="7.75" style="85" customWidth="1"/>
    <col min="3091" max="3091" width="13.125" style="85" customWidth="1"/>
    <col min="3092" max="3092" width="6.125" style="85" customWidth="1"/>
    <col min="3093" max="3093" width="9.75" style="85" customWidth="1"/>
    <col min="3094" max="3094" width="1.375" style="85" customWidth="1"/>
    <col min="3095" max="3334" width="8.875" style="85"/>
    <col min="3335" max="3335" width="1.375" style="85" customWidth="1"/>
    <col min="3336" max="3336" width="3.5" style="85" customWidth="1"/>
    <col min="3337" max="3337" width="22.125" style="85" customWidth="1"/>
    <col min="3338" max="3338" width="9.75" style="85" customWidth="1"/>
    <col min="3339" max="3339" width="7.375" style="85" customWidth="1"/>
    <col min="3340" max="3340" width="8.875" style="85"/>
    <col min="3341" max="3341" width="9.25" style="85" customWidth="1"/>
    <col min="3342" max="3342" width="3.5" style="85" customWidth="1"/>
    <col min="3343" max="3344" width="12.625" style="85" customWidth="1"/>
    <col min="3345" max="3345" width="8.875" style="85"/>
    <col min="3346" max="3346" width="7.75" style="85" customWidth="1"/>
    <col min="3347" max="3347" width="13.125" style="85" customWidth="1"/>
    <col min="3348" max="3348" width="6.125" style="85" customWidth="1"/>
    <col min="3349" max="3349" width="9.75" style="85" customWidth="1"/>
    <col min="3350" max="3350" width="1.375" style="85" customWidth="1"/>
    <col min="3351" max="3590" width="8.875" style="85"/>
    <col min="3591" max="3591" width="1.375" style="85" customWidth="1"/>
    <col min="3592" max="3592" width="3.5" style="85" customWidth="1"/>
    <col min="3593" max="3593" width="22.125" style="85" customWidth="1"/>
    <col min="3594" max="3594" width="9.75" style="85" customWidth="1"/>
    <col min="3595" max="3595" width="7.375" style="85" customWidth="1"/>
    <col min="3596" max="3596" width="8.875" style="85"/>
    <col min="3597" max="3597" width="9.25" style="85" customWidth="1"/>
    <col min="3598" max="3598" width="3.5" style="85" customWidth="1"/>
    <col min="3599" max="3600" width="12.625" style="85" customWidth="1"/>
    <col min="3601" max="3601" width="8.875" style="85"/>
    <col min="3602" max="3602" width="7.75" style="85" customWidth="1"/>
    <col min="3603" max="3603" width="13.125" style="85" customWidth="1"/>
    <col min="3604" max="3604" width="6.125" style="85" customWidth="1"/>
    <col min="3605" max="3605" width="9.75" style="85" customWidth="1"/>
    <col min="3606" max="3606" width="1.375" style="85" customWidth="1"/>
    <col min="3607" max="3846" width="8.875" style="85"/>
    <col min="3847" max="3847" width="1.375" style="85" customWidth="1"/>
    <col min="3848" max="3848" width="3.5" style="85" customWidth="1"/>
    <col min="3849" max="3849" width="22.125" style="85" customWidth="1"/>
    <col min="3850" max="3850" width="9.75" style="85" customWidth="1"/>
    <col min="3851" max="3851" width="7.375" style="85" customWidth="1"/>
    <col min="3852" max="3852" width="8.875" style="85"/>
    <col min="3853" max="3853" width="9.25" style="85" customWidth="1"/>
    <col min="3854" max="3854" width="3.5" style="85" customWidth="1"/>
    <col min="3855" max="3856" width="12.625" style="85" customWidth="1"/>
    <col min="3857" max="3857" width="8.875" style="85"/>
    <col min="3858" max="3858" width="7.75" style="85" customWidth="1"/>
    <col min="3859" max="3859" width="13.125" style="85" customWidth="1"/>
    <col min="3860" max="3860" width="6.125" style="85" customWidth="1"/>
    <col min="3861" max="3861" width="9.75" style="85" customWidth="1"/>
    <col min="3862" max="3862" width="1.375" style="85" customWidth="1"/>
    <col min="3863" max="4102" width="8.875" style="85"/>
    <col min="4103" max="4103" width="1.375" style="85" customWidth="1"/>
    <col min="4104" max="4104" width="3.5" style="85" customWidth="1"/>
    <col min="4105" max="4105" width="22.125" style="85" customWidth="1"/>
    <col min="4106" max="4106" width="9.75" style="85" customWidth="1"/>
    <col min="4107" max="4107" width="7.375" style="85" customWidth="1"/>
    <col min="4108" max="4108" width="8.875" style="85"/>
    <col min="4109" max="4109" width="9.25" style="85" customWidth="1"/>
    <col min="4110" max="4110" width="3.5" style="85" customWidth="1"/>
    <col min="4111" max="4112" width="12.625" style="85" customWidth="1"/>
    <col min="4113" max="4113" width="8.875" style="85"/>
    <col min="4114" max="4114" width="7.75" style="85" customWidth="1"/>
    <col min="4115" max="4115" width="13.125" style="85" customWidth="1"/>
    <col min="4116" max="4116" width="6.125" style="85" customWidth="1"/>
    <col min="4117" max="4117" width="9.75" style="85" customWidth="1"/>
    <col min="4118" max="4118" width="1.375" style="85" customWidth="1"/>
    <col min="4119" max="4358" width="8.875" style="85"/>
    <col min="4359" max="4359" width="1.375" style="85" customWidth="1"/>
    <col min="4360" max="4360" width="3.5" style="85" customWidth="1"/>
    <col min="4361" max="4361" width="22.125" style="85" customWidth="1"/>
    <col min="4362" max="4362" width="9.75" style="85" customWidth="1"/>
    <col min="4363" max="4363" width="7.375" style="85" customWidth="1"/>
    <col min="4364" max="4364" width="8.875" style="85"/>
    <col min="4365" max="4365" width="9.25" style="85" customWidth="1"/>
    <col min="4366" max="4366" width="3.5" style="85" customWidth="1"/>
    <col min="4367" max="4368" width="12.625" style="85" customWidth="1"/>
    <col min="4369" max="4369" width="8.875" style="85"/>
    <col min="4370" max="4370" width="7.75" style="85" customWidth="1"/>
    <col min="4371" max="4371" width="13.125" style="85" customWidth="1"/>
    <col min="4372" max="4372" width="6.125" style="85" customWidth="1"/>
    <col min="4373" max="4373" width="9.75" style="85" customWidth="1"/>
    <col min="4374" max="4374" width="1.375" style="85" customWidth="1"/>
    <col min="4375" max="4614" width="8.875" style="85"/>
    <col min="4615" max="4615" width="1.375" style="85" customWidth="1"/>
    <col min="4616" max="4616" width="3.5" style="85" customWidth="1"/>
    <col min="4617" max="4617" width="22.125" style="85" customWidth="1"/>
    <col min="4618" max="4618" width="9.75" style="85" customWidth="1"/>
    <col min="4619" max="4619" width="7.375" style="85" customWidth="1"/>
    <col min="4620" max="4620" width="8.875" style="85"/>
    <col min="4621" max="4621" width="9.25" style="85" customWidth="1"/>
    <col min="4622" max="4622" width="3.5" style="85" customWidth="1"/>
    <col min="4623" max="4624" width="12.625" style="85" customWidth="1"/>
    <col min="4625" max="4625" width="8.875" style="85"/>
    <col min="4626" max="4626" width="7.75" style="85" customWidth="1"/>
    <col min="4627" max="4627" width="13.125" style="85" customWidth="1"/>
    <col min="4628" max="4628" width="6.125" style="85" customWidth="1"/>
    <col min="4629" max="4629" width="9.75" style="85" customWidth="1"/>
    <col min="4630" max="4630" width="1.375" style="85" customWidth="1"/>
    <col min="4631" max="4870" width="8.875" style="85"/>
    <col min="4871" max="4871" width="1.375" style="85" customWidth="1"/>
    <col min="4872" max="4872" width="3.5" style="85" customWidth="1"/>
    <col min="4873" max="4873" width="22.125" style="85" customWidth="1"/>
    <col min="4874" max="4874" width="9.75" style="85" customWidth="1"/>
    <col min="4875" max="4875" width="7.375" style="85" customWidth="1"/>
    <col min="4876" max="4876" width="8.875" style="85"/>
    <col min="4877" max="4877" width="9.25" style="85" customWidth="1"/>
    <col min="4878" max="4878" width="3.5" style="85" customWidth="1"/>
    <col min="4879" max="4880" width="12.625" style="85" customWidth="1"/>
    <col min="4881" max="4881" width="8.875" style="85"/>
    <col min="4882" max="4882" width="7.75" style="85" customWidth="1"/>
    <col min="4883" max="4883" width="13.125" style="85" customWidth="1"/>
    <col min="4884" max="4884" width="6.125" style="85" customWidth="1"/>
    <col min="4885" max="4885" width="9.75" style="85" customWidth="1"/>
    <col min="4886" max="4886" width="1.375" style="85" customWidth="1"/>
    <col min="4887" max="5126" width="8.875" style="85"/>
    <col min="5127" max="5127" width="1.375" style="85" customWidth="1"/>
    <col min="5128" max="5128" width="3.5" style="85" customWidth="1"/>
    <col min="5129" max="5129" width="22.125" style="85" customWidth="1"/>
    <col min="5130" max="5130" width="9.75" style="85" customWidth="1"/>
    <col min="5131" max="5131" width="7.375" style="85" customWidth="1"/>
    <col min="5132" max="5132" width="8.875" style="85"/>
    <col min="5133" max="5133" width="9.25" style="85" customWidth="1"/>
    <col min="5134" max="5134" width="3.5" style="85" customWidth="1"/>
    <col min="5135" max="5136" width="12.625" style="85" customWidth="1"/>
    <col min="5137" max="5137" width="8.875" style="85"/>
    <col min="5138" max="5138" width="7.75" style="85" customWidth="1"/>
    <col min="5139" max="5139" width="13.125" style="85" customWidth="1"/>
    <col min="5140" max="5140" width="6.125" style="85" customWidth="1"/>
    <col min="5141" max="5141" width="9.75" style="85" customWidth="1"/>
    <col min="5142" max="5142" width="1.375" style="85" customWidth="1"/>
    <col min="5143" max="5382" width="8.875" style="85"/>
    <col min="5383" max="5383" width="1.375" style="85" customWidth="1"/>
    <col min="5384" max="5384" width="3.5" style="85" customWidth="1"/>
    <col min="5385" max="5385" width="22.125" style="85" customWidth="1"/>
    <col min="5386" max="5386" width="9.75" style="85" customWidth="1"/>
    <col min="5387" max="5387" width="7.375" style="85" customWidth="1"/>
    <col min="5388" max="5388" width="8.875" style="85"/>
    <col min="5389" max="5389" width="9.25" style="85" customWidth="1"/>
    <col min="5390" max="5390" width="3.5" style="85" customWidth="1"/>
    <col min="5391" max="5392" width="12.625" style="85" customWidth="1"/>
    <col min="5393" max="5393" width="8.875" style="85"/>
    <col min="5394" max="5394" width="7.75" style="85" customWidth="1"/>
    <col min="5395" max="5395" width="13.125" style="85" customWidth="1"/>
    <col min="5396" max="5396" width="6.125" style="85" customWidth="1"/>
    <col min="5397" max="5397" width="9.75" style="85" customWidth="1"/>
    <col min="5398" max="5398" width="1.375" style="85" customWidth="1"/>
    <col min="5399" max="5638" width="8.875" style="85"/>
    <col min="5639" max="5639" width="1.375" style="85" customWidth="1"/>
    <col min="5640" max="5640" width="3.5" style="85" customWidth="1"/>
    <col min="5641" max="5641" width="22.125" style="85" customWidth="1"/>
    <col min="5642" max="5642" width="9.75" style="85" customWidth="1"/>
    <col min="5643" max="5643" width="7.375" style="85" customWidth="1"/>
    <col min="5644" max="5644" width="8.875" style="85"/>
    <col min="5645" max="5645" width="9.25" style="85" customWidth="1"/>
    <col min="5646" max="5646" width="3.5" style="85" customWidth="1"/>
    <col min="5647" max="5648" width="12.625" style="85" customWidth="1"/>
    <col min="5649" max="5649" width="8.875" style="85"/>
    <col min="5650" max="5650" width="7.75" style="85" customWidth="1"/>
    <col min="5651" max="5651" width="13.125" style="85" customWidth="1"/>
    <col min="5652" max="5652" width="6.125" style="85" customWidth="1"/>
    <col min="5653" max="5653" width="9.75" style="85" customWidth="1"/>
    <col min="5654" max="5654" width="1.375" style="85" customWidth="1"/>
    <col min="5655" max="5894" width="8.875" style="85"/>
    <col min="5895" max="5895" width="1.375" style="85" customWidth="1"/>
    <col min="5896" max="5896" width="3.5" style="85" customWidth="1"/>
    <col min="5897" max="5897" width="22.125" style="85" customWidth="1"/>
    <col min="5898" max="5898" width="9.75" style="85" customWidth="1"/>
    <col min="5899" max="5899" width="7.375" style="85" customWidth="1"/>
    <col min="5900" max="5900" width="8.875" style="85"/>
    <col min="5901" max="5901" width="9.25" style="85" customWidth="1"/>
    <col min="5902" max="5902" width="3.5" style="85" customWidth="1"/>
    <col min="5903" max="5904" width="12.625" style="85" customWidth="1"/>
    <col min="5905" max="5905" width="8.875" style="85"/>
    <col min="5906" max="5906" width="7.75" style="85" customWidth="1"/>
    <col min="5907" max="5907" width="13.125" style="85" customWidth="1"/>
    <col min="5908" max="5908" width="6.125" style="85" customWidth="1"/>
    <col min="5909" max="5909" width="9.75" style="85" customWidth="1"/>
    <col min="5910" max="5910" width="1.375" style="85" customWidth="1"/>
    <col min="5911" max="6150" width="8.875" style="85"/>
    <col min="6151" max="6151" width="1.375" style="85" customWidth="1"/>
    <col min="6152" max="6152" width="3.5" style="85" customWidth="1"/>
    <col min="6153" max="6153" width="22.125" style="85" customWidth="1"/>
    <col min="6154" max="6154" width="9.75" style="85" customWidth="1"/>
    <col min="6155" max="6155" width="7.375" style="85" customWidth="1"/>
    <col min="6156" max="6156" width="8.875" style="85"/>
    <col min="6157" max="6157" width="9.25" style="85" customWidth="1"/>
    <col min="6158" max="6158" width="3.5" style="85" customWidth="1"/>
    <col min="6159" max="6160" width="12.625" style="85" customWidth="1"/>
    <col min="6161" max="6161" width="8.875" style="85"/>
    <col min="6162" max="6162" width="7.75" style="85" customWidth="1"/>
    <col min="6163" max="6163" width="13.125" style="85" customWidth="1"/>
    <col min="6164" max="6164" width="6.125" style="85" customWidth="1"/>
    <col min="6165" max="6165" width="9.75" style="85" customWidth="1"/>
    <col min="6166" max="6166" width="1.375" style="85" customWidth="1"/>
    <col min="6167" max="6406" width="8.875" style="85"/>
    <col min="6407" max="6407" width="1.375" style="85" customWidth="1"/>
    <col min="6408" max="6408" width="3.5" style="85" customWidth="1"/>
    <col min="6409" max="6409" width="22.125" style="85" customWidth="1"/>
    <col min="6410" max="6410" width="9.75" style="85" customWidth="1"/>
    <col min="6411" max="6411" width="7.375" style="85" customWidth="1"/>
    <col min="6412" max="6412" width="8.875" style="85"/>
    <col min="6413" max="6413" width="9.25" style="85" customWidth="1"/>
    <col min="6414" max="6414" width="3.5" style="85" customWidth="1"/>
    <col min="6415" max="6416" width="12.625" style="85" customWidth="1"/>
    <col min="6417" max="6417" width="8.875" style="85"/>
    <col min="6418" max="6418" width="7.75" style="85" customWidth="1"/>
    <col min="6419" max="6419" width="13.125" style="85" customWidth="1"/>
    <col min="6420" max="6420" width="6.125" style="85" customWidth="1"/>
    <col min="6421" max="6421" width="9.75" style="85" customWidth="1"/>
    <col min="6422" max="6422" width="1.375" style="85" customWidth="1"/>
    <col min="6423" max="6662" width="8.875" style="85"/>
    <col min="6663" max="6663" width="1.375" style="85" customWidth="1"/>
    <col min="6664" max="6664" width="3.5" style="85" customWidth="1"/>
    <col min="6665" max="6665" width="22.125" style="85" customWidth="1"/>
    <col min="6666" max="6666" width="9.75" style="85" customWidth="1"/>
    <col min="6667" max="6667" width="7.375" style="85" customWidth="1"/>
    <col min="6668" max="6668" width="8.875" style="85"/>
    <col min="6669" max="6669" width="9.25" style="85" customWidth="1"/>
    <col min="6670" max="6670" width="3.5" style="85" customWidth="1"/>
    <col min="6671" max="6672" width="12.625" style="85" customWidth="1"/>
    <col min="6673" max="6673" width="8.875" style="85"/>
    <col min="6674" max="6674" width="7.75" style="85" customWidth="1"/>
    <col min="6675" max="6675" width="13.125" style="85" customWidth="1"/>
    <col min="6676" max="6676" width="6.125" style="85" customWidth="1"/>
    <col min="6677" max="6677" width="9.75" style="85" customWidth="1"/>
    <col min="6678" max="6678" width="1.375" style="85" customWidth="1"/>
    <col min="6679" max="6918" width="8.875" style="85"/>
    <col min="6919" max="6919" width="1.375" style="85" customWidth="1"/>
    <col min="6920" max="6920" width="3.5" style="85" customWidth="1"/>
    <col min="6921" max="6921" width="22.125" style="85" customWidth="1"/>
    <col min="6922" max="6922" width="9.75" style="85" customWidth="1"/>
    <col min="6923" max="6923" width="7.375" style="85" customWidth="1"/>
    <col min="6924" max="6924" width="8.875" style="85"/>
    <col min="6925" max="6925" width="9.25" style="85" customWidth="1"/>
    <col min="6926" max="6926" width="3.5" style="85" customWidth="1"/>
    <col min="6927" max="6928" width="12.625" style="85" customWidth="1"/>
    <col min="6929" max="6929" width="8.875" style="85"/>
    <col min="6930" max="6930" width="7.75" style="85" customWidth="1"/>
    <col min="6931" max="6931" width="13.125" style="85" customWidth="1"/>
    <col min="6932" max="6932" width="6.125" style="85" customWidth="1"/>
    <col min="6933" max="6933" width="9.75" style="85" customWidth="1"/>
    <col min="6934" max="6934" width="1.375" style="85" customWidth="1"/>
    <col min="6935" max="7174" width="8.875" style="85"/>
    <col min="7175" max="7175" width="1.375" style="85" customWidth="1"/>
    <col min="7176" max="7176" width="3.5" style="85" customWidth="1"/>
    <col min="7177" max="7177" width="22.125" style="85" customWidth="1"/>
    <col min="7178" max="7178" width="9.75" style="85" customWidth="1"/>
    <col min="7179" max="7179" width="7.375" style="85" customWidth="1"/>
    <col min="7180" max="7180" width="8.875" style="85"/>
    <col min="7181" max="7181" width="9.25" style="85" customWidth="1"/>
    <col min="7182" max="7182" width="3.5" style="85" customWidth="1"/>
    <col min="7183" max="7184" width="12.625" style="85" customWidth="1"/>
    <col min="7185" max="7185" width="8.875" style="85"/>
    <col min="7186" max="7186" width="7.75" style="85" customWidth="1"/>
    <col min="7187" max="7187" width="13.125" style="85" customWidth="1"/>
    <col min="7188" max="7188" width="6.125" style="85" customWidth="1"/>
    <col min="7189" max="7189" width="9.75" style="85" customWidth="1"/>
    <col min="7190" max="7190" width="1.375" style="85" customWidth="1"/>
    <col min="7191" max="7430" width="8.875" style="85"/>
    <col min="7431" max="7431" width="1.375" style="85" customWidth="1"/>
    <col min="7432" max="7432" width="3.5" style="85" customWidth="1"/>
    <col min="7433" max="7433" width="22.125" style="85" customWidth="1"/>
    <col min="7434" max="7434" width="9.75" style="85" customWidth="1"/>
    <col min="7435" max="7435" width="7.375" style="85" customWidth="1"/>
    <col min="7436" max="7436" width="8.875" style="85"/>
    <col min="7437" max="7437" width="9.25" style="85" customWidth="1"/>
    <col min="7438" max="7438" width="3.5" style="85" customWidth="1"/>
    <col min="7439" max="7440" width="12.625" style="85" customWidth="1"/>
    <col min="7441" max="7441" width="8.875" style="85"/>
    <col min="7442" max="7442" width="7.75" style="85" customWidth="1"/>
    <col min="7443" max="7443" width="13.125" style="85" customWidth="1"/>
    <col min="7444" max="7444" width="6.125" style="85" customWidth="1"/>
    <col min="7445" max="7445" width="9.75" style="85" customWidth="1"/>
    <col min="7446" max="7446" width="1.375" style="85" customWidth="1"/>
    <col min="7447" max="7686" width="8.875" style="85"/>
    <col min="7687" max="7687" width="1.375" style="85" customWidth="1"/>
    <col min="7688" max="7688" width="3.5" style="85" customWidth="1"/>
    <col min="7689" max="7689" width="22.125" style="85" customWidth="1"/>
    <col min="7690" max="7690" width="9.75" style="85" customWidth="1"/>
    <col min="7691" max="7691" width="7.375" style="85" customWidth="1"/>
    <col min="7692" max="7692" width="8.875" style="85"/>
    <col min="7693" max="7693" width="9.25" style="85" customWidth="1"/>
    <col min="7694" max="7694" width="3.5" style="85" customWidth="1"/>
    <col min="7695" max="7696" width="12.625" style="85" customWidth="1"/>
    <col min="7697" max="7697" width="8.875" style="85"/>
    <col min="7698" max="7698" width="7.75" style="85" customWidth="1"/>
    <col min="7699" max="7699" width="13.125" style="85" customWidth="1"/>
    <col min="7700" max="7700" width="6.125" style="85" customWidth="1"/>
    <col min="7701" max="7701" width="9.75" style="85" customWidth="1"/>
    <col min="7702" max="7702" width="1.375" style="85" customWidth="1"/>
    <col min="7703" max="7942" width="8.875" style="85"/>
    <col min="7943" max="7943" width="1.375" style="85" customWidth="1"/>
    <col min="7944" max="7944" width="3.5" style="85" customWidth="1"/>
    <col min="7945" max="7945" width="22.125" style="85" customWidth="1"/>
    <col min="7946" max="7946" width="9.75" style="85" customWidth="1"/>
    <col min="7947" max="7947" width="7.375" style="85" customWidth="1"/>
    <col min="7948" max="7948" width="8.875" style="85"/>
    <col min="7949" max="7949" width="9.25" style="85" customWidth="1"/>
    <col min="7950" max="7950" width="3.5" style="85" customWidth="1"/>
    <col min="7951" max="7952" width="12.625" style="85" customWidth="1"/>
    <col min="7953" max="7953" width="8.875" style="85"/>
    <col min="7954" max="7954" width="7.75" style="85" customWidth="1"/>
    <col min="7955" max="7955" width="13.125" style="85" customWidth="1"/>
    <col min="7956" max="7956" width="6.125" style="85" customWidth="1"/>
    <col min="7957" max="7957" width="9.75" style="85" customWidth="1"/>
    <col min="7958" max="7958" width="1.375" style="85" customWidth="1"/>
    <col min="7959" max="8198" width="8.875" style="85"/>
    <col min="8199" max="8199" width="1.375" style="85" customWidth="1"/>
    <col min="8200" max="8200" width="3.5" style="85" customWidth="1"/>
    <col min="8201" max="8201" width="22.125" style="85" customWidth="1"/>
    <col min="8202" max="8202" width="9.75" style="85" customWidth="1"/>
    <col min="8203" max="8203" width="7.375" style="85" customWidth="1"/>
    <col min="8204" max="8204" width="8.875" style="85"/>
    <col min="8205" max="8205" width="9.25" style="85" customWidth="1"/>
    <col min="8206" max="8206" width="3.5" style="85" customWidth="1"/>
    <col min="8207" max="8208" width="12.625" style="85" customWidth="1"/>
    <col min="8209" max="8209" width="8.875" style="85"/>
    <col min="8210" max="8210" width="7.75" style="85" customWidth="1"/>
    <col min="8211" max="8211" width="13.125" style="85" customWidth="1"/>
    <col min="8212" max="8212" width="6.125" style="85" customWidth="1"/>
    <col min="8213" max="8213" width="9.75" style="85" customWidth="1"/>
    <col min="8214" max="8214" width="1.375" style="85" customWidth="1"/>
    <col min="8215" max="8454" width="8.875" style="85"/>
    <col min="8455" max="8455" width="1.375" style="85" customWidth="1"/>
    <col min="8456" max="8456" width="3.5" style="85" customWidth="1"/>
    <col min="8457" max="8457" width="22.125" style="85" customWidth="1"/>
    <col min="8458" max="8458" width="9.75" style="85" customWidth="1"/>
    <col min="8459" max="8459" width="7.375" style="85" customWidth="1"/>
    <col min="8460" max="8460" width="8.875" style="85"/>
    <col min="8461" max="8461" width="9.25" style="85" customWidth="1"/>
    <col min="8462" max="8462" width="3.5" style="85" customWidth="1"/>
    <col min="8463" max="8464" width="12.625" style="85" customWidth="1"/>
    <col min="8465" max="8465" width="8.875" style="85"/>
    <col min="8466" max="8466" width="7.75" style="85" customWidth="1"/>
    <col min="8467" max="8467" width="13.125" style="85" customWidth="1"/>
    <col min="8468" max="8468" width="6.125" style="85" customWidth="1"/>
    <col min="8469" max="8469" width="9.75" style="85" customWidth="1"/>
    <col min="8470" max="8470" width="1.375" style="85" customWidth="1"/>
    <col min="8471" max="8710" width="8.875" style="85"/>
    <col min="8711" max="8711" width="1.375" style="85" customWidth="1"/>
    <col min="8712" max="8712" width="3.5" style="85" customWidth="1"/>
    <col min="8713" max="8713" width="22.125" style="85" customWidth="1"/>
    <col min="8714" max="8714" width="9.75" style="85" customWidth="1"/>
    <col min="8715" max="8715" width="7.375" style="85" customWidth="1"/>
    <col min="8716" max="8716" width="8.875" style="85"/>
    <col min="8717" max="8717" width="9.25" style="85" customWidth="1"/>
    <col min="8718" max="8718" width="3.5" style="85" customWidth="1"/>
    <col min="8719" max="8720" width="12.625" style="85" customWidth="1"/>
    <col min="8721" max="8721" width="8.875" style="85"/>
    <col min="8722" max="8722" width="7.75" style="85" customWidth="1"/>
    <col min="8723" max="8723" width="13.125" style="85" customWidth="1"/>
    <col min="8724" max="8724" width="6.125" style="85" customWidth="1"/>
    <col min="8725" max="8725" width="9.75" style="85" customWidth="1"/>
    <col min="8726" max="8726" width="1.375" style="85" customWidth="1"/>
    <col min="8727" max="8966" width="8.875" style="85"/>
    <col min="8967" max="8967" width="1.375" style="85" customWidth="1"/>
    <col min="8968" max="8968" width="3.5" style="85" customWidth="1"/>
    <col min="8969" max="8969" width="22.125" style="85" customWidth="1"/>
    <col min="8970" max="8970" width="9.75" style="85" customWidth="1"/>
    <col min="8971" max="8971" width="7.375" style="85" customWidth="1"/>
    <col min="8972" max="8972" width="8.875" style="85"/>
    <col min="8973" max="8973" width="9.25" style="85" customWidth="1"/>
    <col min="8974" max="8974" width="3.5" style="85" customWidth="1"/>
    <col min="8975" max="8976" width="12.625" style="85" customWidth="1"/>
    <col min="8977" max="8977" width="8.875" style="85"/>
    <col min="8978" max="8978" width="7.75" style="85" customWidth="1"/>
    <col min="8979" max="8979" width="13.125" style="85" customWidth="1"/>
    <col min="8980" max="8980" width="6.125" style="85" customWidth="1"/>
    <col min="8981" max="8981" width="9.75" style="85" customWidth="1"/>
    <col min="8982" max="8982" width="1.375" style="85" customWidth="1"/>
    <col min="8983" max="9222" width="8.875" style="85"/>
    <col min="9223" max="9223" width="1.375" style="85" customWidth="1"/>
    <col min="9224" max="9224" width="3.5" style="85" customWidth="1"/>
    <col min="9225" max="9225" width="22.125" style="85" customWidth="1"/>
    <col min="9226" max="9226" width="9.75" style="85" customWidth="1"/>
    <col min="9227" max="9227" width="7.375" style="85" customWidth="1"/>
    <col min="9228" max="9228" width="8.875" style="85"/>
    <col min="9229" max="9229" width="9.25" style="85" customWidth="1"/>
    <col min="9230" max="9230" width="3.5" style="85" customWidth="1"/>
    <col min="9231" max="9232" width="12.625" style="85" customWidth="1"/>
    <col min="9233" max="9233" width="8.875" style="85"/>
    <col min="9234" max="9234" width="7.75" style="85" customWidth="1"/>
    <col min="9235" max="9235" width="13.125" style="85" customWidth="1"/>
    <col min="9236" max="9236" width="6.125" style="85" customWidth="1"/>
    <col min="9237" max="9237" width="9.75" style="85" customWidth="1"/>
    <col min="9238" max="9238" width="1.375" style="85" customWidth="1"/>
    <col min="9239" max="9478" width="8.875" style="85"/>
    <col min="9479" max="9479" width="1.375" style="85" customWidth="1"/>
    <col min="9480" max="9480" width="3.5" style="85" customWidth="1"/>
    <col min="9481" max="9481" width="22.125" style="85" customWidth="1"/>
    <col min="9482" max="9482" width="9.75" style="85" customWidth="1"/>
    <col min="9483" max="9483" width="7.375" style="85" customWidth="1"/>
    <col min="9484" max="9484" width="8.875" style="85"/>
    <col min="9485" max="9485" width="9.25" style="85" customWidth="1"/>
    <col min="9486" max="9486" width="3.5" style="85" customWidth="1"/>
    <col min="9487" max="9488" width="12.625" style="85" customWidth="1"/>
    <col min="9489" max="9489" width="8.875" style="85"/>
    <col min="9490" max="9490" width="7.75" style="85" customWidth="1"/>
    <col min="9491" max="9491" width="13.125" style="85" customWidth="1"/>
    <col min="9492" max="9492" width="6.125" style="85" customWidth="1"/>
    <col min="9493" max="9493" width="9.75" style="85" customWidth="1"/>
    <col min="9494" max="9494" width="1.375" style="85" customWidth="1"/>
    <col min="9495" max="9734" width="8.875" style="85"/>
    <col min="9735" max="9735" width="1.375" style="85" customWidth="1"/>
    <col min="9736" max="9736" width="3.5" style="85" customWidth="1"/>
    <col min="9737" max="9737" width="22.125" style="85" customWidth="1"/>
    <col min="9738" max="9738" width="9.75" style="85" customWidth="1"/>
    <col min="9739" max="9739" width="7.375" style="85" customWidth="1"/>
    <col min="9740" max="9740" width="8.875" style="85"/>
    <col min="9741" max="9741" width="9.25" style="85" customWidth="1"/>
    <col min="9742" max="9742" width="3.5" style="85" customWidth="1"/>
    <col min="9743" max="9744" width="12.625" style="85" customWidth="1"/>
    <col min="9745" max="9745" width="8.875" style="85"/>
    <col min="9746" max="9746" width="7.75" style="85" customWidth="1"/>
    <col min="9747" max="9747" width="13.125" style="85" customWidth="1"/>
    <col min="9748" max="9748" width="6.125" style="85" customWidth="1"/>
    <col min="9749" max="9749" width="9.75" style="85" customWidth="1"/>
    <col min="9750" max="9750" width="1.375" style="85" customWidth="1"/>
    <col min="9751" max="9990" width="8.875" style="85"/>
    <col min="9991" max="9991" width="1.375" style="85" customWidth="1"/>
    <col min="9992" max="9992" width="3.5" style="85" customWidth="1"/>
    <col min="9993" max="9993" width="22.125" style="85" customWidth="1"/>
    <col min="9994" max="9994" width="9.75" style="85" customWidth="1"/>
    <col min="9995" max="9995" width="7.375" style="85" customWidth="1"/>
    <col min="9996" max="9996" width="8.875" style="85"/>
    <col min="9997" max="9997" width="9.25" style="85" customWidth="1"/>
    <col min="9998" max="9998" width="3.5" style="85" customWidth="1"/>
    <col min="9999" max="10000" width="12.625" style="85" customWidth="1"/>
    <col min="10001" max="10001" width="8.875" style="85"/>
    <col min="10002" max="10002" width="7.75" style="85" customWidth="1"/>
    <col min="10003" max="10003" width="13.125" style="85" customWidth="1"/>
    <col min="10004" max="10004" width="6.125" style="85" customWidth="1"/>
    <col min="10005" max="10005" width="9.75" style="85" customWidth="1"/>
    <col min="10006" max="10006" width="1.375" style="85" customWidth="1"/>
    <col min="10007" max="10246" width="8.875" style="85"/>
    <col min="10247" max="10247" width="1.375" style="85" customWidth="1"/>
    <col min="10248" max="10248" width="3.5" style="85" customWidth="1"/>
    <col min="10249" max="10249" width="22.125" style="85" customWidth="1"/>
    <col min="10250" max="10250" width="9.75" style="85" customWidth="1"/>
    <col min="10251" max="10251" width="7.375" style="85" customWidth="1"/>
    <col min="10252" max="10252" width="8.875" style="85"/>
    <col min="10253" max="10253" width="9.25" style="85" customWidth="1"/>
    <col min="10254" max="10254" width="3.5" style="85" customWidth="1"/>
    <col min="10255" max="10256" width="12.625" style="85" customWidth="1"/>
    <col min="10257" max="10257" width="8.875" style="85"/>
    <col min="10258" max="10258" width="7.75" style="85" customWidth="1"/>
    <col min="10259" max="10259" width="13.125" style="85" customWidth="1"/>
    <col min="10260" max="10260" width="6.125" style="85" customWidth="1"/>
    <col min="10261" max="10261" width="9.75" style="85" customWidth="1"/>
    <col min="10262" max="10262" width="1.375" style="85" customWidth="1"/>
    <col min="10263" max="10502" width="8.875" style="85"/>
    <col min="10503" max="10503" width="1.375" style="85" customWidth="1"/>
    <col min="10504" max="10504" width="3.5" style="85" customWidth="1"/>
    <col min="10505" max="10505" width="22.125" style="85" customWidth="1"/>
    <col min="10506" max="10506" width="9.75" style="85" customWidth="1"/>
    <col min="10507" max="10507" width="7.375" style="85" customWidth="1"/>
    <col min="10508" max="10508" width="8.875" style="85"/>
    <col min="10509" max="10509" width="9.25" style="85" customWidth="1"/>
    <col min="10510" max="10510" width="3.5" style="85" customWidth="1"/>
    <col min="10511" max="10512" width="12.625" style="85" customWidth="1"/>
    <col min="10513" max="10513" width="8.875" style="85"/>
    <col min="10514" max="10514" width="7.75" style="85" customWidth="1"/>
    <col min="10515" max="10515" width="13.125" style="85" customWidth="1"/>
    <col min="10516" max="10516" width="6.125" style="85" customWidth="1"/>
    <col min="10517" max="10517" width="9.75" style="85" customWidth="1"/>
    <col min="10518" max="10518" width="1.375" style="85" customWidth="1"/>
    <col min="10519" max="10758" width="8.875" style="85"/>
    <col min="10759" max="10759" width="1.375" style="85" customWidth="1"/>
    <col min="10760" max="10760" width="3.5" style="85" customWidth="1"/>
    <col min="10761" max="10761" width="22.125" style="85" customWidth="1"/>
    <col min="10762" max="10762" width="9.75" style="85" customWidth="1"/>
    <col min="10763" max="10763" width="7.375" style="85" customWidth="1"/>
    <col min="10764" max="10764" width="8.875" style="85"/>
    <col min="10765" max="10765" width="9.25" style="85" customWidth="1"/>
    <col min="10766" max="10766" width="3.5" style="85" customWidth="1"/>
    <col min="10767" max="10768" width="12.625" style="85" customWidth="1"/>
    <col min="10769" max="10769" width="8.875" style="85"/>
    <col min="10770" max="10770" width="7.75" style="85" customWidth="1"/>
    <col min="10771" max="10771" width="13.125" style="85" customWidth="1"/>
    <col min="10772" max="10772" width="6.125" style="85" customWidth="1"/>
    <col min="10773" max="10773" width="9.75" style="85" customWidth="1"/>
    <col min="10774" max="10774" width="1.375" style="85" customWidth="1"/>
    <col min="10775" max="11014" width="8.875" style="85"/>
    <col min="11015" max="11015" width="1.375" style="85" customWidth="1"/>
    <col min="11016" max="11016" width="3.5" style="85" customWidth="1"/>
    <col min="11017" max="11017" width="22.125" style="85" customWidth="1"/>
    <col min="11018" max="11018" width="9.75" style="85" customWidth="1"/>
    <col min="11019" max="11019" width="7.375" style="85" customWidth="1"/>
    <col min="11020" max="11020" width="8.875" style="85"/>
    <col min="11021" max="11021" width="9.25" style="85" customWidth="1"/>
    <col min="11022" max="11022" width="3.5" style="85" customWidth="1"/>
    <col min="11023" max="11024" width="12.625" style="85" customWidth="1"/>
    <col min="11025" max="11025" width="8.875" style="85"/>
    <col min="11026" max="11026" width="7.75" style="85" customWidth="1"/>
    <col min="11027" max="11027" width="13.125" style="85" customWidth="1"/>
    <col min="11028" max="11028" width="6.125" style="85" customWidth="1"/>
    <col min="11029" max="11029" width="9.75" style="85" customWidth="1"/>
    <col min="11030" max="11030" width="1.375" style="85" customWidth="1"/>
    <col min="11031" max="11270" width="8.875" style="85"/>
    <col min="11271" max="11271" width="1.375" style="85" customWidth="1"/>
    <col min="11272" max="11272" width="3.5" style="85" customWidth="1"/>
    <col min="11273" max="11273" width="22.125" style="85" customWidth="1"/>
    <col min="11274" max="11274" width="9.75" style="85" customWidth="1"/>
    <col min="11275" max="11275" width="7.375" style="85" customWidth="1"/>
    <col min="11276" max="11276" width="8.875" style="85"/>
    <col min="11277" max="11277" width="9.25" style="85" customWidth="1"/>
    <col min="11278" max="11278" width="3.5" style="85" customWidth="1"/>
    <col min="11279" max="11280" width="12.625" style="85" customWidth="1"/>
    <col min="11281" max="11281" width="8.875" style="85"/>
    <col min="11282" max="11282" width="7.75" style="85" customWidth="1"/>
    <col min="11283" max="11283" width="13.125" style="85" customWidth="1"/>
    <col min="11284" max="11284" width="6.125" style="85" customWidth="1"/>
    <col min="11285" max="11285" width="9.75" style="85" customWidth="1"/>
    <col min="11286" max="11286" width="1.375" style="85" customWidth="1"/>
    <col min="11287" max="11526" width="8.875" style="85"/>
    <col min="11527" max="11527" width="1.375" style="85" customWidth="1"/>
    <col min="11528" max="11528" width="3.5" style="85" customWidth="1"/>
    <col min="11529" max="11529" width="22.125" style="85" customWidth="1"/>
    <col min="11530" max="11530" width="9.75" style="85" customWidth="1"/>
    <col min="11531" max="11531" width="7.375" style="85" customWidth="1"/>
    <col min="11532" max="11532" width="8.875" style="85"/>
    <col min="11533" max="11533" width="9.25" style="85" customWidth="1"/>
    <col min="11534" max="11534" width="3.5" style="85" customWidth="1"/>
    <col min="11535" max="11536" width="12.625" style="85" customWidth="1"/>
    <col min="11537" max="11537" width="8.875" style="85"/>
    <col min="11538" max="11538" width="7.75" style="85" customWidth="1"/>
    <col min="11539" max="11539" width="13.125" style="85" customWidth="1"/>
    <col min="11540" max="11540" width="6.125" style="85" customWidth="1"/>
    <col min="11541" max="11541" width="9.75" style="85" customWidth="1"/>
    <col min="11542" max="11542" width="1.375" style="85" customWidth="1"/>
    <col min="11543" max="11782" width="8.875" style="85"/>
    <col min="11783" max="11783" width="1.375" style="85" customWidth="1"/>
    <col min="11784" max="11784" width="3.5" style="85" customWidth="1"/>
    <col min="11785" max="11785" width="22.125" style="85" customWidth="1"/>
    <col min="11786" max="11786" width="9.75" style="85" customWidth="1"/>
    <col min="11787" max="11787" width="7.375" style="85" customWidth="1"/>
    <col min="11788" max="11788" width="8.875" style="85"/>
    <col min="11789" max="11789" width="9.25" style="85" customWidth="1"/>
    <col min="11790" max="11790" width="3.5" style="85" customWidth="1"/>
    <col min="11791" max="11792" width="12.625" style="85" customWidth="1"/>
    <col min="11793" max="11793" width="8.875" style="85"/>
    <col min="11794" max="11794" width="7.75" style="85" customWidth="1"/>
    <col min="11795" max="11795" width="13.125" style="85" customWidth="1"/>
    <col min="11796" max="11796" width="6.125" style="85" customWidth="1"/>
    <col min="11797" max="11797" width="9.75" style="85" customWidth="1"/>
    <col min="11798" max="11798" width="1.375" style="85" customWidth="1"/>
    <col min="11799" max="12038" width="8.875" style="85"/>
    <col min="12039" max="12039" width="1.375" style="85" customWidth="1"/>
    <col min="12040" max="12040" width="3.5" style="85" customWidth="1"/>
    <col min="12041" max="12041" width="22.125" style="85" customWidth="1"/>
    <col min="12042" max="12042" width="9.75" style="85" customWidth="1"/>
    <col min="12043" max="12043" width="7.375" style="85" customWidth="1"/>
    <col min="12044" max="12044" width="8.875" style="85"/>
    <col min="12045" max="12045" width="9.25" style="85" customWidth="1"/>
    <col min="12046" max="12046" width="3.5" style="85" customWidth="1"/>
    <col min="12047" max="12048" width="12.625" style="85" customWidth="1"/>
    <col min="12049" max="12049" width="8.875" style="85"/>
    <col min="12050" max="12050" width="7.75" style="85" customWidth="1"/>
    <col min="12051" max="12051" width="13.125" style="85" customWidth="1"/>
    <col min="12052" max="12052" width="6.125" style="85" customWidth="1"/>
    <col min="12053" max="12053" width="9.75" style="85" customWidth="1"/>
    <col min="12054" max="12054" width="1.375" style="85" customWidth="1"/>
    <col min="12055" max="12294" width="8.875" style="85"/>
    <col min="12295" max="12295" width="1.375" style="85" customWidth="1"/>
    <col min="12296" max="12296" width="3.5" style="85" customWidth="1"/>
    <col min="12297" max="12297" width="22.125" style="85" customWidth="1"/>
    <col min="12298" max="12298" width="9.75" style="85" customWidth="1"/>
    <col min="12299" max="12299" width="7.375" style="85" customWidth="1"/>
    <col min="12300" max="12300" width="8.875" style="85"/>
    <col min="12301" max="12301" width="9.25" style="85" customWidth="1"/>
    <col min="12302" max="12302" width="3.5" style="85" customWidth="1"/>
    <col min="12303" max="12304" width="12.625" style="85" customWidth="1"/>
    <col min="12305" max="12305" width="8.875" style="85"/>
    <col min="12306" max="12306" width="7.75" style="85" customWidth="1"/>
    <col min="12307" max="12307" width="13.125" style="85" customWidth="1"/>
    <col min="12308" max="12308" width="6.125" style="85" customWidth="1"/>
    <col min="12309" max="12309" width="9.75" style="85" customWidth="1"/>
    <col min="12310" max="12310" width="1.375" style="85" customWidth="1"/>
    <col min="12311" max="12550" width="8.875" style="85"/>
    <col min="12551" max="12551" width="1.375" style="85" customWidth="1"/>
    <col min="12552" max="12552" width="3.5" style="85" customWidth="1"/>
    <col min="12553" max="12553" width="22.125" style="85" customWidth="1"/>
    <col min="12554" max="12554" width="9.75" style="85" customWidth="1"/>
    <col min="12555" max="12555" width="7.375" style="85" customWidth="1"/>
    <col min="12556" max="12556" width="8.875" style="85"/>
    <col min="12557" max="12557" width="9.25" style="85" customWidth="1"/>
    <col min="12558" max="12558" width="3.5" style="85" customWidth="1"/>
    <col min="12559" max="12560" width="12.625" style="85" customWidth="1"/>
    <col min="12561" max="12561" width="8.875" style="85"/>
    <col min="12562" max="12562" width="7.75" style="85" customWidth="1"/>
    <col min="12563" max="12563" width="13.125" style="85" customWidth="1"/>
    <col min="12564" max="12564" width="6.125" style="85" customWidth="1"/>
    <col min="12565" max="12565" width="9.75" style="85" customWidth="1"/>
    <col min="12566" max="12566" width="1.375" style="85" customWidth="1"/>
    <col min="12567" max="12806" width="8.875" style="85"/>
    <col min="12807" max="12807" width="1.375" style="85" customWidth="1"/>
    <col min="12808" max="12808" width="3.5" style="85" customWidth="1"/>
    <col min="12809" max="12809" width="22.125" style="85" customWidth="1"/>
    <col min="12810" max="12810" width="9.75" style="85" customWidth="1"/>
    <col min="12811" max="12811" width="7.375" style="85" customWidth="1"/>
    <col min="12812" max="12812" width="8.875" style="85"/>
    <col min="12813" max="12813" width="9.25" style="85" customWidth="1"/>
    <col min="12814" max="12814" width="3.5" style="85" customWidth="1"/>
    <col min="12815" max="12816" width="12.625" style="85" customWidth="1"/>
    <col min="12817" max="12817" width="8.875" style="85"/>
    <col min="12818" max="12818" width="7.75" style="85" customWidth="1"/>
    <col min="12819" max="12819" width="13.125" style="85" customWidth="1"/>
    <col min="12820" max="12820" width="6.125" style="85" customWidth="1"/>
    <col min="12821" max="12821" width="9.75" style="85" customWidth="1"/>
    <col min="12822" max="12822" width="1.375" style="85" customWidth="1"/>
    <col min="12823" max="13062" width="8.875" style="85"/>
    <col min="13063" max="13063" width="1.375" style="85" customWidth="1"/>
    <col min="13064" max="13064" width="3.5" style="85" customWidth="1"/>
    <col min="13065" max="13065" width="22.125" style="85" customWidth="1"/>
    <col min="13066" max="13066" width="9.75" style="85" customWidth="1"/>
    <col min="13067" max="13067" width="7.375" style="85" customWidth="1"/>
    <col min="13068" max="13068" width="8.875" style="85"/>
    <col min="13069" max="13069" width="9.25" style="85" customWidth="1"/>
    <col min="13070" max="13070" width="3.5" style="85" customWidth="1"/>
    <col min="13071" max="13072" width="12.625" style="85" customWidth="1"/>
    <col min="13073" max="13073" width="8.875" style="85"/>
    <col min="13074" max="13074" width="7.75" style="85" customWidth="1"/>
    <col min="13075" max="13075" width="13.125" style="85" customWidth="1"/>
    <col min="13076" max="13076" width="6.125" style="85" customWidth="1"/>
    <col min="13077" max="13077" width="9.75" style="85" customWidth="1"/>
    <col min="13078" max="13078" width="1.375" style="85" customWidth="1"/>
    <col min="13079" max="13318" width="8.875" style="85"/>
    <col min="13319" max="13319" width="1.375" style="85" customWidth="1"/>
    <col min="13320" max="13320" width="3.5" style="85" customWidth="1"/>
    <col min="13321" max="13321" width="22.125" style="85" customWidth="1"/>
    <col min="13322" max="13322" width="9.75" style="85" customWidth="1"/>
    <col min="13323" max="13323" width="7.375" style="85" customWidth="1"/>
    <col min="13324" max="13324" width="8.875" style="85"/>
    <col min="13325" max="13325" width="9.25" style="85" customWidth="1"/>
    <col min="13326" max="13326" width="3.5" style="85" customWidth="1"/>
    <col min="13327" max="13328" width="12.625" style="85" customWidth="1"/>
    <col min="13329" max="13329" width="8.875" style="85"/>
    <col min="13330" max="13330" width="7.75" style="85" customWidth="1"/>
    <col min="13331" max="13331" width="13.125" style="85" customWidth="1"/>
    <col min="13332" max="13332" width="6.125" style="85" customWidth="1"/>
    <col min="13333" max="13333" width="9.75" style="85" customWidth="1"/>
    <col min="13334" max="13334" width="1.375" style="85" customWidth="1"/>
    <col min="13335" max="13574" width="8.875" style="85"/>
    <col min="13575" max="13575" width="1.375" style="85" customWidth="1"/>
    <col min="13576" max="13576" width="3.5" style="85" customWidth="1"/>
    <col min="13577" max="13577" width="22.125" style="85" customWidth="1"/>
    <col min="13578" max="13578" width="9.75" style="85" customWidth="1"/>
    <col min="13579" max="13579" width="7.375" style="85" customWidth="1"/>
    <col min="13580" max="13580" width="8.875" style="85"/>
    <col min="13581" max="13581" width="9.25" style="85" customWidth="1"/>
    <col min="13582" max="13582" width="3.5" style="85" customWidth="1"/>
    <col min="13583" max="13584" width="12.625" style="85" customWidth="1"/>
    <col min="13585" max="13585" width="8.875" style="85"/>
    <col min="13586" max="13586" width="7.75" style="85" customWidth="1"/>
    <col min="13587" max="13587" width="13.125" style="85" customWidth="1"/>
    <col min="13588" max="13588" width="6.125" style="85" customWidth="1"/>
    <col min="13589" max="13589" width="9.75" style="85" customWidth="1"/>
    <col min="13590" max="13590" width="1.375" style="85" customWidth="1"/>
    <col min="13591" max="13830" width="8.875" style="85"/>
    <col min="13831" max="13831" width="1.375" style="85" customWidth="1"/>
    <col min="13832" max="13832" width="3.5" style="85" customWidth="1"/>
    <col min="13833" max="13833" width="22.125" style="85" customWidth="1"/>
    <col min="13834" max="13834" width="9.75" style="85" customWidth="1"/>
    <col min="13835" max="13835" width="7.375" style="85" customWidth="1"/>
    <col min="13836" max="13836" width="8.875" style="85"/>
    <col min="13837" max="13837" width="9.25" style="85" customWidth="1"/>
    <col min="13838" max="13838" width="3.5" style="85" customWidth="1"/>
    <col min="13839" max="13840" width="12.625" style="85" customWidth="1"/>
    <col min="13841" max="13841" width="8.875" style="85"/>
    <col min="13842" max="13842" width="7.75" style="85" customWidth="1"/>
    <col min="13843" max="13843" width="13.125" style="85" customWidth="1"/>
    <col min="13844" max="13844" width="6.125" style="85" customWidth="1"/>
    <col min="13845" max="13845" width="9.75" style="85" customWidth="1"/>
    <col min="13846" max="13846" width="1.375" style="85" customWidth="1"/>
    <col min="13847" max="14086" width="8.875" style="85"/>
    <col min="14087" max="14087" width="1.375" style="85" customWidth="1"/>
    <col min="14088" max="14088" width="3.5" style="85" customWidth="1"/>
    <col min="14089" max="14089" width="22.125" style="85" customWidth="1"/>
    <col min="14090" max="14090" width="9.75" style="85" customWidth="1"/>
    <col min="14091" max="14091" width="7.375" style="85" customWidth="1"/>
    <col min="14092" max="14092" width="8.875" style="85"/>
    <col min="14093" max="14093" width="9.25" style="85" customWidth="1"/>
    <col min="14094" max="14094" width="3.5" style="85" customWidth="1"/>
    <col min="14095" max="14096" width="12.625" style="85" customWidth="1"/>
    <col min="14097" max="14097" width="8.875" style="85"/>
    <col min="14098" max="14098" width="7.75" style="85" customWidth="1"/>
    <col min="14099" max="14099" width="13.125" style="85" customWidth="1"/>
    <col min="14100" max="14100" width="6.125" style="85" customWidth="1"/>
    <col min="14101" max="14101" width="9.75" style="85" customWidth="1"/>
    <col min="14102" max="14102" width="1.375" style="85" customWidth="1"/>
    <col min="14103" max="14342" width="8.875" style="85"/>
    <col min="14343" max="14343" width="1.375" style="85" customWidth="1"/>
    <col min="14344" max="14344" width="3.5" style="85" customWidth="1"/>
    <col min="14345" max="14345" width="22.125" style="85" customWidth="1"/>
    <col min="14346" max="14346" width="9.75" style="85" customWidth="1"/>
    <col min="14347" max="14347" width="7.375" style="85" customWidth="1"/>
    <col min="14348" max="14348" width="8.875" style="85"/>
    <col min="14349" max="14349" width="9.25" style="85" customWidth="1"/>
    <col min="14350" max="14350" width="3.5" style="85" customWidth="1"/>
    <col min="14351" max="14352" width="12.625" style="85" customWidth="1"/>
    <col min="14353" max="14353" width="8.875" style="85"/>
    <col min="14354" max="14354" width="7.75" style="85" customWidth="1"/>
    <col min="14355" max="14355" width="13.125" style="85" customWidth="1"/>
    <col min="14356" max="14356" width="6.125" style="85" customWidth="1"/>
    <col min="14357" max="14357" width="9.75" style="85" customWidth="1"/>
    <col min="14358" max="14358" width="1.375" style="85" customWidth="1"/>
    <col min="14359" max="14598" width="8.875" style="85"/>
    <col min="14599" max="14599" width="1.375" style="85" customWidth="1"/>
    <col min="14600" max="14600" width="3.5" style="85" customWidth="1"/>
    <col min="14601" max="14601" width="22.125" style="85" customWidth="1"/>
    <col min="14602" max="14602" width="9.75" style="85" customWidth="1"/>
    <col min="14603" max="14603" width="7.375" style="85" customWidth="1"/>
    <col min="14604" max="14604" width="8.875" style="85"/>
    <col min="14605" max="14605" width="9.25" style="85" customWidth="1"/>
    <col min="14606" max="14606" width="3.5" style="85" customWidth="1"/>
    <col min="14607" max="14608" width="12.625" style="85" customWidth="1"/>
    <col min="14609" max="14609" width="8.875" style="85"/>
    <col min="14610" max="14610" width="7.75" style="85" customWidth="1"/>
    <col min="14611" max="14611" width="13.125" style="85" customWidth="1"/>
    <col min="14612" max="14612" width="6.125" style="85" customWidth="1"/>
    <col min="14613" max="14613" width="9.75" style="85" customWidth="1"/>
    <col min="14614" max="14614" width="1.375" style="85" customWidth="1"/>
    <col min="14615" max="14854" width="8.875" style="85"/>
    <col min="14855" max="14855" width="1.375" style="85" customWidth="1"/>
    <col min="14856" max="14856" width="3.5" style="85" customWidth="1"/>
    <col min="14857" max="14857" width="22.125" style="85" customWidth="1"/>
    <col min="14858" max="14858" width="9.75" style="85" customWidth="1"/>
    <col min="14859" max="14859" width="7.375" style="85" customWidth="1"/>
    <col min="14860" max="14860" width="8.875" style="85"/>
    <col min="14861" max="14861" width="9.25" style="85" customWidth="1"/>
    <col min="14862" max="14862" width="3.5" style="85" customWidth="1"/>
    <col min="14863" max="14864" width="12.625" style="85" customWidth="1"/>
    <col min="14865" max="14865" width="8.875" style="85"/>
    <col min="14866" max="14866" width="7.75" style="85" customWidth="1"/>
    <col min="14867" max="14867" width="13.125" style="85" customWidth="1"/>
    <col min="14868" max="14868" width="6.125" style="85" customWidth="1"/>
    <col min="14869" max="14869" width="9.75" style="85" customWidth="1"/>
    <col min="14870" max="14870" width="1.375" style="85" customWidth="1"/>
    <col min="14871" max="15110" width="8.875" style="85"/>
    <col min="15111" max="15111" width="1.375" style="85" customWidth="1"/>
    <col min="15112" max="15112" width="3.5" style="85" customWidth="1"/>
    <col min="15113" max="15113" width="22.125" style="85" customWidth="1"/>
    <col min="15114" max="15114" width="9.75" style="85" customWidth="1"/>
    <col min="15115" max="15115" width="7.375" style="85" customWidth="1"/>
    <col min="15116" max="15116" width="8.875" style="85"/>
    <col min="15117" max="15117" width="9.25" style="85" customWidth="1"/>
    <col min="15118" max="15118" width="3.5" style="85" customWidth="1"/>
    <col min="15119" max="15120" width="12.625" style="85" customWidth="1"/>
    <col min="15121" max="15121" width="8.875" style="85"/>
    <col min="15122" max="15122" width="7.75" style="85" customWidth="1"/>
    <col min="15123" max="15123" width="13.125" style="85" customWidth="1"/>
    <col min="15124" max="15124" width="6.125" style="85" customWidth="1"/>
    <col min="15125" max="15125" width="9.75" style="85" customWidth="1"/>
    <col min="15126" max="15126" width="1.375" style="85" customWidth="1"/>
    <col min="15127" max="15366" width="8.875" style="85"/>
    <col min="15367" max="15367" width="1.375" style="85" customWidth="1"/>
    <col min="15368" max="15368" width="3.5" style="85" customWidth="1"/>
    <col min="15369" max="15369" width="22.125" style="85" customWidth="1"/>
    <col min="15370" max="15370" width="9.75" style="85" customWidth="1"/>
    <col min="15371" max="15371" width="7.375" style="85" customWidth="1"/>
    <col min="15372" max="15372" width="8.875" style="85"/>
    <col min="15373" max="15373" width="9.25" style="85" customWidth="1"/>
    <col min="15374" max="15374" width="3.5" style="85" customWidth="1"/>
    <col min="15375" max="15376" width="12.625" style="85" customWidth="1"/>
    <col min="15377" max="15377" width="8.875" style="85"/>
    <col min="15378" max="15378" width="7.75" style="85" customWidth="1"/>
    <col min="15379" max="15379" width="13.125" style="85" customWidth="1"/>
    <col min="15380" max="15380" width="6.125" style="85" customWidth="1"/>
    <col min="15381" max="15381" width="9.75" style="85" customWidth="1"/>
    <col min="15382" max="15382" width="1.375" style="85" customWidth="1"/>
    <col min="15383" max="15622" width="8.875" style="85"/>
    <col min="15623" max="15623" width="1.375" style="85" customWidth="1"/>
    <col min="15624" max="15624" width="3.5" style="85" customWidth="1"/>
    <col min="15625" max="15625" width="22.125" style="85" customWidth="1"/>
    <col min="15626" max="15626" width="9.75" style="85" customWidth="1"/>
    <col min="15627" max="15627" width="7.375" style="85" customWidth="1"/>
    <col min="15628" max="15628" width="8.875" style="85"/>
    <col min="15629" max="15629" width="9.25" style="85" customWidth="1"/>
    <col min="15630" max="15630" width="3.5" style="85" customWidth="1"/>
    <col min="15631" max="15632" width="12.625" style="85" customWidth="1"/>
    <col min="15633" max="15633" width="8.875" style="85"/>
    <col min="15634" max="15634" width="7.75" style="85" customWidth="1"/>
    <col min="15635" max="15635" width="13.125" style="85" customWidth="1"/>
    <col min="15636" max="15636" width="6.125" style="85" customWidth="1"/>
    <col min="15637" max="15637" width="9.75" style="85" customWidth="1"/>
    <col min="15638" max="15638" width="1.375" style="85" customWidth="1"/>
    <col min="15639" max="15878" width="8.875" style="85"/>
    <col min="15879" max="15879" width="1.375" style="85" customWidth="1"/>
    <col min="15880" max="15880" width="3.5" style="85" customWidth="1"/>
    <col min="15881" max="15881" width="22.125" style="85" customWidth="1"/>
    <col min="15882" max="15882" width="9.75" style="85" customWidth="1"/>
    <col min="15883" max="15883" width="7.375" style="85" customWidth="1"/>
    <col min="15884" max="15884" width="8.875" style="85"/>
    <col min="15885" max="15885" width="9.25" style="85" customWidth="1"/>
    <col min="15886" max="15886" width="3.5" style="85" customWidth="1"/>
    <col min="15887" max="15888" width="12.625" style="85" customWidth="1"/>
    <col min="15889" max="15889" width="8.875" style="85"/>
    <col min="15890" max="15890" width="7.75" style="85" customWidth="1"/>
    <col min="15891" max="15891" width="13.125" style="85" customWidth="1"/>
    <col min="15892" max="15892" width="6.125" style="85" customWidth="1"/>
    <col min="15893" max="15893" width="9.75" style="85" customWidth="1"/>
    <col min="15894" max="15894" width="1.375" style="85" customWidth="1"/>
    <col min="15895" max="16134" width="8.875" style="85"/>
    <col min="16135" max="16135" width="1.375" style="85" customWidth="1"/>
    <col min="16136" max="16136" width="3.5" style="85" customWidth="1"/>
    <col min="16137" max="16137" width="22.125" style="85" customWidth="1"/>
    <col min="16138" max="16138" width="9.75" style="85" customWidth="1"/>
    <col min="16139" max="16139" width="7.375" style="85" customWidth="1"/>
    <col min="16140" max="16140" width="8.875" style="85"/>
    <col min="16141" max="16141" width="9.25" style="85" customWidth="1"/>
    <col min="16142" max="16142" width="3.5" style="85" customWidth="1"/>
    <col min="16143" max="16144" width="12.625" style="85" customWidth="1"/>
    <col min="16145" max="16145" width="8.875" style="85"/>
    <col min="16146" max="16146" width="7.75" style="85" customWidth="1"/>
    <col min="16147" max="16147" width="13.125" style="85" customWidth="1"/>
    <col min="16148" max="16148" width="6.125" style="85" customWidth="1"/>
    <col min="16149" max="16149" width="9.75" style="85" customWidth="1"/>
    <col min="16150" max="16150" width="1.375" style="85" customWidth="1"/>
    <col min="16151" max="16384" width="8.875" style="85"/>
  </cols>
  <sheetData>
    <row r="1" spans="2:23" ht="9.9499999999999993" customHeight="1" x14ac:dyDescent="0.15"/>
    <row r="2" spans="2:23" ht="24.95" customHeight="1" x14ac:dyDescent="0.15">
      <c r="B2" s="1" t="s">
        <v>442</v>
      </c>
      <c r="C2" s="87"/>
      <c r="D2" s="13"/>
      <c r="E2" s="13"/>
      <c r="F2" s="87"/>
      <c r="G2" s="140"/>
      <c r="H2" s="149"/>
      <c r="I2" s="140"/>
      <c r="J2" s="140"/>
      <c r="K2" s="140"/>
      <c r="L2" s="140"/>
      <c r="M2" s="140"/>
      <c r="N2" s="140"/>
      <c r="O2" s="13"/>
    </row>
    <row r="3" spans="2:23" ht="15" customHeight="1" thickBot="1" x14ac:dyDescent="0.2">
      <c r="B3" s="85" t="s">
        <v>220</v>
      </c>
      <c r="I3" s="13" t="s">
        <v>221</v>
      </c>
      <c r="P3" s="85" t="s">
        <v>241</v>
      </c>
    </row>
    <row r="4" spans="2:23" ht="15" customHeight="1" x14ac:dyDescent="0.15">
      <c r="B4" s="302" t="s">
        <v>90</v>
      </c>
      <c r="C4" s="188" t="s">
        <v>181</v>
      </c>
      <c r="D4" s="188" t="s">
        <v>153</v>
      </c>
      <c r="E4" s="188" t="s">
        <v>154</v>
      </c>
      <c r="F4" s="398" t="s">
        <v>24</v>
      </c>
      <c r="G4" s="176" t="s">
        <v>155</v>
      </c>
      <c r="H4" s="189"/>
      <c r="I4" s="830" t="s">
        <v>90</v>
      </c>
      <c r="J4" s="828" t="s">
        <v>185</v>
      </c>
      <c r="K4" s="375" t="s">
        <v>182</v>
      </c>
      <c r="L4" s="375" t="s">
        <v>156</v>
      </c>
      <c r="M4" s="823" t="s">
        <v>24</v>
      </c>
      <c r="N4" s="825" t="s">
        <v>155</v>
      </c>
      <c r="O4" s="207"/>
      <c r="P4" s="303" t="s">
        <v>188</v>
      </c>
      <c r="Q4" s="304" t="s">
        <v>189</v>
      </c>
      <c r="R4" s="304" t="s">
        <v>190</v>
      </c>
      <c r="S4" s="304" t="s">
        <v>191</v>
      </c>
      <c r="T4" s="832" t="s">
        <v>192</v>
      </c>
      <c r="U4" s="782"/>
      <c r="V4" s="305" t="s">
        <v>193</v>
      </c>
    </row>
    <row r="5" spans="2:23" ht="15" customHeight="1" x14ac:dyDescent="0.15">
      <c r="B5" s="842" t="s">
        <v>176</v>
      </c>
      <c r="C5" s="90" t="s">
        <v>414</v>
      </c>
      <c r="D5" s="84">
        <v>20</v>
      </c>
      <c r="E5" s="89" t="s">
        <v>180</v>
      </c>
      <c r="F5" s="90">
        <v>3500</v>
      </c>
      <c r="G5" s="177">
        <f t="shared" ref="G5:G6" si="0">D5*F5</f>
        <v>70000</v>
      </c>
      <c r="H5" s="190"/>
      <c r="I5" s="831"/>
      <c r="J5" s="829"/>
      <c r="K5" s="376" t="s">
        <v>157</v>
      </c>
      <c r="L5" s="376" t="s">
        <v>299</v>
      </c>
      <c r="M5" s="824"/>
      <c r="N5" s="826"/>
      <c r="O5" s="207"/>
      <c r="P5" s="471" t="s">
        <v>398</v>
      </c>
      <c r="Q5" s="500"/>
      <c r="R5" s="501" t="s">
        <v>458</v>
      </c>
      <c r="S5" s="500"/>
      <c r="T5" s="833" t="s">
        <v>459</v>
      </c>
      <c r="U5" s="834"/>
      <c r="V5" s="502">
        <v>5806.666666666667</v>
      </c>
      <c r="W5" s="196"/>
    </row>
    <row r="6" spans="2:23" ht="15" customHeight="1" x14ac:dyDescent="0.15">
      <c r="B6" s="839"/>
      <c r="C6" s="84"/>
      <c r="D6" s="84"/>
      <c r="E6" s="89"/>
      <c r="F6" s="84"/>
      <c r="G6" s="178">
        <f t="shared" si="0"/>
        <v>0</v>
      </c>
      <c r="H6" s="190"/>
      <c r="I6" s="835" t="s">
        <v>184</v>
      </c>
      <c r="J6" s="341" t="s">
        <v>296</v>
      </c>
      <c r="K6" s="377">
        <v>10.6</v>
      </c>
      <c r="L6" s="377">
        <v>13</v>
      </c>
      <c r="M6" s="405">
        <v>84.7</v>
      </c>
      <c r="N6" s="378">
        <f>K6*L6*M6</f>
        <v>11671.66</v>
      </c>
      <c r="O6" s="207"/>
      <c r="P6" s="306"/>
      <c r="Q6" s="174"/>
      <c r="R6" s="399"/>
      <c r="S6" s="174"/>
      <c r="T6" s="821"/>
      <c r="U6" s="822"/>
      <c r="V6" s="197"/>
    </row>
    <row r="7" spans="2:23" ht="15" customHeight="1" thickBot="1" x14ac:dyDescent="0.2">
      <c r="B7" s="841"/>
      <c r="C7" s="179" t="s">
        <v>158</v>
      </c>
      <c r="D7" s="179"/>
      <c r="E7" s="179"/>
      <c r="F7" s="179"/>
      <c r="G7" s="180">
        <f>SUM(G5:G6)</f>
        <v>70000</v>
      </c>
      <c r="H7" s="190"/>
      <c r="I7" s="836"/>
      <c r="J7" s="341" t="s">
        <v>297</v>
      </c>
      <c r="K7" s="377">
        <v>5.4</v>
      </c>
      <c r="L7" s="377">
        <f>5+6.5</f>
        <v>11.5</v>
      </c>
      <c r="M7" s="405">
        <v>84.7</v>
      </c>
      <c r="N7" s="378">
        <f t="shared" ref="N7:N11" si="1">K7*L7*M7</f>
        <v>5259.87</v>
      </c>
      <c r="O7" s="207"/>
      <c r="P7" s="306"/>
      <c r="Q7" s="174"/>
      <c r="R7" s="399"/>
      <c r="S7" s="174"/>
      <c r="T7" s="821"/>
      <c r="U7" s="822"/>
      <c r="V7" s="197"/>
    </row>
    <row r="8" spans="2:23" ht="15" customHeight="1" thickTop="1" x14ac:dyDescent="0.15">
      <c r="B8" s="838" t="s">
        <v>174</v>
      </c>
      <c r="C8" s="84"/>
      <c r="D8" s="84"/>
      <c r="E8" s="89"/>
      <c r="F8" s="84"/>
      <c r="G8" s="178">
        <f>D8*F8</f>
        <v>0</v>
      </c>
      <c r="H8" s="190"/>
      <c r="I8" s="836"/>
      <c r="J8" s="341" t="s">
        <v>305</v>
      </c>
      <c r="K8" s="377">
        <v>1.2</v>
      </c>
      <c r="L8" s="377">
        <v>3</v>
      </c>
      <c r="M8" s="405">
        <v>84.7</v>
      </c>
      <c r="N8" s="378">
        <f t="shared" si="1"/>
        <v>304.91999999999996</v>
      </c>
      <c r="O8" s="207"/>
      <c r="P8" s="306"/>
      <c r="Q8" s="174"/>
      <c r="R8" s="399"/>
      <c r="S8" s="174"/>
      <c r="T8" s="821"/>
      <c r="U8" s="822"/>
      <c r="V8" s="197"/>
    </row>
    <row r="9" spans="2:23" ht="15" customHeight="1" x14ac:dyDescent="0.15">
      <c r="B9" s="839"/>
      <c r="C9" s="84"/>
      <c r="D9" s="84"/>
      <c r="E9" s="89"/>
      <c r="F9" s="84"/>
      <c r="G9" s="178">
        <f>D9*F9</f>
        <v>0</v>
      </c>
      <c r="H9" s="190"/>
      <c r="I9" s="836"/>
      <c r="J9" s="386" t="s">
        <v>300</v>
      </c>
      <c r="K9" s="387">
        <v>3.5</v>
      </c>
      <c r="L9" s="387">
        <v>5</v>
      </c>
      <c r="M9" s="405">
        <v>84.7</v>
      </c>
      <c r="N9" s="388">
        <f t="shared" si="1"/>
        <v>1482.25</v>
      </c>
      <c r="O9" s="207"/>
      <c r="P9" s="306"/>
      <c r="Q9" s="174"/>
      <c r="R9" s="399"/>
      <c r="S9" s="174"/>
      <c r="T9" s="821"/>
      <c r="U9" s="822"/>
      <c r="V9" s="197"/>
    </row>
    <row r="10" spans="2:23" ht="15" customHeight="1" x14ac:dyDescent="0.15">
      <c r="B10" s="839"/>
      <c r="C10" s="84"/>
      <c r="D10" s="84"/>
      <c r="E10" s="89"/>
      <c r="F10" s="84"/>
      <c r="G10" s="178">
        <f>D10*F10</f>
        <v>0</v>
      </c>
      <c r="H10" s="190"/>
      <c r="I10" s="836"/>
      <c r="J10" s="392" t="s">
        <v>306</v>
      </c>
      <c r="K10" s="393">
        <v>2.5</v>
      </c>
      <c r="L10" s="393">
        <v>3.5</v>
      </c>
      <c r="M10" s="405">
        <v>84.7</v>
      </c>
      <c r="N10" s="394">
        <f t="shared" si="1"/>
        <v>741.125</v>
      </c>
      <c r="O10" s="207"/>
      <c r="P10" s="306"/>
      <c r="Q10" s="389"/>
      <c r="R10" s="390"/>
      <c r="S10" s="389"/>
      <c r="T10" s="391"/>
      <c r="U10" s="400"/>
      <c r="V10" s="197"/>
    </row>
    <row r="11" spans="2:23" ht="15" customHeight="1" thickBot="1" x14ac:dyDescent="0.2">
      <c r="B11" s="841"/>
      <c r="C11" s="181" t="s">
        <v>159</v>
      </c>
      <c r="D11" s="182"/>
      <c r="E11" s="182"/>
      <c r="F11" s="182"/>
      <c r="G11" s="183">
        <f>SUM(G8:G10)</f>
        <v>0</v>
      </c>
      <c r="H11" s="190"/>
      <c r="I11" s="836"/>
      <c r="J11" s="395" t="s">
        <v>302</v>
      </c>
      <c r="K11" s="396">
        <v>2</v>
      </c>
      <c r="L11" s="396">
        <v>3.5</v>
      </c>
      <c r="M11" s="405">
        <v>84.7</v>
      </c>
      <c r="N11" s="397">
        <f t="shared" si="1"/>
        <v>592.9</v>
      </c>
      <c r="O11" s="207"/>
      <c r="P11" s="306"/>
      <c r="Q11" s="174"/>
      <c r="R11" s="399"/>
      <c r="S11" s="174"/>
      <c r="T11" s="821"/>
      <c r="U11" s="822"/>
      <c r="V11" s="197"/>
    </row>
    <row r="12" spans="2:23" ht="15" customHeight="1" thickTop="1" thickBot="1" x14ac:dyDescent="0.2">
      <c r="B12" s="838" t="s">
        <v>175</v>
      </c>
      <c r="C12" s="84" t="s">
        <v>492</v>
      </c>
      <c r="D12" s="84">
        <v>550</v>
      </c>
      <c r="E12" s="89" t="s">
        <v>293</v>
      </c>
      <c r="F12" s="84">
        <f>3710/20</f>
        <v>185.5</v>
      </c>
      <c r="G12" s="178">
        <f>D12*F12</f>
        <v>102025</v>
      </c>
      <c r="H12" s="190"/>
      <c r="I12" s="837"/>
      <c r="J12" s="373" t="s">
        <v>246</v>
      </c>
      <c r="K12" s="374">
        <f>SUM(K6:K9)</f>
        <v>20.7</v>
      </c>
      <c r="L12" s="374">
        <f>SUM(L6:L11)</f>
        <v>39.5</v>
      </c>
      <c r="M12" s="374"/>
      <c r="N12" s="379">
        <f>SUM(N6:N11)</f>
        <v>20052.724999999999</v>
      </c>
      <c r="O12" s="207"/>
      <c r="P12" s="306"/>
      <c r="Q12" s="174"/>
      <c r="R12" s="399"/>
      <c r="S12" s="174"/>
      <c r="T12" s="821"/>
      <c r="U12" s="822"/>
      <c r="V12" s="197"/>
    </row>
    <row r="13" spans="2:23" ht="15" customHeight="1" thickTop="1" x14ac:dyDescent="0.15">
      <c r="B13" s="839"/>
      <c r="C13" s="84"/>
      <c r="D13" s="84"/>
      <c r="E13" s="89"/>
      <c r="F13" s="84"/>
      <c r="G13" s="178">
        <f>D13*F13</f>
        <v>0</v>
      </c>
      <c r="H13" s="190"/>
      <c r="I13" s="866" t="s">
        <v>48</v>
      </c>
      <c r="J13" s="341" t="s">
        <v>298</v>
      </c>
      <c r="K13" s="377">
        <v>4.4000000000000004</v>
      </c>
      <c r="L13" s="377">
        <v>3.3</v>
      </c>
      <c r="M13" s="405">
        <v>158.4</v>
      </c>
      <c r="N13" s="378">
        <f>K13*L13*M13</f>
        <v>2299.9679999999998</v>
      </c>
      <c r="O13" s="207"/>
      <c r="P13" s="306"/>
      <c r="Q13" s="174"/>
      <c r="R13" s="399"/>
      <c r="S13" s="174"/>
      <c r="T13" s="821"/>
      <c r="U13" s="822"/>
      <c r="V13" s="197"/>
    </row>
    <row r="14" spans="2:23" ht="15" customHeight="1" x14ac:dyDescent="0.15">
      <c r="B14" s="839"/>
      <c r="C14" s="84"/>
      <c r="D14" s="84"/>
      <c r="E14" s="89"/>
      <c r="F14" s="84"/>
      <c r="G14" s="178">
        <f>D14*F14</f>
        <v>0</v>
      </c>
      <c r="H14" s="190"/>
      <c r="I14" s="867"/>
      <c r="J14" s="341"/>
      <c r="K14" s="377"/>
      <c r="L14" s="377"/>
      <c r="M14" s="377"/>
      <c r="N14" s="378">
        <f t="shared" ref="N14:N15" si="2">K14*L14*M14</f>
        <v>0</v>
      </c>
      <c r="O14" s="207"/>
      <c r="P14" s="306"/>
      <c r="Q14" s="174"/>
      <c r="R14" s="399"/>
      <c r="S14" s="174"/>
      <c r="T14" s="821"/>
      <c r="U14" s="822"/>
      <c r="V14" s="197"/>
    </row>
    <row r="15" spans="2:23" ht="15" customHeight="1" x14ac:dyDescent="0.15">
      <c r="B15" s="839"/>
      <c r="C15" s="84"/>
      <c r="D15" s="84"/>
      <c r="E15" s="84"/>
      <c r="F15" s="84"/>
      <c r="G15" s="178">
        <f t="shared" ref="G15" si="3">D15*F15</f>
        <v>0</v>
      </c>
      <c r="H15" s="190"/>
      <c r="I15" s="867"/>
      <c r="J15" s="341"/>
      <c r="K15" s="377"/>
      <c r="L15" s="377"/>
      <c r="M15" s="377"/>
      <c r="N15" s="378">
        <f t="shared" si="2"/>
        <v>0</v>
      </c>
      <c r="O15" s="207"/>
      <c r="P15" s="306"/>
      <c r="Q15" s="174"/>
      <c r="R15" s="399"/>
      <c r="S15" s="174"/>
      <c r="T15" s="821"/>
      <c r="U15" s="822"/>
      <c r="V15" s="197"/>
    </row>
    <row r="16" spans="2:23" ht="15" customHeight="1" thickBot="1" x14ac:dyDescent="0.2">
      <c r="B16" s="841"/>
      <c r="C16" s="181" t="s">
        <v>159</v>
      </c>
      <c r="D16" s="182"/>
      <c r="E16" s="182"/>
      <c r="F16" s="182"/>
      <c r="G16" s="183">
        <f>SUM(G12:G15)</f>
        <v>102025</v>
      </c>
      <c r="H16" s="190"/>
      <c r="I16" s="868"/>
      <c r="J16" s="307" t="s">
        <v>246</v>
      </c>
      <c r="K16" s="193">
        <f>SUM(K13:K15)</f>
        <v>4.4000000000000004</v>
      </c>
      <c r="L16" s="193">
        <f>SUM(L13:L15)</f>
        <v>3.3</v>
      </c>
      <c r="M16" s="193"/>
      <c r="N16" s="380">
        <f>SUM(N13:N15)</f>
        <v>2299.9679999999998</v>
      </c>
      <c r="O16" s="207"/>
      <c r="P16" s="306"/>
      <c r="Q16" s="174"/>
      <c r="R16" s="399"/>
      <c r="S16" s="174"/>
      <c r="T16" s="821"/>
      <c r="U16" s="822"/>
      <c r="V16" s="197"/>
    </row>
    <row r="17" spans="2:22" ht="15" customHeight="1" thickTop="1" x14ac:dyDescent="0.15">
      <c r="B17" s="838" t="s">
        <v>177</v>
      </c>
      <c r="C17" s="84"/>
      <c r="D17" s="84"/>
      <c r="E17" s="89"/>
      <c r="F17" s="84"/>
      <c r="G17" s="178">
        <f t="shared" ref="G17" si="4">D17*F17</f>
        <v>0</v>
      </c>
      <c r="H17" s="190"/>
      <c r="I17" s="866" t="s">
        <v>186</v>
      </c>
      <c r="J17" s="341"/>
      <c r="K17" s="377">
        <v>0</v>
      </c>
      <c r="L17" s="377"/>
      <c r="M17" s="377"/>
      <c r="N17" s="378">
        <f>K17*L17*M17</f>
        <v>0</v>
      </c>
      <c r="O17" s="207"/>
      <c r="P17" s="306"/>
      <c r="Q17" s="174"/>
      <c r="R17" s="399"/>
      <c r="S17" s="174"/>
      <c r="T17" s="821"/>
      <c r="U17" s="822"/>
      <c r="V17" s="197"/>
    </row>
    <row r="18" spans="2:22" ht="15" customHeight="1" x14ac:dyDescent="0.15">
      <c r="B18" s="839"/>
      <c r="C18" s="84"/>
      <c r="D18" s="84"/>
      <c r="E18" s="89"/>
      <c r="F18" s="84"/>
      <c r="G18" s="178">
        <f>D18*F18</f>
        <v>0</v>
      </c>
      <c r="H18" s="190"/>
      <c r="I18" s="867"/>
      <c r="J18" s="341"/>
      <c r="K18" s="377"/>
      <c r="L18" s="377"/>
      <c r="M18" s="377"/>
      <c r="N18" s="378">
        <f t="shared" ref="N18:N19" si="5">K18*L18*M18</f>
        <v>0</v>
      </c>
      <c r="O18" s="207"/>
      <c r="P18" s="306"/>
      <c r="Q18" s="174"/>
      <c r="R18" s="399"/>
      <c r="S18" s="174"/>
      <c r="T18" s="821"/>
      <c r="U18" s="822"/>
      <c r="V18" s="197"/>
    </row>
    <row r="19" spans="2:22" ht="15" customHeight="1" x14ac:dyDescent="0.15">
      <c r="B19" s="839"/>
      <c r="C19" s="84"/>
      <c r="D19" s="84"/>
      <c r="E19" s="84"/>
      <c r="F19" s="84"/>
      <c r="G19" s="178">
        <f t="shared" ref="G19" si="6">D19*F19</f>
        <v>0</v>
      </c>
      <c r="H19" s="190"/>
      <c r="I19" s="867"/>
      <c r="J19" s="341"/>
      <c r="K19" s="377"/>
      <c r="L19" s="377"/>
      <c r="M19" s="377"/>
      <c r="N19" s="378">
        <f t="shared" si="5"/>
        <v>0</v>
      </c>
      <c r="O19" s="207"/>
      <c r="P19" s="306"/>
      <c r="Q19" s="174"/>
      <c r="R19" s="399"/>
      <c r="S19" s="174"/>
      <c r="T19" s="821"/>
      <c r="U19" s="822"/>
      <c r="V19" s="197"/>
    </row>
    <row r="20" spans="2:22" ht="15" customHeight="1" thickBot="1" x14ac:dyDescent="0.2">
      <c r="B20" s="841"/>
      <c r="C20" s="181" t="s">
        <v>159</v>
      </c>
      <c r="D20" s="182"/>
      <c r="E20" s="182"/>
      <c r="F20" s="182"/>
      <c r="G20" s="183">
        <f>SUM(G17:G19)</f>
        <v>0</v>
      </c>
      <c r="H20" s="190"/>
      <c r="I20" s="868"/>
      <c r="J20" s="307" t="s">
        <v>246</v>
      </c>
      <c r="K20" s="193">
        <f>SUM(K17:K19)</f>
        <v>0</v>
      </c>
      <c r="L20" s="194">
        <f>SUM(L17:L19)</f>
        <v>0</v>
      </c>
      <c r="M20" s="195"/>
      <c r="N20" s="380">
        <f>SUM(N17:N19)</f>
        <v>0</v>
      </c>
      <c r="O20" s="207"/>
      <c r="P20" s="306"/>
      <c r="Q20" s="174"/>
      <c r="R20" s="399"/>
      <c r="S20" s="174"/>
      <c r="T20" s="821"/>
      <c r="U20" s="822"/>
      <c r="V20" s="197"/>
    </row>
    <row r="21" spans="2:22" ht="15" customHeight="1" thickTop="1" thickBot="1" x14ac:dyDescent="0.2">
      <c r="B21" s="838" t="s">
        <v>178</v>
      </c>
      <c r="C21" s="84" t="s">
        <v>493</v>
      </c>
      <c r="D21" s="84">
        <f>131*4.3</f>
        <v>563.29999999999995</v>
      </c>
      <c r="E21" s="89" t="s">
        <v>286</v>
      </c>
      <c r="F21" s="84">
        <f>510/20</f>
        <v>25.5</v>
      </c>
      <c r="G21" s="178">
        <f>D21*F21</f>
        <v>14364.15</v>
      </c>
      <c r="H21" s="190"/>
      <c r="I21" s="866" t="s">
        <v>187</v>
      </c>
      <c r="J21" s="341" t="s">
        <v>301</v>
      </c>
      <c r="K21" s="377">
        <v>28.2</v>
      </c>
      <c r="L21" s="377">
        <v>6.1</v>
      </c>
      <c r="M21" s="377">
        <v>102.1</v>
      </c>
      <c r="N21" s="378">
        <f>K21*L21*M21</f>
        <v>17563.241999999998</v>
      </c>
      <c r="O21" s="207"/>
      <c r="P21" s="198" t="s">
        <v>29</v>
      </c>
      <c r="Q21" s="199"/>
      <c r="R21" s="199"/>
      <c r="S21" s="199"/>
      <c r="T21" s="827"/>
      <c r="U21" s="818"/>
      <c r="V21" s="200">
        <f>SUM(V5:V20)</f>
        <v>5806.666666666667</v>
      </c>
    </row>
    <row r="22" spans="2:22" ht="15" customHeight="1" x14ac:dyDescent="0.15">
      <c r="B22" s="839"/>
      <c r="C22" s="84"/>
      <c r="D22" s="84"/>
      <c r="E22" s="89"/>
      <c r="F22" s="84"/>
      <c r="G22" s="178">
        <f>D22*F22</f>
        <v>0</v>
      </c>
      <c r="H22" s="190"/>
      <c r="I22" s="867"/>
      <c r="J22" s="341"/>
      <c r="K22" s="377"/>
      <c r="L22" s="377"/>
      <c r="M22" s="377"/>
      <c r="N22" s="378">
        <f t="shared" ref="N22:N23" si="7">K22*L22*M22</f>
        <v>0</v>
      </c>
      <c r="O22" s="207"/>
    </row>
    <row r="23" spans="2:22" ht="15" customHeight="1" thickBot="1" x14ac:dyDescent="0.2">
      <c r="B23" s="839"/>
      <c r="C23" s="84"/>
      <c r="D23" s="84"/>
      <c r="E23" s="89"/>
      <c r="F23" s="84"/>
      <c r="G23" s="178">
        <f>D23*F23</f>
        <v>0</v>
      </c>
      <c r="H23" s="190"/>
      <c r="I23" s="867"/>
      <c r="J23" s="341"/>
      <c r="K23" s="377"/>
      <c r="L23" s="377"/>
      <c r="M23" s="377"/>
      <c r="N23" s="378">
        <f t="shared" si="7"/>
        <v>0</v>
      </c>
      <c r="O23" s="207"/>
      <c r="P23" s="85" t="s">
        <v>242</v>
      </c>
    </row>
    <row r="24" spans="2:22" ht="15" customHeight="1" thickBot="1" x14ac:dyDescent="0.2">
      <c r="B24" s="840"/>
      <c r="C24" s="184" t="s">
        <v>160</v>
      </c>
      <c r="D24" s="185"/>
      <c r="E24" s="185"/>
      <c r="F24" s="192"/>
      <c r="G24" s="186">
        <f>SUM(G21:G23)</f>
        <v>14364.15</v>
      </c>
      <c r="H24" s="190"/>
      <c r="I24" s="868"/>
      <c r="J24" s="307" t="s">
        <v>246</v>
      </c>
      <c r="K24" s="193">
        <f>SUM(K21:K23)</f>
        <v>28.2</v>
      </c>
      <c r="L24" s="194">
        <f>SUM(L21:L23)</f>
        <v>6.1</v>
      </c>
      <c r="M24" s="195"/>
      <c r="N24" s="380">
        <f>SUM(N21:N23)</f>
        <v>17563.241999999998</v>
      </c>
      <c r="O24" s="207"/>
      <c r="P24" s="303" t="s">
        <v>194</v>
      </c>
      <c r="Q24" s="304" t="s">
        <v>189</v>
      </c>
      <c r="R24" s="304" t="s">
        <v>190</v>
      </c>
      <c r="S24" s="304" t="s">
        <v>191</v>
      </c>
      <c r="T24" s="304" t="s">
        <v>192</v>
      </c>
      <c r="U24" s="401" t="s">
        <v>195</v>
      </c>
      <c r="V24" s="305" t="s">
        <v>193</v>
      </c>
    </row>
    <row r="25" spans="2:22" ht="15" customHeight="1" thickTop="1" x14ac:dyDescent="0.15">
      <c r="I25" s="866" t="s">
        <v>267</v>
      </c>
      <c r="J25" s="341"/>
      <c r="K25" s="377"/>
      <c r="L25" s="377"/>
      <c r="M25" s="377"/>
      <c r="N25" s="378">
        <f>K25*L25*M25</f>
        <v>0</v>
      </c>
      <c r="O25" s="207"/>
      <c r="P25" s="306" t="s">
        <v>399</v>
      </c>
      <c r="Q25" s="174">
        <v>10</v>
      </c>
      <c r="R25" s="399" t="s">
        <v>245</v>
      </c>
      <c r="S25" s="451">
        <v>500</v>
      </c>
      <c r="T25" s="174">
        <v>2</v>
      </c>
      <c r="U25" s="175">
        <v>30</v>
      </c>
      <c r="V25" s="197">
        <f>Q25*S25/T25/U25</f>
        <v>83.333333333333329</v>
      </c>
    </row>
    <row r="26" spans="2:22" ht="15" customHeight="1" thickBot="1" x14ac:dyDescent="0.2">
      <c r="B26" s="13" t="s">
        <v>250</v>
      </c>
      <c r="C26" s="13"/>
      <c r="D26" s="87"/>
      <c r="E26" s="13"/>
      <c r="F26" s="87"/>
      <c r="G26" s="88"/>
      <c r="H26" s="191"/>
      <c r="I26" s="867"/>
      <c r="J26" s="341"/>
      <c r="K26" s="377"/>
      <c r="L26" s="377"/>
      <c r="M26" s="377"/>
      <c r="N26" s="378">
        <f t="shared" ref="N26:N27" si="8">K26*L26*M26</f>
        <v>0</v>
      </c>
      <c r="O26" s="207"/>
      <c r="P26" s="306"/>
      <c r="Q26" s="174"/>
      <c r="R26" s="399"/>
      <c r="S26" s="174"/>
      <c r="T26" s="174"/>
      <c r="U26" s="175"/>
      <c r="V26" s="197"/>
    </row>
    <row r="27" spans="2:22" ht="15" customHeight="1" x14ac:dyDescent="0.15">
      <c r="B27" s="302" t="s">
        <v>90</v>
      </c>
      <c r="C27" s="188" t="s">
        <v>152</v>
      </c>
      <c r="D27" s="188" t="s">
        <v>153</v>
      </c>
      <c r="E27" s="188" t="s">
        <v>154</v>
      </c>
      <c r="F27" s="398" t="s">
        <v>24</v>
      </c>
      <c r="G27" s="176" t="s">
        <v>155</v>
      </c>
      <c r="H27" s="189"/>
      <c r="I27" s="867"/>
      <c r="J27" s="341"/>
      <c r="K27" s="377"/>
      <c r="L27" s="377"/>
      <c r="M27" s="377"/>
      <c r="N27" s="378">
        <f t="shared" si="8"/>
        <v>0</v>
      </c>
      <c r="O27" s="207"/>
      <c r="P27" s="306"/>
      <c r="Q27" s="174"/>
      <c r="R27" s="399"/>
      <c r="S27" s="174"/>
      <c r="T27" s="174"/>
      <c r="U27" s="175"/>
      <c r="V27" s="197"/>
    </row>
    <row r="28" spans="2:22" ht="15" customHeight="1" thickBot="1" x14ac:dyDescent="0.2">
      <c r="B28" s="842" t="s">
        <v>30</v>
      </c>
      <c r="C28" s="84" t="s">
        <v>494</v>
      </c>
      <c r="D28" s="84">
        <v>300</v>
      </c>
      <c r="E28" s="89" t="s">
        <v>292</v>
      </c>
      <c r="F28" s="84">
        <f>62610/10000</f>
        <v>6.2610000000000001</v>
      </c>
      <c r="G28" s="177">
        <f>D28*F28</f>
        <v>1878.3</v>
      </c>
      <c r="H28" s="190"/>
      <c r="I28" s="868"/>
      <c r="J28" s="307" t="s">
        <v>246</v>
      </c>
      <c r="K28" s="193">
        <f>SUM(K25:K27)</f>
        <v>0</v>
      </c>
      <c r="L28" s="194">
        <f>SUM(L25:L27)</f>
        <v>0</v>
      </c>
      <c r="M28" s="195"/>
      <c r="N28" s="380">
        <f>SUM(N25:N27)</f>
        <v>0</v>
      </c>
      <c r="O28" s="207"/>
      <c r="P28" s="306"/>
      <c r="Q28" s="174"/>
      <c r="R28" s="399"/>
      <c r="S28" s="174"/>
      <c r="T28" s="174"/>
      <c r="U28" s="175"/>
      <c r="V28" s="197"/>
    </row>
    <row r="29" spans="2:22" ht="15" customHeight="1" thickTop="1" x14ac:dyDescent="0.15">
      <c r="B29" s="839"/>
      <c r="C29" s="371" t="s">
        <v>495</v>
      </c>
      <c r="D29" s="341">
        <v>180</v>
      </c>
      <c r="E29" s="89" t="s">
        <v>292</v>
      </c>
      <c r="F29" s="341">
        <f>4180/500</f>
        <v>8.36</v>
      </c>
      <c r="G29" s="177">
        <f>D29*F29</f>
        <v>1504.8</v>
      </c>
      <c r="H29" s="190"/>
      <c r="I29" s="866" t="s">
        <v>183</v>
      </c>
      <c r="J29" s="341" t="s">
        <v>301</v>
      </c>
      <c r="K29" s="377">
        <v>31.4</v>
      </c>
      <c r="L29" s="377">
        <v>3.2</v>
      </c>
      <c r="M29" s="377">
        <v>14</v>
      </c>
      <c r="N29" s="378">
        <f>K29*L29*M29</f>
        <v>1406.72</v>
      </c>
      <c r="O29" s="207"/>
      <c r="P29" s="306"/>
      <c r="Q29" s="174"/>
      <c r="R29" s="399"/>
      <c r="S29" s="174"/>
      <c r="T29" s="174"/>
      <c r="U29" s="340"/>
      <c r="V29" s="197"/>
    </row>
    <row r="30" spans="2:22" ht="15" customHeight="1" x14ac:dyDescent="0.15">
      <c r="B30" s="839"/>
      <c r="C30" s="84" t="s">
        <v>30</v>
      </c>
      <c r="D30" s="84">
        <v>1000</v>
      </c>
      <c r="E30" s="89" t="s">
        <v>307</v>
      </c>
      <c r="F30" s="84">
        <f>42580/20000</f>
        <v>2.129</v>
      </c>
      <c r="G30" s="177">
        <f>D30*F30</f>
        <v>2129</v>
      </c>
      <c r="H30" s="190"/>
      <c r="I30" s="867"/>
      <c r="J30" s="341" t="s">
        <v>303</v>
      </c>
      <c r="K30" s="377">
        <v>4</v>
      </c>
      <c r="L30" s="377">
        <v>1.9</v>
      </c>
      <c r="M30" s="377">
        <v>14</v>
      </c>
      <c r="N30" s="378">
        <f t="shared" ref="N30:N31" si="9">K30*L30*M30</f>
        <v>106.39999999999999</v>
      </c>
      <c r="O30" s="86"/>
      <c r="P30" s="306"/>
      <c r="Q30" s="174"/>
      <c r="R30" s="399"/>
      <c r="S30" s="174"/>
      <c r="T30" s="174"/>
      <c r="U30" s="340"/>
      <c r="V30" s="197"/>
    </row>
    <row r="31" spans="2:22" ht="15" customHeight="1" x14ac:dyDescent="0.15">
      <c r="B31" s="839"/>
      <c r="C31" s="371"/>
      <c r="D31" s="341"/>
      <c r="E31" s="89"/>
      <c r="F31" s="341"/>
      <c r="G31" s="178">
        <v>0</v>
      </c>
      <c r="H31" s="190"/>
      <c r="I31" s="867"/>
      <c r="J31" s="341" t="s">
        <v>304</v>
      </c>
      <c r="K31" s="377">
        <v>24.5</v>
      </c>
      <c r="L31" s="377">
        <v>6.7</v>
      </c>
      <c r="M31" s="377">
        <v>14</v>
      </c>
      <c r="N31" s="378">
        <f t="shared" si="9"/>
        <v>2298.1</v>
      </c>
      <c r="P31" s="306"/>
      <c r="Q31" s="174"/>
      <c r="R31" s="399"/>
      <c r="S31" s="174"/>
      <c r="T31" s="174"/>
      <c r="U31" s="175"/>
      <c r="V31" s="197"/>
    </row>
    <row r="32" spans="2:22" ht="15" customHeight="1" thickBot="1" x14ac:dyDescent="0.2">
      <c r="B32" s="839"/>
      <c r="C32" s="341"/>
      <c r="D32" s="341"/>
      <c r="E32" s="89"/>
      <c r="F32" s="341"/>
      <c r="G32" s="178">
        <f t="shared" ref="G32:G37" si="10">D32*F32</f>
        <v>0</v>
      </c>
      <c r="H32" s="190"/>
      <c r="I32" s="871"/>
      <c r="J32" s="381" t="s">
        <v>246</v>
      </c>
      <c r="K32" s="382">
        <f>SUM(K29:K31)</f>
        <v>59.9</v>
      </c>
      <c r="L32" s="383">
        <f>SUM(L29:L31)</f>
        <v>11.8</v>
      </c>
      <c r="M32" s="384"/>
      <c r="N32" s="385">
        <f>SUM(N29:N31)</f>
        <v>3811.2200000000003</v>
      </c>
      <c r="P32" s="306"/>
      <c r="Q32" s="174"/>
      <c r="R32" s="399"/>
      <c r="S32" s="174"/>
      <c r="T32" s="174"/>
      <c r="U32" s="175"/>
      <c r="V32" s="197"/>
    </row>
    <row r="33" spans="2:22" ht="15" customHeight="1" x14ac:dyDescent="0.15">
      <c r="B33" s="839"/>
      <c r="C33" s="341"/>
      <c r="D33" s="341"/>
      <c r="E33" s="89"/>
      <c r="F33" s="341"/>
      <c r="G33" s="178">
        <f t="shared" si="10"/>
        <v>0</v>
      </c>
      <c r="H33" s="190"/>
      <c r="I33" s="168"/>
      <c r="J33" s="168"/>
      <c r="K33" s="168"/>
      <c r="L33" s="168"/>
      <c r="M33" s="168"/>
      <c r="N33" s="168"/>
      <c r="P33" s="306"/>
      <c r="Q33" s="174"/>
      <c r="R33" s="399"/>
      <c r="S33" s="174"/>
      <c r="T33" s="174"/>
      <c r="U33" s="175"/>
      <c r="V33" s="197"/>
    </row>
    <row r="34" spans="2:22" ht="15" customHeight="1" thickBot="1" x14ac:dyDescent="0.2">
      <c r="B34" s="839"/>
      <c r="C34" s="341"/>
      <c r="D34" s="341"/>
      <c r="E34" s="89"/>
      <c r="F34" s="341"/>
      <c r="G34" s="178">
        <f t="shared" si="10"/>
        <v>0</v>
      </c>
      <c r="H34" s="190"/>
      <c r="I34" s="158" t="s">
        <v>240</v>
      </c>
      <c r="J34" s="158"/>
      <c r="K34" s="158"/>
      <c r="L34" s="158"/>
      <c r="M34" s="158"/>
      <c r="P34" s="310" t="s">
        <v>233</v>
      </c>
      <c r="Q34" s="199"/>
      <c r="R34" s="199"/>
      <c r="S34" s="199"/>
      <c r="T34" s="199"/>
      <c r="U34" s="201"/>
      <c r="V34" s="200">
        <f>SUM(V25:V33)</f>
        <v>83.333333333333329</v>
      </c>
    </row>
    <row r="35" spans="2:22" ht="15" customHeight="1" thickBot="1" x14ac:dyDescent="0.2">
      <c r="B35" s="839"/>
      <c r="C35" s="341"/>
      <c r="D35" s="341"/>
      <c r="E35" s="89"/>
      <c r="F35" s="341"/>
      <c r="G35" s="178">
        <f t="shared" si="10"/>
        <v>0</v>
      </c>
      <c r="H35" s="190"/>
      <c r="I35" s="282" t="s">
        <v>228</v>
      </c>
      <c r="J35" s="283" t="s">
        <v>5</v>
      </c>
      <c r="K35" s="869" t="s">
        <v>229</v>
      </c>
      <c r="L35" s="870"/>
      <c r="M35" s="308" t="s">
        <v>195</v>
      </c>
      <c r="N35" s="309" t="s">
        <v>252</v>
      </c>
    </row>
    <row r="36" spans="2:22" ht="15" customHeight="1" thickTop="1" thickBot="1" x14ac:dyDescent="0.2">
      <c r="B36" s="839"/>
      <c r="C36" s="341"/>
      <c r="D36" s="341"/>
      <c r="E36" s="89"/>
      <c r="F36" s="341"/>
      <c r="G36" s="178">
        <f t="shared" si="10"/>
        <v>0</v>
      </c>
      <c r="H36" s="190"/>
      <c r="I36" s="850" t="s">
        <v>2</v>
      </c>
      <c r="J36" s="187" t="str">
        <f>'６　資本装備と減価償却'!C5</f>
        <v>農機具庫</v>
      </c>
      <c r="K36" s="819">
        <f>'６　資本装備と減価償却'!I5</f>
        <v>5940000</v>
      </c>
      <c r="L36" s="819"/>
      <c r="M36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6" s="297">
        <f>+K36/M36*0.014*0.3</f>
        <v>831.6</v>
      </c>
      <c r="P36" s="158" t="s">
        <v>234</v>
      </c>
      <c r="Q36" s="158"/>
      <c r="R36" s="158"/>
      <c r="S36" s="158"/>
      <c r="T36" s="158"/>
    </row>
    <row r="37" spans="2:22" ht="15" customHeight="1" thickTop="1" thickBot="1" x14ac:dyDescent="0.2">
      <c r="B37" s="839"/>
      <c r="C37" s="341"/>
      <c r="D37" s="341"/>
      <c r="E37" s="89"/>
      <c r="F37" s="341"/>
      <c r="G37" s="178">
        <f t="shared" si="10"/>
        <v>0</v>
      </c>
      <c r="H37" s="190"/>
      <c r="I37" s="863"/>
      <c r="J37" s="187" t="str">
        <f>'６　資本装備と減価償却'!C6</f>
        <v>乾燥調製施設</v>
      </c>
      <c r="K37" s="819">
        <f>'６　資本装備と減価償却'!I6</f>
        <v>10692000</v>
      </c>
      <c r="L37" s="819"/>
      <c r="M37" s="425">
        <f>'１　対象経営の概要，２　前提条件'!$N$7+'１　対象経営の概要，２　前提条件'!$N$8+'１　対象経営の概要，２　前提条件'!$N$9</f>
        <v>30</v>
      </c>
      <c r="N37" s="297">
        <f>+K37/M37*0.014*0.3</f>
        <v>1496.88</v>
      </c>
      <c r="P37" s="282" t="s">
        <v>227</v>
      </c>
      <c r="Q37" s="820" t="s">
        <v>235</v>
      </c>
      <c r="R37" s="820"/>
      <c r="S37" s="402" t="s">
        <v>238</v>
      </c>
      <c r="T37" s="402" t="s">
        <v>237</v>
      </c>
      <c r="U37" s="311" t="s">
        <v>195</v>
      </c>
      <c r="V37" s="312" t="s">
        <v>252</v>
      </c>
    </row>
    <row r="38" spans="2:22" ht="15" customHeight="1" thickTop="1" thickBot="1" x14ac:dyDescent="0.2">
      <c r="B38" s="841"/>
      <c r="C38" s="179" t="s">
        <v>158</v>
      </c>
      <c r="D38" s="179"/>
      <c r="E38" s="179"/>
      <c r="F38" s="179"/>
      <c r="G38" s="180">
        <f>SUM(G28:G37)</f>
        <v>5512.1</v>
      </c>
      <c r="H38" s="190"/>
      <c r="I38" s="863"/>
      <c r="J38" s="187" t="str">
        <f>'６　資本装備と減価償却'!C7</f>
        <v>育苗ハウス</v>
      </c>
      <c r="K38" s="819">
        <f>'６　資本装備と減価償却'!I7</f>
        <v>1761750</v>
      </c>
      <c r="L38" s="819"/>
      <c r="M38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38" s="297">
        <f>+K38/M38*0.014*0.3</f>
        <v>246.64499999999998</v>
      </c>
      <c r="O38" s="196"/>
      <c r="P38" s="861" t="s">
        <v>236</v>
      </c>
      <c r="Q38" s="288" t="s">
        <v>226</v>
      </c>
      <c r="R38" s="316"/>
      <c r="S38" s="289"/>
      <c r="T38" s="317"/>
      <c r="U38" s="289"/>
      <c r="V38" s="297">
        <v>3880</v>
      </c>
    </row>
    <row r="39" spans="2:22" ht="15" customHeight="1" thickTop="1" x14ac:dyDescent="0.15">
      <c r="B39" s="838" t="s">
        <v>179</v>
      </c>
      <c r="C39" s="404" t="s">
        <v>496</v>
      </c>
      <c r="D39" s="84">
        <v>60</v>
      </c>
      <c r="E39" s="89" t="s">
        <v>307</v>
      </c>
      <c r="F39" s="84">
        <f>1450/500</f>
        <v>2.9</v>
      </c>
      <c r="G39" s="178">
        <f>D39*F39</f>
        <v>174</v>
      </c>
      <c r="H39" s="190"/>
      <c r="I39" s="863"/>
      <c r="J39" s="187"/>
      <c r="K39" s="819"/>
      <c r="L39" s="819"/>
      <c r="M39" s="424"/>
      <c r="N39" s="297"/>
      <c r="O39" s="196"/>
      <c r="P39" s="815"/>
      <c r="Q39" s="288"/>
      <c r="R39" s="316"/>
      <c r="S39" s="289"/>
      <c r="T39" s="317"/>
      <c r="U39" s="289"/>
      <c r="V39" s="297"/>
    </row>
    <row r="40" spans="2:22" ht="15" customHeight="1" x14ac:dyDescent="0.15">
      <c r="B40" s="839"/>
      <c r="C40" s="84" t="s">
        <v>329</v>
      </c>
      <c r="D40" s="84">
        <v>1000</v>
      </c>
      <c r="E40" s="89" t="s">
        <v>307</v>
      </c>
      <c r="F40" s="84">
        <f>96020/20000</f>
        <v>4.8010000000000002</v>
      </c>
      <c r="G40" s="178">
        <f>D40*F40</f>
        <v>4801</v>
      </c>
      <c r="H40" s="190"/>
      <c r="I40" s="863"/>
      <c r="J40" s="187"/>
      <c r="K40" s="819"/>
      <c r="L40" s="819"/>
      <c r="M40" s="424"/>
      <c r="N40" s="297"/>
      <c r="O40" s="196"/>
      <c r="P40" s="815"/>
      <c r="Q40" s="288"/>
      <c r="R40" s="316"/>
      <c r="S40" s="289"/>
      <c r="T40" s="317"/>
      <c r="U40" s="289"/>
      <c r="V40" s="297"/>
    </row>
    <row r="41" spans="2:22" ht="15" customHeight="1" x14ac:dyDescent="0.15">
      <c r="B41" s="839"/>
      <c r="C41" s="84"/>
      <c r="D41" s="84"/>
      <c r="E41" s="89"/>
      <c r="F41" s="84"/>
      <c r="G41" s="178">
        <f>D41*F41</f>
        <v>0</v>
      </c>
      <c r="H41" s="190"/>
      <c r="I41" s="863"/>
      <c r="J41" s="187"/>
      <c r="K41" s="819"/>
      <c r="L41" s="819"/>
      <c r="M41" s="424"/>
      <c r="N41" s="297"/>
      <c r="O41" s="196"/>
      <c r="P41" s="815"/>
      <c r="Q41" s="288"/>
      <c r="R41" s="316"/>
      <c r="S41" s="289"/>
      <c r="T41" s="317"/>
      <c r="U41" s="289"/>
      <c r="V41" s="297"/>
    </row>
    <row r="42" spans="2:22" ht="15" customHeight="1" thickBot="1" x14ac:dyDescent="0.2">
      <c r="B42" s="839"/>
      <c r="C42" s="84"/>
      <c r="D42" s="84"/>
      <c r="E42" s="89"/>
      <c r="F42" s="84"/>
      <c r="G42" s="178">
        <f t="shared" ref="G42:G52" si="11">D42*F42</f>
        <v>0</v>
      </c>
      <c r="H42" s="190"/>
      <c r="I42" s="864"/>
      <c r="J42" s="284" t="s">
        <v>159</v>
      </c>
      <c r="K42" s="845"/>
      <c r="L42" s="846"/>
      <c r="M42" s="285"/>
      <c r="N42" s="293">
        <f>SUM(N36:N41)</f>
        <v>2575.125</v>
      </c>
      <c r="O42" s="196"/>
      <c r="P42" s="815"/>
      <c r="Q42" s="288"/>
      <c r="R42" s="316"/>
      <c r="S42" s="289"/>
      <c r="T42" s="317"/>
      <c r="U42" s="289"/>
      <c r="V42" s="297"/>
    </row>
    <row r="43" spans="2:22" ht="15" customHeight="1" thickTop="1" x14ac:dyDescent="0.15">
      <c r="B43" s="839"/>
      <c r="C43" s="84"/>
      <c r="D43" s="84"/>
      <c r="E43" s="89"/>
      <c r="F43" s="84"/>
      <c r="G43" s="178">
        <f t="shared" si="11"/>
        <v>0</v>
      </c>
      <c r="H43" s="190"/>
      <c r="I43" s="848" t="s">
        <v>230</v>
      </c>
      <c r="J43" s="286" t="s">
        <v>253</v>
      </c>
      <c r="K43" s="847">
        <v>8200</v>
      </c>
      <c r="L43" s="847"/>
      <c r="M43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3" s="314">
        <f>+K43/M43</f>
        <v>273.33333333333331</v>
      </c>
      <c r="O43" s="196"/>
      <c r="P43" s="815"/>
      <c r="Q43" s="288"/>
      <c r="R43" s="316"/>
      <c r="S43" s="289"/>
      <c r="T43" s="317"/>
      <c r="U43" s="289"/>
      <c r="V43" s="297"/>
    </row>
    <row r="44" spans="2:22" ht="15" customHeight="1" thickBot="1" x14ac:dyDescent="0.2">
      <c r="B44" s="839"/>
      <c r="C44" s="84"/>
      <c r="D44" s="84"/>
      <c r="E44" s="89"/>
      <c r="F44" s="84"/>
      <c r="G44" s="178">
        <f t="shared" si="11"/>
        <v>0</v>
      </c>
      <c r="H44" s="190"/>
      <c r="I44" s="849"/>
      <c r="J44" s="288"/>
      <c r="K44" s="819"/>
      <c r="L44" s="819"/>
      <c r="M44" s="424"/>
      <c r="N44" s="297"/>
      <c r="O44" s="196"/>
      <c r="P44" s="862"/>
      <c r="Q44" s="298" t="s">
        <v>239</v>
      </c>
      <c r="R44" s="299"/>
      <c r="S44" s="299"/>
      <c r="T44" s="299"/>
      <c r="U44" s="299"/>
      <c r="V44" s="300">
        <f>SUM(V38:V43)</f>
        <v>3880</v>
      </c>
    </row>
    <row r="45" spans="2:22" ht="15" customHeight="1" thickTop="1" x14ac:dyDescent="0.15">
      <c r="B45" s="839"/>
      <c r="C45" s="84"/>
      <c r="D45" s="84"/>
      <c r="E45" s="89"/>
      <c r="F45" s="84"/>
      <c r="G45" s="178">
        <f t="shared" si="11"/>
        <v>0</v>
      </c>
      <c r="H45" s="190"/>
      <c r="I45" s="849"/>
      <c r="J45" s="187"/>
      <c r="K45" s="819"/>
      <c r="L45" s="819"/>
      <c r="M45" s="424"/>
      <c r="N45" s="297"/>
      <c r="O45" s="196"/>
      <c r="P45" s="814" t="s">
        <v>244</v>
      </c>
      <c r="Q45" s="811" t="s">
        <v>255</v>
      </c>
      <c r="R45" s="318" t="s">
        <v>256</v>
      </c>
      <c r="S45" s="286">
        <v>35750</v>
      </c>
      <c r="T45" s="319">
        <v>1</v>
      </c>
      <c r="U45" s="286">
        <v>30</v>
      </c>
      <c r="V45" s="313">
        <f>+S45*T45/U45</f>
        <v>1191.6666666666667</v>
      </c>
    </row>
    <row r="46" spans="2:22" ht="15" customHeight="1" thickBot="1" x14ac:dyDescent="0.2">
      <c r="B46" s="839"/>
      <c r="C46" s="84"/>
      <c r="D46" s="84"/>
      <c r="E46" s="89"/>
      <c r="F46" s="84"/>
      <c r="G46" s="178">
        <f t="shared" si="11"/>
        <v>0</v>
      </c>
      <c r="H46" s="190"/>
      <c r="I46" s="865"/>
      <c r="J46" s="284" t="s">
        <v>159</v>
      </c>
      <c r="K46" s="845"/>
      <c r="L46" s="846"/>
      <c r="M46" s="285"/>
      <c r="N46" s="293">
        <f>SUM(N43:N45)</f>
        <v>273.33333333333331</v>
      </c>
      <c r="O46" s="196"/>
      <c r="P46" s="815"/>
      <c r="Q46" s="812"/>
      <c r="R46" s="320" t="s">
        <v>243</v>
      </c>
      <c r="S46" s="288">
        <v>15600</v>
      </c>
      <c r="T46" s="317">
        <v>1</v>
      </c>
      <c r="U46" s="288">
        <v>30</v>
      </c>
      <c r="V46" s="297">
        <f>+S46*T46/U46</f>
        <v>520</v>
      </c>
    </row>
    <row r="47" spans="2:22" ht="15" customHeight="1" thickTop="1" x14ac:dyDescent="0.15">
      <c r="B47" s="839"/>
      <c r="C47" s="84"/>
      <c r="D47" s="84"/>
      <c r="E47" s="89"/>
      <c r="F47" s="84"/>
      <c r="G47" s="178">
        <f t="shared" si="11"/>
        <v>0</v>
      </c>
      <c r="H47" s="190"/>
      <c r="I47" s="848" t="s">
        <v>231</v>
      </c>
      <c r="J47" s="286" t="s">
        <v>253</v>
      </c>
      <c r="K47" s="847">
        <v>11500</v>
      </c>
      <c r="L47" s="847"/>
      <c r="M47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47" s="313">
        <f>K47/M47</f>
        <v>383.33333333333331</v>
      </c>
      <c r="O47" s="196"/>
      <c r="P47" s="815"/>
      <c r="Q47" s="812"/>
      <c r="R47" s="320"/>
      <c r="S47" s="288"/>
      <c r="T47" s="288"/>
      <c r="U47" s="187"/>
      <c r="V47" s="321"/>
    </row>
    <row r="48" spans="2:22" ht="15" customHeight="1" x14ac:dyDescent="0.15">
      <c r="B48" s="839"/>
      <c r="C48" s="84"/>
      <c r="D48" s="84"/>
      <c r="E48" s="89"/>
      <c r="F48" s="84"/>
      <c r="G48" s="178">
        <f t="shared" si="11"/>
        <v>0</v>
      </c>
      <c r="H48" s="190"/>
      <c r="I48" s="849"/>
      <c r="J48" s="288"/>
      <c r="K48" s="819"/>
      <c r="L48" s="819"/>
      <c r="M48" s="424"/>
      <c r="N48" s="297"/>
      <c r="O48" s="196"/>
      <c r="P48" s="815"/>
      <c r="Q48" s="812"/>
      <c r="R48" s="320"/>
      <c r="S48" s="288"/>
      <c r="T48" s="317"/>
      <c r="U48" s="288"/>
      <c r="V48" s="297"/>
    </row>
    <row r="49" spans="2:22" ht="15" customHeight="1" thickBot="1" x14ac:dyDescent="0.2">
      <c r="B49" s="841"/>
      <c r="C49" s="181" t="s">
        <v>159</v>
      </c>
      <c r="D49" s="182"/>
      <c r="E49" s="182"/>
      <c r="F49" s="182"/>
      <c r="G49" s="183">
        <f>SUM(G39:G48)</f>
        <v>4975</v>
      </c>
      <c r="H49" s="190"/>
      <c r="I49" s="849"/>
      <c r="J49" s="187"/>
      <c r="K49" s="819"/>
      <c r="L49" s="819"/>
      <c r="M49" s="424"/>
      <c r="N49" s="297"/>
      <c r="O49" s="196"/>
      <c r="P49" s="815"/>
      <c r="Q49" s="813"/>
      <c r="R49" s="320"/>
      <c r="S49" s="288"/>
      <c r="T49" s="288"/>
      <c r="U49" s="187"/>
      <c r="V49" s="321"/>
    </row>
    <row r="50" spans="2:22" ht="15" customHeight="1" thickTop="1" thickBot="1" x14ac:dyDescent="0.2">
      <c r="B50" s="838" t="s">
        <v>32</v>
      </c>
      <c r="C50" s="84" t="s">
        <v>497</v>
      </c>
      <c r="D50" s="84">
        <v>10</v>
      </c>
      <c r="E50" s="89" t="s">
        <v>286</v>
      </c>
      <c r="F50" s="84">
        <f>24330/10</f>
        <v>2433</v>
      </c>
      <c r="G50" s="178">
        <f t="shared" si="11"/>
        <v>24330</v>
      </c>
      <c r="H50" s="190"/>
      <c r="I50" s="865"/>
      <c r="J50" s="284" t="s">
        <v>159</v>
      </c>
      <c r="K50" s="845"/>
      <c r="L50" s="846"/>
      <c r="M50" s="285"/>
      <c r="N50" s="293">
        <f>SUM(N47:N49)</f>
        <v>383.33333333333331</v>
      </c>
      <c r="O50" s="196"/>
      <c r="P50" s="815"/>
      <c r="Q50" s="298" t="s">
        <v>239</v>
      </c>
      <c r="R50" s="299"/>
      <c r="S50" s="299"/>
      <c r="T50" s="299"/>
      <c r="U50" s="299"/>
      <c r="V50" s="300">
        <f>SUM(V45:V49)</f>
        <v>1711.6666666666667</v>
      </c>
    </row>
    <row r="51" spans="2:22" ht="15" customHeight="1" thickTop="1" x14ac:dyDescent="0.15">
      <c r="B51" s="839"/>
      <c r="C51" s="84"/>
      <c r="D51" s="84"/>
      <c r="E51" s="84"/>
      <c r="F51" s="84"/>
      <c r="G51" s="178">
        <f t="shared" si="11"/>
        <v>0</v>
      </c>
      <c r="H51" s="190"/>
      <c r="I51" s="848" t="s">
        <v>232</v>
      </c>
      <c r="J51" s="286" t="s">
        <v>54</v>
      </c>
      <c r="K51" s="851">
        <v>2400</v>
      </c>
      <c r="L51" s="852"/>
      <c r="M51" s="425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1" s="314">
        <f>+K51/M51</f>
        <v>80</v>
      </c>
      <c r="O51" s="196"/>
      <c r="P51" s="815"/>
      <c r="Q51" s="811" t="s">
        <v>257</v>
      </c>
      <c r="R51" s="318" t="s">
        <v>256</v>
      </c>
      <c r="S51" s="286">
        <v>60000</v>
      </c>
      <c r="T51" s="319">
        <v>1</v>
      </c>
      <c r="U51" s="286">
        <v>30</v>
      </c>
      <c r="V51" s="313">
        <f>+S51*T51/U51</f>
        <v>2000</v>
      </c>
    </row>
    <row r="52" spans="2:22" ht="15" customHeight="1" x14ac:dyDescent="0.15">
      <c r="B52" s="839"/>
      <c r="C52" s="84"/>
      <c r="D52" s="84"/>
      <c r="E52" s="84"/>
      <c r="F52" s="84"/>
      <c r="G52" s="178">
        <f t="shared" si="11"/>
        <v>0</v>
      </c>
      <c r="H52" s="190"/>
      <c r="I52" s="849"/>
      <c r="J52" s="288" t="s">
        <v>54</v>
      </c>
      <c r="K52" s="853">
        <v>2400</v>
      </c>
      <c r="L52" s="854"/>
      <c r="M52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2" s="297">
        <f t="shared" ref="N52:N55" si="12">+K52/M52</f>
        <v>80</v>
      </c>
      <c r="O52" s="196"/>
      <c r="P52" s="815"/>
      <c r="Q52" s="812"/>
      <c r="R52" s="320" t="s">
        <v>243</v>
      </c>
      <c r="S52" s="288">
        <v>25000</v>
      </c>
      <c r="T52" s="317">
        <v>1</v>
      </c>
      <c r="U52" s="288">
        <v>30</v>
      </c>
      <c r="V52" s="297">
        <f>+S52*T52/U52</f>
        <v>833.33333333333337</v>
      </c>
    </row>
    <row r="53" spans="2:22" ht="15" customHeight="1" thickBot="1" x14ac:dyDescent="0.2">
      <c r="B53" s="841"/>
      <c r="C53" s="181" t="s">
        <v>159</v>
      </c>
      <c r="D53" s="182"/>
      <c r="E53" s="182"/>
      <c r="F53" s="182"/>
      <c r="G53" s="183">
        <f>SUM(G50:G52)</f>
        <v>24330</v>
      </c>
      <c r="H53" s="190"/>
      <c r="I53" s="849"/>
      <c r="J53" s="288" t="s">
        <v>56</v>
      </c>
      <c r="K53" s="855">
        <v>2400</v>
      </c>
      <c r="L53" s="856"/>
      <c r="M53" s="301">
        <f>'１　対象経営の概要，２　前提条件'!N7</f>
        <v>30</v>
      </c>
      <c r="N53" s="297">
        <f t="shared" si="12"/>
        <v>80</v>
      </c>
      <c r="O53" s="196"/>
      <c r="P53" s="815"/>
      <c r="Q53" s="812"/>
      <c r="R53" s="320"/>
      <c r="S53" s="288"/>
      <c r="T53" s="288"/>
      <c r="U53" s="187"/>
      <c r="V53" s="321"/>
    </row>
    <row r="54" spans="2:22" ht="13.9" customHeight="1" thickTop="1" x14ac:dyDescent="0.15">
      <c r="B54" s="838" t="s">
        <v>326</v>
      </c>
      <c r="C54" s="84" t="s">
        <v>498</v>
      </c>
      <c r="D54" s="403">
        <f>131*50/1000</f>
        <v>6.55</v>
      </c>
      <c r="E54" s="89" t="s">
        <v>286</v>
      </c>
      <c r="F54" s="84">
        <f>9650/3</f>
        <v>3216.6666666666665</v>
      </c>
      <c r="G54" s="177">
        <f>D54*F54</f>
        <v>21069.166666666664</v>
      </c>
      <c r="I54" s="849"/>
      <c r="J54" s="424" t="s">
        <v>243</v>
      </c>
      <c r="K54" s="857">
        <v>5000</v>
      </c>
      <c r="L54" s="858"/>
      <c r="M54" s="428">
        <f>'１　対象経営の概要，２　前提条件'!$N$7+'１　対象経営の概要，２　前提条件'!$Y$7+'１　対象経営の概要，２　前提条件'!$N$8+'１　対象経営の概要，２　前提条件'!$N$9</f>
        <v>30</v>
      </c>
      <c r="N54" s="297">
        <f t="shared" si="12"/>
        <v>166.66666666666666</v>
      </c>
      <c r="O54" s="196"/>
      <c r="P54" s="815"/>
      <c r="Q54" s="812"/>
      <c r="R54" s="320"/>
      <c r="S54" s="288"/>
      <c r="T54" s="317"/>
      <c r="U54" s="288"/>
      <c r="V54" s="297"/>
    </row>
    <row r="55" spans="2:22" x14ac:dyDescent="0.15">
      <c r="B55" s="839"/>
      <c r="C55" s="84" t="s">
        <v>499</v>
      </c>
      <c r="D55" s="84">
        <v>1000</v>
      </c>
      <c r="E55" s="89" t="s">
        <v>292</v>
      </c>
      <c r="F55" s="84">
        <f>68710/10000</f>
        <v>6.8710000000000004</v>
      </c>
      <c r="G55" s="178">
        <f>D55*F55</f>
        <v>6871</v>
      </c>
      <c r="I55" s="849"/>
      <c r="J55" s="288" t="s">
        <v>456</v>
      </c>
      <c r="K55" s="855">
        <v>5900</v>
      </c>
      <c r="L55" s="856"/>
      <c r="M55" s="301">
        <v>30</v>
      </c>
      <c r="N55" s="315">
        <f t="shared" si="12"/>
        <v>196.66666666666666</v>
      </c>
      <c r="O55" s="196"/>
      <c r="P55" s="815"/>
      <c r="Q55" s="813"/>
      <c r="R55" s="320"/>
      <c r="S55" s="288"/>
      <c r="T55" s="288"/>
      <c r="U55" s="187"/>
      <c r="V55" s="321"/>
    </row>
    <row r="56" spans="2:22" x14ac:dyDescent="0.15">
      <c r="B56" s="839"/>
      <c r="C56" s="84"/>
      <c r="D56" s="84"/>
      <c r="E56" s="89"/>
      <c r="F56" s="84"/>
      <c r="G56" s="178">
        <f>D56*F56</f>
        <v>0</v>
      </c>
      <c r="I56" s="850"/>
      <c r="J56" s="290" t="s">
        <v>159</v>
      </c>
      <c r="K56" s="859"/>
      <c r="L56" s="860"/>
      <c r="M56" s="291"/>
      <c r="N56" s="294">
        <f>SUM(N51:N55)</f>
        <v>603.33333333333326</v>
      </c>
      <c r="O56" s="196"/>
      <c r="P56" s="816"/>
      <c r="Q56" s="324" t="s">
        <v>239</v>
      </c>
      <c r="R56" s="325"/>
      <c r="S56" s="325"/>
      <c r="T56" s="325"/>
      <c r="U56" s="325"/>
      <c r="V56" s="326">
        <f>SUM(V51:V55)</f>
        <v>2833.3333333333335</v>
      </c>
    </row>
    <row r="57" spans="2:22" ht="14.25" thickBot="1" x14ac:dyDescent="0.2">
      <c r="B57" s="840"/>
      <c r="C57" s="184" t="s">
        <v>160</v>
      </c>
      <c r="D57" s="185"/>
      <c r="E57" s="185"/>
      <c r="F57" s="185"/>
      <c r="G57" s="186">
        <f>SUM(G54:G56)</f>
        <v>27940.166666666664</v>
      </c>
      <c r="I57" s="817" t="s">
        <v>233</v>
      </c>
      <c r="J57" s="818"/>
      <c r="K57" s="843"/>
      <c r="L57" s="844"/>
      <c r="M57" s="201"/>
      <c r="N57" s="295">
        <f>SUM(N42,N46,N50,N56)</f>
        <v>3835.125</v>
      </c>
      <c r="O57" s="196"/>
      <c r="P57" s="809" t="s">
        <v>233</v>
      </c>
      <c r="Q57" s="810"/>
      <c r="R57" s="322"/>
      <c r="S57" s="322"/>
      <c r="T57" s="322"/>
      <c r="U57" s="322"/>
      <c r="V57" s="323">
        <f>SUM(V44,V50,V56)</f>
        <v>8425</v>
      </c>
    </row>
    <row r="58" spans="2:22" x14ac:dyDescent="0.15">
      <c r="O58" s="196"/>
      <c r="V58" s="85"/>
    </row>
    <row r="59" spans="2:22" x14ac:dyDescent="0.15">
      <c r="I59" s="196"/>
      <c r="J59" s="196"/>
      <c r="K59" s="196"/>
      <c r="L59" s="196"/>
      <c r="M59" s="196"/>
      <c r="N59" s="196"/>
      <c r="O59" s="196"/>
    </row>
    <row r="60" spans="2:22" x14ac:dyDescent="0.15">
      <c r="I60" s="196"/>
      <c r="J60" s="196"/>
      <c r="K60" s="196"/>
      <c r="L60" s="196"/>
      <c r="M60" s="196"/>
      <c r="N60" s="196"/>
      <c r="O60" s="196"/>
    </row>
    <row r="61" spans="2:22" x14ac:dyDescent="0.15">
      <c r="I61" s="196"/>
      <c r="J61" s="196"/>
      <c r="K61" s="196"/>
      <c r="L61" s="196"/>
      <c r="M61" s="196"/>
      <c r="N61" s="196"/>
      <c r="O61" s="196"/>
    </row>
    <row r="62" spans="2:22" x14ac:dyDescent="0.15">
      <c r="I62" s="196"/>
      <c r="J62" s="196"/>
      <c r="K62" s="196"/>
      <c r="L62" s="196"/>
      <c r="M62" s="196"/>
      <c r="N62" s="196"/>
      <c r="O62" s="196"/>
    </row>
    <row r="63" spans="2:22" x14ac:dyDescent="0.15">
      <c r="I63" s="196"/>
      <c r="J63" s="196"/>
      <c r="K63" s="196"/>
      <c r="L63" s="196"/>
      <c r="M63" s="196"/>
      <c r="N63" s="196"/>
      <c r="O63" s="196"/>
    </row>
    <row r="64" spans="2:22" x14ac:dyDescent="0.15">
      <c r="I64" s="196"/>
      <c r="J64" s="196"/>
      <c r="K64" s="196"/>
      <c r="L64" s="196"/>
      <c r="M64" s="196"/>
      <c r="N64" s="196"/>
      <c r="O64" s="196"/>
    </row>
    <row r="65" spans="9:15" x14ac:dyDescent="0.15">
      <c r="I65" s="196"/>
      <c r="J65" s="196"/>
      <c r="K65" s="196"/>
      <c r="L65" s="196"/>
      <c r="M65" s="196"/>
      <c r="N65" s="196"/>
      <c r="O65" s="196"/>
    </row>
    <row r="66" spans="9:15" x14ac:dyDescent="0.15">
      <c r="I66" s="196"/>
      <c r="J66" s="196"/>
      <c r="K66" s="196"/>
      <c r="L66" s="196"/>
      <c r="M66" s="196"/>
      <c r="N66" s="196"/>
      <c r="O66" s="196"/>
    </row>
    <row r="67" spans="9:15" x14ac:dyDescent="0.15">
      <c r="I67" s="196"/>
      <c r="J67" s="196"/>
      <c r="K67" s="196"/>
      <c r="L67" s="196"/>
      <c r="M67" s="196"/>
      <c r="N67" s="196"/>
      <c r="O67" s="196"/>
    </row>
    <row r="68" spans="9:15" x14ac:dyDescent="0.15">
      <c r="I68" s="196"/>
      <c r="J68" s="196"/>
      <c r="K68" s="196"/>
      <c r="L68" s="196"/>
      <c r="M68" s="196"/>
      <c r="N68" s="196"/>
      <c r="O68" s="196"/>
    </row>
    <row r="69" spans="9:15" x14ac:dyDescent="0.15">
      <c r="I69" s="196"/>
      <c r="J69" s="196"/>
      <c r="K69" s="196"/>
      <c r="L69" s="196"/>
      <c r="M69" s="196"/>
      <c r="N69" s="196"/>
      <c r="O69" s="196"/>
    </row>
    <row r="70" spans="9:15" x14ac:dyDescent="0.15">
      <c r="I70" s="196"/>
      <c r="J70" s="196"/>
      <c r="K70" s="196"/>
      <c r="L70" s="196"/>
      <c r="M70" s="196"/>
      <c r="N70" s="196"/>
      <c r="O70" s="196"/>
    </row>
    <row r="71" spans="9:15" x14ac:dyDescent="0.15">
      <c r="I71" s="196"/>
      <c r="J71" s="196"/>
      <c r="K71" s="196"/>
      <c r="L71" s="196"/>
      <c r="M71" s="196"/>
      <c r="N71" s="196"/>
      <c r="O71" s="196"/>
    </row>
    <row r="72" spans="9:15" x14ac:dyDescent="0.15">
      <c r="I72" s="196"/>
      <c r="J72" s="196"/>
      <c r="K72" s="196"/>
      <c r="L72" s="196"/>
      <c r="M72" s="196"/>
      <c r="N72" s="196"/>
      <c r="O72" s="196"/>
    </row>
    <row r="73" spans="9:15" x14ac:dyDescent="0.15">
      <c r="I73" s="196"/>
      <c r="J73" s="196"/>
      <c r="K73" s="196"/>
      <c r="L73" s="196"/>
      <c r="M73" s="196"/>
      <c r="N73" s="196"/>
      <c r="O73" s="196"/>
    </row>
    <row r="74" spans="9:15" x14ac:dyDescent="0.15">
      <c r="I74" s="196"/>
      <c r="J74" s="196"/>
      <c r="K74" s="196"/>
      <c r="L74" s="196"/>
      <c r="M74" s="196"/>
      <c r="N74" s="196"/>
      <c r="O74" s="196"/>
    </row>
    <row r="75" spans="9:15" x14ac:dyDescent="0.15">
      <c r="I75" s="196"/>
      <c r="J75" s="196"/>
      <c r="K75" s="196"/>
      <c r="L75" s="196"/>
      <c r="M75" s="196"/>
      <c r="N75" s="196"/>
      <c r="O75" s="196"/>
    </row>
    <row r="76" spans="9:15" x14ac:dyDescent="0.15">
      <c r="I76" s="196"/>
      <c r="J76" s="196"/>
      <c r="K76" s="196"/>
      <c r="L76" s="196"/>
      <c r="M76" s="196"/>
      <c r="N76" s="196"/>
      <c r="O76" s="196"/>
    </row>
    <row r="77" spans="9:15" x14ac:dyDescent="0.15">
      <c r="I77" s="196"/>
      <c r="J77" s="196"/>
      <c r="K77" s="196"/>
      <c r="L77" s="196"/>
      <c r="M77" s="196"/>
      <c r="N77" s="196"/>
      <c r="O77" s="196"/>
    </row>
    <row r="78" spans="9:15" x14ac:dyDescent="0.15">
      <c r="I78" s="196"/>
      <c r="J78" s="196"/>
      <c r="K78" s="196"/>
      <c r="L78" s="196"/>
      <c r="M78" s="196"/>
      <c r="N78" s="196"/>
      <c r="O78" s="196"/>
    </row>
    <row r="79" spans="9:15" x14ac:dyDescent="0.15">
      <c r="I79" s="196"/>
      <c r="J79" s="196"/>
      <c r="K79" s="196"/>
      <c r="L79" s="196"/>
      <c r="M79" s="196"/>
      <c r="N79" s="196"/>
      <c r="O79" s="196"/>
    </row>
    <row r="80" spans="9:15" x14ac:dyDescent="0.15">
      <c r="I80" s="196"/>
      <c r="J80" s="196"/>
      <c r="K80" s="196"/>
      <c r="L80" s="196"/>
      <c r="M80" s="196"/>
      <c r="N80" s="196"/>
      <c r="O80" s="196"/>
    </row>
    <row r="81" spans="2:15" x14ac:dyDescent="0.15">
      <c r="I81" s="196"/>
      <c r="J81" s="196"/>
      <c r="K81" s="196"/>
      <c r="L81" s="196"/>
      <c r="M81" s="196"/>
      <c r="N81" s="196"/>
      <c r="O81" s="196"/>
    </row>
    <row r="82" spans="2:15" x14ac:dyDescent="0.15">
      <c r="I82" s="196"/>
      <c r="J82" s="196"/>
      <c r="K82" s="196"/>
      <c r="L82" s="196"/>
      <c r="M82" s="196"/>
      <c r="N82" s="196"/>
      <c r="O82" s="196"/>
    </row>
    <row r="83" spans="2:15" x14ac:dyDescent="0.15">
      <c r="B83" s="189"/>
      <c r="C83" s="190"/>
      <c r="D83" s="190"/>
      <c r="E83" s="190"/>
      <c r="F83" s="190"/>
      <c r="I83" s="196"/>
      <c r="J83" s="196"/>
      <c r="K83" s="196"/>
      <c r="L83" s="196"/>
      <c r="M83" s="196"/>
      <c r="N83" s="196"/>
      <c r="O83" s="196"/>
    </row>
    <row r="84" spans="2:15" x14ac:dyDescent="0.15">
      <c r="B84" s="189"/>
      <c r="C84" s="190"/>
      <c r="D84" s="190"/>
      <c r="E84" s="190"/>
      <c r="F84" s="190"/>
      <c r="I84" s="196"/>
      <c r="J84" s="196"/>
      <c r="K84" s="196"/>
      <c r="L84" s="196"/>
      <c r="M84" s="196"/>
      <c r="N84" s="196"/>
      <c r="O84" s="196"/>
    </row>
    <row r="85" spans="2:15" x14ac:dyDescent="0.15">
      <c r="I85" s="196"/>
      <c r="J85" s="196"/>
      <c r="K85" s="196"/>
      <c r="L85" s="196"/>
      <c r="M85" s="196"/>
      <c r="N85" s="196"/>
      <c r="O85" s="196"/>
    </row>
    <row r="86" spans="2:15" x14ac:dyDescent="0.15">
      <c r="I86" s="196"/>
      <c r="J86" s="196"/>
      <c r="K86" s="196"/>
      <c r="L86" s="196"/>
      <c r="M86" s="196"/>
      <c r="N86" s="196"/>
      <c r="O86" s="196"/>
    </row>
    <row r="87" spans="2:15" x14ac:dyDescent="0.15">
      <c r="I87" s="196"/>
      <c r="J87" s="196"/>
      <c r="K87" s="196"/>
      <c r="L87" s="196"/>
      <c r="M87" s="196"/>
      <c r="N87" s="196"/>
      <c r="O87" s="196"/>
    </row>
    <row r="88" spans="2:15" x14ac:dyDescent="0.15">
      <c r="I88" s="196"/>
      <c r="J88" s="196"/>
      <c r="K88" s="196"/>
      <c r="L88" s="196"/>
      <c r="M88" s="196"/>
      <c r="N88" s="196"/>
      <c r="O88" s="196"/>
    </row>
    <row r="89" spans="2:15" x14ac:dyDescent="0.15">
      <c r="I89" s="196"/>
      <c r="J89" s="196"/>
      <c r="K89" s="196"/>
      <c r="L89" s="196"/>
      <c r="M89" s="196"/>
      <c r="N89" s="196"/>
      <c r="O89" s="196"/>
    </row>
    <row r="90" spans="2:15" x14ac:dyDescent="0.15">
      <c r="I90" s="196"/>
      <c r="J90" s="196"/>
      <c r="K90" s="196"/>
      <c r="L90" s="196"/>
      <c r="M90" s="196"/>
      <c r="N90" s="196"/>
      <c r="O90" s="196"/>
    </row>
    <row r="91" spans="2:15" x14ac:dyDescent="0.15">
      <c r="I91" s="196"/>
      <c r="J91" s="196"/>
      <c r="K91" s="196"/>
      <c r="L91" s="196"/>
      <c r="M91" s="196"/>
      <c r="N91" s="196"/>
      <c r="O91" s="196"/>
    </row>
    <row r="92" spans="2:15" x14ac:dyDescent="0.15">
      <c r="I92" s="196"/>
      <c r="J92" s="196"/>
      <c r="K92" s="196"/>
      <c r="L92" s="196"/>
      <c r="M92" s="196"/>
      <c r="N92" s="196"/>
      <c r="O92" s="196"/>
    </row>
    <row r="93" spans="2:15" x14ac:dyDescent="0.15">
      <c r="I93" s="196"/>
      <c r="J93" s="196"/>
      <c r="K93" s="196"/>
      <c r="L93" s="196"/>
      <c r="M93" s="196"/>
      <c r="N93" s="196"/>
      <c r="O93" s="196"/>
    </row>
    <row r="94" spans="2:15" x14ac:dyDescent="0.15">
      <c r="I94" s="196"/>
      <c r="J94" s="196"/>
      <c r="K94" s="196"/>
      <c r="L94" s="196"/>
      <c r="M94" s="196"/>
      <c r="N94" s="196"/>
      <c r="O94" s="196"/>
    </row>
    <row r="95" spans="2:15" x14ac:dyDescent="0.15">
      <c r="I95" s="196"/>
      <c r="J95" s="196"/>
      <c r="K95" s="196"/>
      <c r="L95" s="196"/>
      <c r="M95" s="196"/>
      <c r="N95" s="196"/>
      <c r="O95" s="196"/>
    </row>
    <row r="96" spans="2:15" x14ac:dyDescent="0.15">
      <c r="I96" s="196"/>
      <c r="J96" s="196"/>
      <c r="K96" s="196"/>
      <c r="L96" s="196"/>
      <c r="M96" s="196"/>
      <c r="N96" s="196"/>
      <c r="O96" s="196"/>
    </row>
    <row r="97" spans="9:15" x14ac:dyDescent="0.15">
      <c r="I97" s="196"/>
      <c r="J97" s="196"/>
      <c r="K97" s="196"/>
      <c r="L97" s="196"/>
      <c r="M97" s="196"/>
      <c r="N97" s="196"/>
      <c r="O97" s="196"/>
    </row>
    <row r="98" spans="9:15" x14ac:dyDescent="0.15">
      <c r="I98" s="196"/>
      <c r="J98" s="196"/>
      <c r="K98" s="196"/>
      <c r="L98" s="196"/>
      <c r="M98" s="196"/>
      <c r="N98" s="196"/>
      <c r="O98" s="196"/>
    </row>
    <row r="99" spans="9:15" x14ac:dyDescent="0.15">
      <c r="I99" s="196"/>
      <c r="J99" s="196"/>
      <c r="K99" s="196"/>
      <c r="L99" s="196"/>
      <c r="M99" s="196"/>
      <c r="N99" s="196"/>
      <c r="O99" s="196"/>
    </row>
    <row r="100" spans="9:15" x14ac:dyDescent="0.15">
      <c r="I100" s="196"/>
      <c r="J100" s="196"/>
      <c r="K100" s="196"/>
      <c r="L100" s="196"/>
      <c r="M100" s="196"/>
      <c r="N100" s="196"/>
      <c r="O100" s="196"/>
    </row>
    <row r="101" spans="9:15" x14ac:dyDescent="0.15">
      <c r="I101" s="196"/>
      <c r="J101" s="196"/>
      <c r="K101" s="196"/>
      <c r="L101" s="196"/>
      <c r="M101" s="196"/>
      <c r="N101" s="196"/>
      <c r="O101" s="196"/>
    </row>
    <row r="102" spans="9:15" x14ac:dyDescent="0.15">
      <c r="I102" s="196"/>
      <c r="J102" s="196"/>
      <c r="K102" s="196"/>
      <c r="L102" s="196"/>
      <c r="M102" s="196"/>
      <c r="N102" s="196"/>
      <c r="O102" s="196"/>
    </row>
    <row r="103" spans="9:15" x14ac:dyDescent="0.15">
      <c r="I103" s="196"/>
      <c r="J103" s="196"/>
      <c r="K103" s="196"/>
      <c r="L103" s="196"/>
      <c r="M103" s="196"/>
      <c r="N103" s="196"/>
      <c r="O103" s="196"/>
    </row>
    <row r="104" spans="9:15" x14ac:dyDescent="0.15">
      <c r="I104" s="196"/>
      <c r="J104" s="196"/>
      <c r="K104" s="196"/>
      <c r="L104" s="196"/>
      <c r="M104" s="196"/>
      <c r="N104" s="196"/>
      <c r="O104" s="196"/>
    </row>
    <row r="105" spans="9:15" x14ac:dyDescent="0.15">
      <c r="I105" s="196"/>
      <c r="J105" s="196"/>
      <c r="K105" s="196"/>
      <c r="L105" s="196"/>
      <c r="M105" s="196"/>
      <c r="N105" s="196"/>
      <c r="O105" s="196"/>
    </row>
    <row r="106" spans="9:15" x14ac:dyDescent="0.15">
      <c r="I106" s="196"/>
      <c r="J106" s="196"/>
      <c r="K106" s="196"/>
      <c r="L106" s="196"/>
      <c r="M106" s="196"/>
      <c r="N106" s="196"/>
      <c r="O106" s="196"/>
    </row>
    <row r="107" spans="9:15" x14ac:dyDescent="0.15">
      <c r="I107" s="196"/>
      <c r="J107" s="196"/>
      <c r="K107" s="196"/>
      <c r="L107" s="196"/>
      <c r="M107" s="196"/>
      <c r="N107" s="196"/>
      <c r="O107" s="196"/>
    </row>
    <row r="108" spans="9:15" x14ac:dyDescent="0.15">
      <c r="I108" s="196"/>
      <c r="J108" s="196"/>
      <c r="K108" s="196"/>
      <c r="L108" s="196"/>
      <c r="M108" s="196"/>
      <c r="N108" s="196"/>
      <c r="O108" s="196"/>
    </row>
    <row r="109" spans="9:15" x14ac:dyDescent="0.15">
      <c r="I109" s="196"/>
      <c r="J109" s="196"/>
      <c r="K109" s="196"/>
      <c r="L109" s="196"/>
      <c r="M109" s="196"/>
      <c r="N109" s="196"/>
      <c r="O109" s="196"/>
    </row>
    <row r="110" spans="9:15" x14ac:dyDescent="0.15">
      <c r="I110" s="196"/>
      <c r="J110" s="196"/>
      <c r="K110" s="196"/>
      <c r="L110" s="196"/>
      <c r="M110" s="196"/>
      <c r="N110" s="196"/>
      <c r="O110" s="196"/>
    </row>
    <row r="111" spans="9:15" x14ac:dyDescent="0.15">
      <c r="I111" s="196"/>
      <c r="J111" s="196"/>
      <c r="K111" s="196"/>
      <c r="L111" s="196"/>
      <c r="M111" s="196"/>
      <c r="N111" s="196"/>
      <c r="O111" s="196"/>
    </row>
    <row r="112" spans="9:15" x14ac:dyDescent="0.15">
      <c r="I112" s="196"/>
      <c r="J112" s="196"/>
      <c r="K112" s="196"/>
      <c r="L112" s="196"/>
      <c r="M112" s="196"/>
      <c r="N112" s="196"/>
      <c r="O112" s="196"/>
    </row>
    <row r="113" spans="9:15" x14ac:dyDescent="0.15">
      <c r="I113" s="196"/>
      <c r="J113" s="196"/>
      <c r="K113" s="196"/>
      <c r="L113" s="196"/>
      <c r="M113" s="196"/>
      <c r="N113" s="196"/>
      <c r="O113" s="196"/>
    </row>
    <row r="114" spans="9:15" x14ac:dyDescent="0.15">
      <c r="I114" s="196"/>
      <c r="J114" s="196"/>
      <c r="K114" s="196"/>
      <c r="L114" s="196"/>
      <c r="M114" s="196"/>
      <c r="N114" s="196"/>
      <c r="O114" s="196"/>
    </row>
    <row r="115" spans="9:15" x14ac:dyDescent="0.15">
      <c r="I115" s="196"/>
      <c r="J115" s="196"/>
      <c r="K115" s="196"/>
      <c r="L115" s="196"/>
      <c r="M115" s="196"/>
      <c r="N115" s="196"/>
      <c r="O115" s="196"/>
    </row>
    <row r="116" spans="9:15" x14ac:dyDescent="0.15">
      <c r="I116" s="196"/>
      <c r="J116" s="196"/>
      <c r="K116" s="196"/>
      <c r="L116" s="196"/>
      <c r="M116" s="196"/>
      <c r="N116" s="196"/>
      <c r="O116" s="196"/>
    </row>
    <row r="117" spans="9:15" x14ac:dyDescent="0.15">
      <c r="I117" s="196"/>
      <c r="J117" s="196"/>
      <c r="K117" s="196"/>
      <c r="L117" s="196"/>
      <c r="M117" s="196"/>
      <c r="N117" s="196"/>
      <c r="O117" s="196"/>
    </row>
    <row r="118" spans="9:15" x14ac:dyDescent="0.15">
      <c r="I118" s="196"/>
      <c r="J118" s="196"/>
      <c r="K118" s="196"/>
      <c r="L118" s="196"/>
      <c r="M118" s="196"/>
      <c r="N118" s="196"/>
      <c r="O118" s="196"/>
    </row>
    <row r="119" spans="9:15" x14ac:dyDescent="0.15">
      <c r="I119" s="196"/>
      <c r="J119" s="196"/>
      <c r="K119" s="196"/>
      <c r="L119" s="196"/>
      <c r="M119" s="196"/>
      <c r="N119" s="196"/>
      <c r="O119" s="196"/>
    </row>
    <row r="120" spans="9:15" x14ac:dyDescent="0.15">
      <c r="I120" s="196"/>
      <c r="J120" s="196"/>
      <c r="K120" s="196"/>
      <c r="L120" s="196"/>
      <c r="M120" s="196"/>
      <c r="N120" s="196"/>
      <c r="O120" s="196"/>
    </row>
    <row r="121" spans="9:15" x14ac:dyDescent="0.15">
      <c r="I121" s="196"/>
      <c r="J121" s="196"/>
      <c r="K121" s="196"/>
      <c r="L121" s="196"/>
      <c r="M121" s="196"/>
      <c r="N121" s="196"/>
      <c r="O121" s="196"/>
    </row>
    <row r="122" spans="9:15" x14ac:dyDescent="0.15">
      <c r="I122" s="196"/>
      <c r="J122" s="196"/>
      <c r="K122" s="196"/>
      <c r="L122" s="196"/>
      <c r="M122" s="196"/>
      <c r="N122" s="196"/>
      <c r="O122" s="196"/>
    </row>
    <row r="123" spans="9:15" x14ac:dyDescent="0.15">
      <c r="I123" s="196"/>
      <c r="J123" s="196"/>
      <c r="K123" s="196"/>
      <c r="L123" s="196"/>
      <c r="M123" s="196"/>
      <c r="N123" s="196"/>
      <c r="O123" s="196"/>
    </row>
    <row r="124" spans="9:15" x14ac:dyDescent="0.15">
      <c r="I124" s="196"/>
      <c r="J124" s="196"/>
      <c r="K124" s="196"/>
      <c r="L124" s="196"/>
      <c r="M124" s="196"/>
      <c r="N124" s="196"/>
      <c r="O124" s="196"/>
    </row>
    <row r="125" spans="9:15" x14ac:dyDescent="0.15">
      <c r="I125" s="196"/>
      <c r="J125" s="196"/>
      <c r="K125" s="196"/>
      <c r="L125" s="196"/>
      <c r="M125" s="196"/>
      <c r="N125" s="196"/>
      <c r="O125" s="196"/>
    </row>
    <row r="126" spans="9:15" x14ac:dyDescent="0.15">
      <c r="I126" s="196"/>
      <c r="J126" s="196"/>
      <c r="K126" s="196"/>
      <c r="L126" s="196"/>
      <c r="M126" s="196"/>
      <c r="N126" s="196"/>
      <c r="O126" s="196"/>
    </row>
    <row r="127" spans="9:15" x14ac:dyDescent="0.15">
      <c r="I127" s="196"/>
      <c r="J127" s="196"/>
      <c r="K127" s="196"/>
      <c r="L127" s="196"/>
      <c r="M127" s="196"/>
      <c r="N127" s="196"/>
      <c r="O127" s="196"/>
    </row>
    <row r="128" spans="9:15" x14ac:dyDescent="0.15">
      <c r="I128" s="196"/>
      <c r="J128" s="196"/>
      <c r="K128" s="196"/>
      <c r="L128" s="196"/>
      <c r="M128" s="196"/>
      <c r="N128" s="196"/>
      <c r="O128" s="196"/>
    </row>
    <row r="129" spans="9:15" x14ac:dyDescent="0.15">
      <c r="I129" s="196"/>
      <c r="J129" s="196"/>
      <c r="K129" s="196"/>
      <c r="L129" s="196"/>
      <c r="M129" s="196"/>
      <c r="N129" s="196"/>
      <c r="O129" s="196"/>
    </row>
    <row r="130" spans="9:15" x14ac:dyDescent="0.15">
      <c r="I130" s="196"/>
      <c r="J130" s="196"/>
      <c r="K130" s="196"/>
      <c r="L130" s="196"/>
      <c r="M130" s="196"/>
      <c r="N130" s="196"/>
      <c r="O130" s="196"/>
    </row>
    <row r="131" spans="9:15" x14ac:dyDescent="0.15">
      <c r="I131" s="196"/>
      <c r="J131" s="196"/>
      <c r="K131" s="196"/>
      <c r="L131" s="196"/>
      <c r="M131" s="196"/>
      <c r="N131" s="196"/>
      <c r="O131" s="196"/>
    </row>
    <row r="132" spans="9:15" x14ac:dyDescent="0.15">
      <c r="I132" s="196"/>
      <c r="J132" s="196"/>
      <c r="K132" s="196"/>
      <c r="L132" s="196"/>
      <c r="M132" s="196"/>
      <c r="N132" s="196"/>
      <c r="O132" s="196"/>
    </row>
    <row r="133" spans="9:15" x14ac:dyDescent="0.15">
      <c r="I133" s="196"/>
      <c r="J133" s="196"/>
      <c r="K133" s="196"/>
      <c r="L133" s="196"/>
      <c r="M133" s="196"/>
      <c r="N133" s="196"/>
      <c r="O133" s="196"/>
    </row>
    <row r="134" spans="9:15" x14ac:dyDescent="0.15">
      <c r="I134" s="196"/>
      <c r="J134" s="196"/>
      <c r="K134" s="196"/>
      <c r="L134" s="196"/>
      <c r="M134" s="196"/>
      <c r="N134" s="196"/>
      <c r="O134" s="196"/>
    </row>
    <row r="135" spans="9:15" x14ac:dyDescent="0.15">
      <c r="I135" s="196"/>
      <c r="J135" s="196"/>
      <c r="K135" s="196"/>
      <c r="L135" s="196"/>
      <c r="M135" s="196"/>
      <c r="N135" s="196"/>
      <c r="O135" s="196"/>
    </row>
    <row r="136" spans="9:15" x14ac:dyDescent="0.15">
      <c r="I136" s="196"/>
      <c r="J136" s="196"/>
      <c r="K136" s="196"/>
      <c r="L136" s="196"/>
      <c r="M136" s="196"/>
      <c r="N136" s="196"/>
      <c r="O136" s="196"/>
    </row>
    <row r="137" spans="9:15" x14ac:dyDescent="0.15">
      <c r="I137" s="196"/>
      <c r="J137" s="196"/>
      <c r="K137" s="196"/>
      <c r="L137" s="196"/>
      <c r="M137" s="196"/>
      <c r="N137" s="196"/>
      <c r="O137" s="196"/>
    </row>
    <row r="138" spans="9:15" x14ac:dyDescent="0.15">
      <c r="I138" s="196"/>
      <c r="J138" s="196"/>
      <c r="K138" s="196"/>
      <c r="L138" s="196"/>
      <c r="M138" s="196"/>
      <c r="N138" s="196"/>
      <c r="O138" s="196"/>
    </row>
    <row r="139" spans="9:15" x14ac:dyDescent="0.15">
      <c r="I139" s="196"/>
      <c r="J139" s="196"/>
      <c r="K139" s="196"/>
      <c r="L139" s="196"/>
      <c r="M139" s="196"/>
      <c r="N139" s="196"/>
      <c r="O139" s="196"/>
    </row>
    <row r="140" spans="9:15" x14ac:dyDescent="0.15">
      <c r="I140" s="196"/>
      <c r="J140" s="196"/>
      <c r="K140" s="196"/>
      <c r="L140" s="196"/>
      <c r="M140" s="196"/>
      <c r="N140" s="196"/>
    </row>
    <row r="141" spans="9:15" x14ac:dyDescent="0.15">
      <c r="I141" s="196"/>
      <c r="J141" s="196"/>
      <c r="K141" s="196"/>
      <c r="L141" s="196"/>
      <c r="M141" s="196"/>
      <c r="N141" s="196"/>
    </row>
    <row r="142" spans="9:15" x14ac:dyDescent="0.15">
      <c r="I142" s="196"/>
      <c r="J142" s="196"/>
      <c r="K142" s="196"/>
      <c r="L142" s="196"/>
      <c r="M142" s="196"/>
      <c r="N142" s="196"/>
    </row>
    <row r="143" spans="9:15" x14ac:dyDescent="0.15">
      <c r="I143" s="196"/>
      <c r="J143" s="196"/>
      <c r="K143" s="196"/>
      <c r="L143" s="196"/>
      <c r="M143" s="196"/>
      <c r="N143" s="196"/>
    </row>
    <row r="144" spans="9:15" x14ac:dyDescent="0.15">
      <c r="I144" s="196"/>
      <c r="J144" s="196"/>
      <c r="K144" s="196"/>
      <c r="L144" s="196"/>
      <c r="M144" s="196"/>
      <c r="N144" s="196"/>
    </row>
    <row r="145" spans="9:14" x14ac:dyDescent="0.15">
      <c r="I145" s="196"/>
      <c r="J145" s="196"/>
      <c r="K145" s="196"/>
      <c r="L145" s="196"/>
      <c r="M145" s="196"/>
      <c r="N145" s="196"/>
    </row>
    <row r="146" spans="9:14" x14ac:dyDescent="0.15">
      <c r="I146" s="196"/>
      <c r="J146" s="196"/>
      <c r="K146" s="196"/>
      <c r="L146" s="196"/>
      <c r="M146" s="196"/>
      <c r="N146" s="196"/>
    </row>
    <row r="147" spans="9:14" x14ac:dyDescent="0.15">
      <c r="I147" s="196"/>
      <c r="J147" s="196"/>
      <c r="K147" s="196"/>
      <c r="L147" s="196"/>
      <c r="M147" s="196"/>
      <c r="N147" s="196"/>
    </row>
    <row r="148" spans="9:14" x14ac:dyDescent="0.15">
      <c r="I148" s="196"/>
      <c r="J148" s="196"/>
      <c r="K148" s="196"/>
      <c r="L148" s="196"/>
      <c r="M148" s="196"/>
      <c r="N148" s="196"/>
    </row>
    <row r="149" spans="9:14" x14ac:dyDescent="0.15">
      <c r="I149" s="196"/>
      <c r="J149" s="196"/>
      <c r="K149" s="196"/>
      <c r="L149" s="196"/>
      <c r="M149" s="196"/>
      <c r="N149" s="196"/>
    </row>
    <row r="150" spans="9:14" x14ac:dyDescent="0.15">
      <c r="I150" s="196"/>
      <c r="J150" s="196"/>
      <c r="K150" s="196"/>
      <c r="L150" s="196"/>
      <c r="M150" s="196"/>
      <c r="N150" s="196"/>
    </row>
    <row r="151" spans="9:14" x14ac:dyDescent="0.15">
      <c r="I151" s="196"/>
      <c r="J151" s="196"/>
      <c r="K151" s="196"/>
      <c r="L151" s="196"/>
      <c r="M151" s="196"/>
      <c r="N151" s="196"/>
    </row>
    <row r="152" spans="9:14" x14ac:dyDescent="0.15">
      <c r="I152" s="196"/>
      <c r="J152" s="196"/>
      <c r="K152" s="196"/>
      <c r="L152" s="196"/>
      <c r="M152" s="196"/>
      <c r="N152" s="196"/>
    </row>
    <row r="153" spans="9:14" x14ac:dyDescent="0.15">
      <c r="I153" s="196"/>
      <c r="J153" s="196"/>
      <c r="K153" s="196"/>
      <c r="L153" s="196"/>
      <c r="M153" s="196"/>
      <c r="N153" s="196"/>
    </row>
    <row r="154" spans="9:14" x14ac:dyDescent="0.15">
      <c r="I154" s="196"/>
      <c r="J154" s="196"/>
      <c r="K154" s="196"/>
      <c r="L154" s="196"/>
      <c r="M154" s="196"/>
      <c r="N154" s="196"/>
    </row>
    <row r="155" spans="9:14" x14ac:dyDescent="0.15">
      <c r="J155" s="196"/>
      <c r="K155" s="196"/>
      <c r="L155" s="196"/>
      <c r="M155" s="196"/>
      <c r="N155" s="196"/>
    </row>
    <row r="156" spans="9:14" x14ac:dyDescent="0.15">
      <c r="J156" s="196"/>
      <c r="K156" s="196"/>
      <c r="L156" s="196"/>
      <c r="M156" s="196"/>
      <c r="N156" s="196"/>
    </row>
    <row r="173" spans="15:15" x14ac:dyDescent="0.15">
      <c r="O173" s="196"/>
    </row>
    <row r="174" spans="15:15" x14ac:dyDescent="0.15">
      <c r="O174" s="196"/>
    </row>
    <row r="175" spans="15:15" x14ac:dyDescent="0.15">
      <c r="O175" s="196"/>
    </row>
    <row r="176" spans="15:15" x14ac:dyDescent="0.15">
      <c r="O176" s="196"/>
    </row>
    <row r="177" spans="15:15" x14ac:dyDescent="0.15">
      <c r="O177" s="196"/>
    </row>
    <row r="178" spans="15:15" x14ac:dyDescent="0.15">
      <c r="O178" s="196"/>
    </row>
    <row r="179" spans="15:15" x14ac:dyDescent="0.15">
      <c r="O179" s="196"/>
    </row>
    <row r="180" spans="15:15" x14ac:dyDescent="0.15">
      <c r="O180" s="196"/>
    </row>
    <row r="181" spans="15:15" x14ac:dyDescent="0.15">
      <c r="O181" s="196"/>
    </row>
    <row r="182" spans="15:15" x14ac:dyDescent="0.15">
      <c r="O182" s="196"/>
    </row>
    <row r="183" spans="15:15" x14ac:dyDescent="0.15">
      <c r="O183" s="196"/>
    </row>
    <row r="184" spans="15:15" x14ac:dyDescent="0.15">
      <c r="O184" s="196"/>
    </row>
    <row r="185" spans="15:15" x14ac:dyDescent="0.15">
      <c r="O185" s="196"/>
    </row>
    <row r="186" spans="15:15" x14ac:dyDescent="0.15">
      <c r="O186" s="196"/>
    </row>
    <row r="187" spans="15:15" x14ac:dyDescent="0.15">
      <c r="O187" s="196"/>
    </row>
    <row r="188" spans="15:15" x14ac:dyDescent="0.15">
      <c r="O188" s="196"/>
    </row>
    <row r="189" spans="15:15" x14ac:dyDescent="0.15">
      <c r="O189" s="196"/>
    </row>
    <row r="190" spans="15:15" x14ac:dyDescent="0.15">
      <c r="O190" s="196"/>
    </row>
    <row r="191" spans="15:15" x14ac:dyDescent="0.15">
      <c r="O191" s="196"/>
    </row>
    <row r="192" spans="15:15" x14ac:dyDescent="0.15">
      <c r="O192" s="196"/>
    </row>
  </sheetData>
  <mergeCells count="70">
    <mergeCell ref="Q45:Q49"/>
    <mergeCell ref="I57:J57"/>
    <mergeCell ref="K57:L57"/>
    <mergeCell ref="P57:Q57"/>
    <mergeCell ref="B50:B53"/>
    <mergeCell ref="K50:L50"/>
    <mergeCell ref="I51:I56"/>
    <mergeCell ref="K51:L51"/>
    <mergeCell ref="Q51:Q55"/>
    <mergeCell ref="K52:L52"/>
    <mergeCell ref="K53:L53"/>
    <mergeCell ref="B54:B57"/>
    <mergeCell ref="K54:L54"/>
    <mergeCell ref="K55:L55"/>
    <mergeCell ref="I47:I50"/>
    <mergeCell ref="K47:L47"/>
    <mergeCell ref="I43:I46"/>
    <mergeCell ref="K43:L43"/>
    <mergeCell ref="K44:L44"/>
    <mergeCell ref="K45:L45"/>
    <mergeCell ref="P45:P56"/>
    <mergeCell ref="K46:L46"/>
    <mergeCell ref="K49:L49"/>
    <mergeCell ref="K56:L56"/>
    <mergeCell ref="P38:P44"/>
    <mergeCell ref="K39:L39"/>
    <mergeCell ref="K40:L40"/>
    <mergeCell ref="K41:L41"/>
    <mergeCell ref="K42:L42"/>
    <mergeCell ref="K48:L48"/>
    <mergeCell ref="B39:B49"/>
    <mergeCell ref="I36:I42"/>
    <mergeCell ref="T16:U16"/>
    <mergeCell ref="I17:I20"/>
    <mergeCell ref="T17:U17"/>
    <mergeCell ref="B17:B20"/>
    <mergeCell ref="T18:U18"/>
    <mergeCell ref="T19:U19"/>
    <mergeCell ref="T20:U20"/>
    <mergeCell ref="I21:I24"/>
    <mergeCell ref="T21:U21"/>
    <mergeCell ref="B21:B24"/>
    <mergeCell ref="B12:B16"/>
    <mergeCell ref="I13:I16"/>
    <mergeCell ref="T13:U13"/>
    <mergeCell ref="I29:I32"/>
    <mergeCell ref="B5:B7"/>
    <mergeCell ref="T5:U5"/>
    <mergeCell ref="I6:I12"/>
    <mergeCell ref="T6:U6"/>
    <mergeCell ref="T7:U7"/>
    <mergeCell ref="I4:I5"/>
    <mergeCell ref="J4:J5"/>
    <mergeCell ref="M4:M5"/>
    <mergeCell ref="N4:N5"/>
    <mergeCell ref="T4:U4"/>
    <mergeCell ref="T8:U8"/>
    <mergeCell ref="T9:U9"/>
    <mergeCell ref="T11:U11"/>
    <mergeCell ref="T12:U12"/>
    <mergeCell ref="B8:B11"/>
    <mergeCell ref="T14:U14"/>
    <mergeCell ref="T15:U15"/>
    <mergeCell ref="I25:I28"/>
    <mergeCell ref="B28:B38"/>
    <mergeCell ref="K35:L35"/>
    <mergeCell ref="K36:L36"/>
    <mergeCell ref="K37:L37"/>
    <mergeCell ref="K38:L38"/>
    <mergeCell ref="Q37:R37"/>
  </mergeCells>
  <phoneticPr fontId="4"/>
  <pageMargins left="0" right="0" top="0.74803149606299213" bottom="0" header="0.31496062992125984" footer="0.31496062992125984"/>
  <pageSetup paperSize="9" scale="69" orientation="landscape" horizontalDpi="4294967293" verticalDpi="300" r:id="rId1"/>
  <headerFooter alignWithMargins="0"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09" customWidth="1"/>
    <col min="2" max="2" width="7.625" style="109" customWidth="1"/>
    <col min="3" max="3" width="25.625" style="109" customWidth="1"/>
    <col min="4" max="13" width="15.625" style="109" customWidth="1"/>
    <col min="14" max="16384" width="9" style="109"/>
  </cols>
  <sheetData>
    <row r="1" spans="2:13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3" ht="24.95" customHeight="1" thickBot="1" x14ac:dyDescent="0.2">
      <c r="B2" s="109" t="s">
        <v>109</v>
      </c>
      <c r="F2" s="335" t="s">
        <v>259</v>
      </c>
      <c r="G2" s="334" t="s">
        <v>486</v>
      </c>
      <c r="I2" s="335" t="s">
        <v>260</v>
      </c>
      <c r="J2" s="334" t="s">
        <v>361</v>
      </c>
    </row>
    <row r="3" spans="2:13" ht="20.100000000000001" customHeight="1" x14ac:dyDescent="0.15">
      <c r="B3" s="660" t="s">
        <v>116</v>
      </c>
      <c r="C3" s="661"/>
      <c r="D3" s="459" t="s">
        <v>362</v>
      </c>
      <c r="E3" s="459" t="s">
        <v>363</v>
      </c>
      <c r="F3" s="459" t="s">
        <v>315</v>
      </c>
      <c r="G3" s="459" t="s">
        <v>373</v>
      </c>
      <c r="H3" s="459" t="s">
        <v>66</v>
      </c>
      <c r="I3" s="459" t="s">
        <v>318</v>
      </c>
      <c r="J3" s="459" t="s">
        <v>364</v>
      </c>
      <c r="K3" s="459" t="s">
        <v>365</v>
      </c>
      <c r="L3" s="459" t="s">
        <v>374</v>
      </c>
      <c r="M3" s="440"/>
    </row>
    <row r="4" spans="2:13" ht="173.25" customHeight="1" x14ac:dyDescent="0.15">
      <c r="B4" s="662" t="s">
        <v>110</v>
      </c>
      <c r="C4" s="452" t="s">
        <v>111</v>
      </c>
      <c r="D4" s="463" t="s">
        <v>366</v>
      </c>
      <c r="E4" s="463" t="s">
        <v>460</v>
      </c>
      <c r="F4" s="463" t="s">
        <v>461</v>
      </c>
      <c r="G4" s="463" t="s">
        <v>462</v>
      </c>
      <c r="H4" s="463" t="s">
        <v>367</v>
      </c>
      <c r="I4" s="463" t="s">
        <v>368</v>
      </c>
      <c r="J4" s="463" t="s">
        <v>369</v>
      </c>
      <c r="K4" s="463" t="s">
        <v>463</v>
      </c>
      <c r="L4" s="463"/>
      <c r="M4" s="442"/>
    </row>
    <row r="5" spans="2:13" ht="20.100000000000001" customHeight="1" x14ac:dyDescent="0.15">
      <c r="B5" s="662"/>
      <c r="C5" s="452" t="s">
        <v>112</v>
      </c>
      <c r="D5" s="464" t="s">
        <v>420</v>
      </c>
      <c r="E5" s="464" t="s">
        <v>371</v>
      </c>
      <c r="F5" s="464" t="s">
        <v>432</v>
      </c>
      <c r="G5" s="465"/>
      <c r="H5" s="464" t="s">
        <v>372</v>
      </c>
      <c r="I5" s="464" t="s">
        <v>421</v>
      </c>
      <c r="J5" s="464" t="s">
        <v>422</v>
      </c>
      <c r="K5" s="464" t="s">
        <v>423</v>
      </c>
      <c r="L5" s="465"/>
      <c r="M5" s="443"/>
    </row>
    <row r="6" spans="2:13" ht="129" customHeight="1" x14ac:dyDescent="0.15">
      <c r="B6" s="662"/>
      <c r="C6" s="452" t="s">
        <v>115</v>
      </c>
      <c r="D6" s="466" t="s">
        <v>289</v>
      </c>
      <c r="E6" s="466" t="s">
        <v>282</v>
      </c>
      <c r="F6" s="466" t="s">
        <v>396</v>
      </c>
      <c r="G6" s="466" t="s">
        <v>284</v>
      </c>
      <c r="H6" s="463"/>
      <c r="I6" s="463" t="s">
        <v>284</v>
      </c>
      <c r="J6" s="463" t="s">
        <v>370</v>
      </c>
      <c r="K6" s="463" t="s">
        <v>457</v>
      </c>
      <c r="L6" s="463"/>
      <c r="M6" s="442"/>
    </row>
    <row r="7" spans="2:13" ht="20.100000000000001" customHeight="1" x14ac:dyDescent="0.15">
      <c r="B7" s="662"/>
      <c r="C7" s="467" t="s">
        <v>394</v>
      </c>
      <c r="D7" s="468"/>
      <c r="E7" s="468">
        <v>16</v>
      </c>
      <c r="F7" s="468">
        <v>6</v>
      </c>
      <c r="G7" s="469">
        <v>-1</v>
      </c>
      <c r="H7" s="452"/>
      <c r="I7" s="452">
        <v>2</v>
      </c>
      <c r="J7" s="452">
        <v>6.9</v>
      </c>
      <c r="K7" s="452">
        <v>12.1</v>
      </c>
      <c r="L7" s="452"/>
      <c r="M7" s="444"/>
    </row>
    <row r="8" spans="2:13" ht="20.100000000000001" customHeight="1" x14ac:dyDescent="0.15">
      <c r="B8" s="662"/>
      <c r="C8" s="470" t="s">
        <v>395</v>
      </c>
      <c r="D8" s="468">
        <v>17.2</v>
      </c>
      <c r="E8" s="468"/>
      <c r="F8" s="468">
        <v>18</v>
      </c>
      <c r="G8" s="469">
        <v>-1</v>
      </c>
      <c r="H8" s="452"/>
      <c r="I8" s="452">
        <v>5.0999999999999996</v>
      </c>
      <c r="J8" s="452">
        <v>23.3</v>
      </c>
      <c r="K8" s="452">
        <v>3.7</v>
      </c>
      <c r="L8" s="452">
        <v>2</v>
      </c>
      <c r="M8" s="444"/>
    </row>
    <row r="9" spans="2:13" ht="20.100000000000001" customHeight="1" x14ac:dyDescent="0.15">
      <c r="B9" s="662"/>
      <c r="C9" s="452" t="s">
        <v>114</v>
      </c>
      <c r="D9" s="452">
        <v>6</v>
      </c>
      <c r="E9" s="452"/>
      <c r="F9" s="452">
        <v>3</v>
      </c>
      <c r="G9" s="452"/>
      <c r="H9" s="452"/>
      <c r="I9" s="452">
        <v>3</v>
      </c>
      <c r="J9" s="452">
        <v>3</v>
      </c>
      <c r="K9" s="452">
        <v>2</v>
      </c>
      <c r="L9" s="452"/>
      <c r="M9" s="444"/>
    </row>
    <row r="10" spans="2:13" ht="150" customHeight="1" x14ac:dyDescent="0.15">
      <c r="B10" s="663" t="s">
        <v>397</v>
      </c>
      <c r="C10" s="664"/>
      <c r="D10" s="484" t="s">
        <v>416</v>
      </c>
      <c r="E10" s="484" t="s">
        <v>417</v>
      </c>
      <c r="F10" s="484" t="s">
        <v>464</v>
      </c>
      <c r="G10" s="485"/>
      <c r="H10" s="485"/>
      <c r="I10" s="486" t="s">
        <v>418</v>
      </c>
      <c r="J10" s="486" t="s">
        <v>345</v>
      </c>
      <c r="K10" s="487"/>
      <c r="L10" s="468"/>
      <c r="M10" s="445"/>
    </row>
    <row r="11" spans="2:13" ht="150" customHeight="1" thickBot="1" x14ac:dyDescent="0.2">
      <c r="B11" s="665" t="s">
        <v>113</v>
      </c>
      <c r="C11" s="666"/>
      <c r="D11" s="488" t="s">
        <v>465</v>
      </c>
      <c r="E11" s="488" t="s">
        <v>466</v>
      </c>
      <c r="F11" s="488" t="s">
        <v>467</v>
      </c>
      <c r="G11" s="489" t="s">
        <v>468</v>
      </c>
      <c r="H11" s="489" t="s">
        <v>469</v>
      </c>
      <c r="I11" s="489" t="s">
        <v>470</v>
      </c>
      <c r="J11" s="489" t="s">
        <v>471</v>
      </c>
      <c r="K11" s="489" t="s">
        <v>472</v>
      </c>
      <c r="L11" s="446"/>
      <c r="M11" s="447"/>
    </row>
    <row r="12" spans="2:13" ht="9.75" customHeight="1" x14ac:dyDescent="0.15">
      <c r="B12" s="111"/>
    </row>
  </sheetData>
  <mergeCells count="4">
    <mergeCell ref="B3:C3"/>
    <mergeCell ref="B4:B9"/>
    <mergeCell ref="B10:C10"/>
    <mergeCell ref="B11:C11"/>
  </mergeCells>
  <phoneticPr fontId="4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M12"/>
  <sheetViews>
    <sheetView zoomScale="75" zoomScaleNormal="75" workbookViewId="0"/>
  </sheetViews>
  <sheetFormatPr defaultColWidth="9" defaultRowHeight="13.5" x14ac:dyDescent="0.15"/>
  <cols>
    <col min="1" max="1" width="1.625" style="109" customWidth="1"/>
    <col min="2" max="2" width="7.625" style="109" customWidth="1"/>
    <col min="3" max="3" width="25.625" style="109" customWidth="1"/>
    <col min="4" max="13" width="15.625" style="109" customWidth="1"/>
    <col min="14" max="16384" width="9" style="109"/>
  </cols>
  <sheetData>
    <row r="1" spans="2:13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3" ht="24.95" customHeight="1" thickBot="1" x14ac:dyDescent="0.2">
      <c r="B2" s="334" t="s">
        <v>387</v>
      </c>
      <c r="F2" s="335" t="s">
        <v>259</v>
      </c>
      <c r="G2" s="334" t="s">
        <v>487</v>
      </c>
      <c r="I2" s="335" t="s">
        <v>260</v>
      </c>
      <c r="J2" s="334" t="s">
        <v>361</v>
      </c>
    </row>
    <row r="3" spans="2:13" ht="20.100000000000001" customHeight="1" x14ac:dyDescent="0.15">
      <c r="B3" s="660" t="s">
        <v>116</v>
      </c>
      <c r="C3" s="661"/>
      <c r="D3" s="459" t="s">
        <v>362</v>
      </c>
      <c r="E3" s="459" t="s">
        <v>363</v>
      </c>
      <c r="F3" s="459" t="s">
        <v>315</v>
      </c>
      <c r="G3" s="459" t="s">
        <v>373</v>
      </c>
      <c r="H3" s="459" t="s">
        <v>66</v>
      </c>
      <c r="I3" s="459" t="s">
        <v>318</v>
      </c>
      <c r="J3" s="459" t="s">
        <v>364</v>
      </c>
      <c r="K3" s="459" t="s">
        <v>365</v>
      </c>
      <c r="L3" s="459" t="s">
        <v>374</v>
      </c>
      <c r="M3" s="440"/>
    </row>
    <row r="4" spans="2:13" ht="174.75" customHeight="1" x14ac:dyDescent="0.15">
      <c r="B4" s="662" t="s">
        <v>110</v>
      </c>
      <c r="C4" s="452" t="s">
        <v>111</v>
      </c>
      <c r="D4" s="463" t="s">
        <v>366</v>
      </c>
      <c r="E4" s="463" t="s">
        <v>460</v>
      </c>
      <c r="F4" s="463" t="s">
        <v>461</v>
      </c>
      <c r="G4" s="463" t="s">
        <v>462</v>
      </c>
      <c r="H4" s="463" t="s">
        <v>367</v>
      </c>
      <c r="I4" s="463" t="s">
        <v>368</v>
      </c>
      <c r="J4" s="463" t="s">
        <v>369</v>
      </c>
      <c r="K4" s="463" t="s">
        <v>463</v>
      </c>
      <c r="L4" s="463"/>
      <c r="M4" s="442"/>
    </row>
    <row r="5" spans="2:13" ht="20.100000000000001" customHeight="1" x14ac:dyDescent="0.15">
      <c r="B5" s="662"/>
      <c r="C5" s="452" t="s">
        <v>112</v>
      </c>
      <c r="D5" s="464" t="s">
        <v>424</v>
      </c>
      <c r="E5" s="464" t="s">
        <v>371</v>
      </c>
      <c r="F5" s="464" t="s">
        <v>425</v>
      </c>
      <c r="G5" s="465"/>
      <c r="H5" s="464" t="s">
        <v>372</v>
      </c>
      <c r="I5" s="464" t="s">
        <v>426</v>
      </c>
      <c r="J5" s="464" t="s">
        <v>427</v>
      </c>
      <c r="K5" s="464" t="s">
        <v>423</v>
      </c>
      <c r="L5" s="465"/>
      <c r="M5" s="443"/>
    </row>
    <row r="6" spans="2:13" ht="132.75" customHeight="1" x14ac:dyDescent="0.15">
      <c r="B6" s="662"/>
      <c r="C6" s="452" t="s">
        <v>115</v>
      </c>
      <c r="D6" s="466" t="s">
        <v>289</v>
      </c>
      <c r="E6" s="466" t="s">
        <v>282</v>
      </c>
      <c r="F6" s="466" t="s">
        <v>396</v>
      </c>
      <c r="G6" s="466" t="s">
        <v>284</v>
      </c>
      <c r="H6" s="463"/>
      <c r="I6" s="463" t="s">
        <v>284</v>
      </c>
      <c r="J6" s="463" t="s">
        <v>370</v>
      </c>
      <c r="K6" s="463" t="s">
        <v>457</v>
      </c>
      <c r="L6" s="463"/>
      <c r="M6" s="442"/>
    </row>
    <row r="7" spans="2:13" ht="20.100000000000001" customHeight="1" x14ac:dyDescent="0.15">
      <c r="B7" s="662"/>
      <c r="C7" s="467" t="s">
        <v>394</v>
      </c>
      <c r="D7" s="468"/>
      <c r="E7" s="468">
        <v>16</v>
      </c>
      <c r="F7" s="468">
        <v>6</v>
      </c>
      <c r="G7" s="469">
        <v>-1</v>
      </c>
      <c r="H7" s="452"/>
      <c r="I7" s="452">
        <v>2</v>
      </c>
      <c r="J7" s="452">
        <v>6.9</v>
      </c>
      <c r="K7" s="452">
        <v>12.1</v>
      </c>
      <c r="L7" s="452"/>
      <c r="M7" s="444"/>
    </row>
    <row r="8" spans="2:13" ht="20.100000000000001" customHeight="1" x14ac:dyDescent="0.15">
      <c r="B8" s="662"/>
      <c r="C8" s="470" t="s">
        <v>395</v>
      </c>
      <c r="D8" s="468">
        <v>17.2</v>
      </c>
      <c r="E8" s="468"/>
      <c r="F8" s="468">
        <v>18</v>
      </c>
      <c r="G8" s="469">
        <v>-1</v>
      </c>
      <c r="H8" s="452"/>
      <c r="I8" s="452">
        <v>5.0999999999999996</v>
      </c>
      <c r="J8" s="452">
        <v>23.3</v>
      </c>
      <c r="K8" s="452">
        <v>3.7</v>
      </c>
      <c r="L8" s="452">
        <v>2</v>
      </c>
      <c r="M8" s="444"/>
    </row>
    <row r="9" spans="2:13" ht="20.100000000000001" customHeight="1" x14ac:dyDescent="0.15">
      <c r="B9" s="662"/>
      <c r="C9" s="452" t="s">
        <v>114</v>
      </c>
      <c r="D9" s="452">
        <v>6</v>
      </c>
      <c r="E9" s="452"/>
      <c r="F9" s="452">
        <v>3</v>
      </c>
      <c r="G9" s="452"/>
      <c r="H9" s="452"/>
      <c r="I9" s="452">
        <v>3</v>
      </c>
      <c r="J9" s="452">
        <v>3</v>
      </c>
      <c r="K9" s="452">
        <v>2</v>
      </c>
      <c r="L9" s="452"/>
      <c r="M9" s="444"/>
    </row>
    <row r="10" spans="2:13" ht="150" customHeight="1" x14ac:dyDescent="0.15">
      <c r="B10" s="663" t="s">
        <v>397</v>
      </c>
      <c r="C10" s="664"/>
      <c r="D10" s="484" t="s">
        <v>416</v>
      </c>
      <c r="E10" s="484" t="s">
        <v>417</v>
      </c>
      <c r="F10" s="484" t="s">
        <v>464</v>
      </c>
      <c r="G10" s="485"/>
      <c r="H10" s="485"/>
      <c r="I10" s="486" t="s">
        <v>418</v>
      </c>
      <c r="J10" s="486" t="s">
        <v>345</v>
      </c>
      <c r="K10" s="487"/>
      <c r="L10" s="468"/>
      <c r="M10" s="445"/>
    </row>
    <row r="11" spans="2:13" ht="150" customHeight="1" thickBot="1" x14ac:dyDescent="0.2">
      <c r="B11" s="665" t="s">
        <v>113</v>
      </c>
      <c r="C11" s="666"/>
      <c r="D11" s="488" t="s">
        <v>465</v>
      </c>
      <c r="E11" s="488" t="s">
        <v>466</v>
      </c>
      <c r="F11" s="488" t="s">
        <v>467</v>
      </c>
      <c r="G11" s="489" t="s">
        <v>468</v>
      </c>
      <c r="H11" s="489" t="s">
        <v>469</v>
      </c>
      <c r="I11" s="489" t="s">
        <v>470</v>
      </c>
      <c r="J11" s="489" t="s">
        <v>471</v>
      </c>
      <c r="K11" s="489" t="s">
        <v>472</v>
      </c>
      <c r="L11" s="446"/>
      <c r="M11" s="447"/>
    </row>
    <row r="12" spans="2:13" ht="9.75" customHeight="1" x14ac:dyDescent="0.15">
      <c r="B12" s="111"/>
    </row>
  </sheetData>
  <mergeCells count="4">
    <mergeCell ref="B3:C3"/>
    <mergeCell ref="B4:B9"/>
    <mergeCell ref="B10:C10"/>
    <mergeCell ref="B11:C11"/>
  </mergeCells>
  <phoneticPr fontId="4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M12"/>
  <sheetViews>
    <sheetView zoomScale="75" zoomScaleNormal="75" zoomScaleSheetLayoutView="80" workbookViewId="0"/>
  </sheetViews>
  <sheetFormatPr defaultColWidth="9" defaultRowHeight="13.5" x14ac:dyDescent="0.15"/>
  <cols>
    <col min="1" max="1" width="1.625" style="109" customWidth="1"/>
    <col min="2" max="2" width="7.625" style="109" customWidth="1"/>
    <col min="3" max="3" width="25.625" style="109" customWidth="1"/>
    <col min="4" max="13" width="15.625" style="109" customWidth="1"/>
    <col min="14" max="16384" width="9" style="109"/>
  </cols>
  <sheetData>
    <row r="1" spans="2:13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3" ht="24.95" customHeight="1" thickBot="1" x14ac:dyDescent="0.2">
      <c r="B2" s="334" t="s">
        <v>481</v>
      </c>
      <c r="F2" s="335" t="s">
        <v>259</v>
      </c>
      <c r="G2" s="334" t="s">
        <v>488</v>
      </c>
      <c r="I2" s="335" t="s">
        <v>260</v>
      </c>
      <c r="J2" s="334" t="s">
        <v>361</v>
      </c>
    </row>
    <row r="3" spans="2:13" ht="20.100000000000001" customHeight="1" x14ac:dyDescent="0.15">
      <c r="B3" s="660" t="s">
        <v>116</v>
      </c>
      <c r="C3" s="661"/>
      <c r="D3" s="439" t="s">
        <v>362</v>
      </c>
      <c r="E3" s="439" t="s">
        <v>363</v>
      </c>
      <c r="F3" s="439" t="s">
        <v>315</v>
      </c>
      <c r="G3" s="439" t="s">
        <v>373</v>
      </c>
      <c r="H3" s="439" t="s">
        <v>66</v>
      </c>
      <c r="I3" s="439" t="s">
        <v>318</v>
      </c>
      <c r="J3" s="439" t="s">
        <v>364</v>
      </c>
      <c r="K3" s="439" t="s">
        <v>365</v>
      </c>
      <c r="L3" s="439" t="s">
        <v>374</v>
      </c>
      <c r="M3" s="440"/>
    </row>
    <row r="4" spans="2:13" ht="174" customHeight="1" x14ac:dyDescent="0.15">
      <c r="B4" s="662" t="s">
        <v>110</v>
      </c>
      <c r="C4" s="452" t="s">
        <v>111</v>
      </c>
      <c r="D4" s="463" t="s">
        <v>366</v>
      </c>
      <c r="E4" s="463" t="s">
        <v>460</v>
      </c>
      <c r="F4" s="463" t="s">
        <v>461</v>
      </c>
      <c r="G4" s="463" t="s">
        <v>462</v>
      </c>
      <c r="H4" s="463" t="s">
        <v>367</v>
      </c>
      <c r="I4" s="463" t="s">
        <v>368</v>
      </c>
      <c r="J4" s="463" t="s">
        <v>369</v>
      </c>
      <c r="K4" s="463" t="s">
        <v>463</v>
      </c>
      <c r="L4" s="463"/>
      <c r="M4" s="442"/>
    </row>
    <row r="5" spans="2:13" ht="20.100000000000001" customHeight="1" x14ac:dyDescent="0.15">
      <c r="B5" s="662"/>
      <c r="C5" s="452" t="s">
        <v>112</v>
      </c>
      <c r="D5" s="464" t="s">
        <v>428</v>
      </c>
      <c r="E5" s="464" t="s">
        <v>371</v>
      </c>
      <c r="F5" s="464" t="s">
        <v>435</v>
      </c>
      <c r="G5" s="465"/>
      <c r="H5" s="464" t="s">
        <v>372</v>
      </c>
      <c r="I5" s="464" t="s">
        <v>429</v>
      </c>
      <c r="J5" s="464" t="s">
        <v>430</v>
      </c>
      <c r="K5" s="464" t="s">
        <v>423</v>
      </c>
      <c r="L5" s="465"/>
      <c r="M5" s="443"/>
    </row>
    <row r="6" spans="2:13" ht="131.25" customHeight="1" x14ac:dyDescent="0.15">
      <c r="B6" s="662"/>
      <c r="C6" s="452" t="s">
        <v>115</v>
      </c>
      <c r="D6" s="466" t="s">
        <v>289</v>
      </c>
      <c r="E6" s="466" t="s">
        <v>282</v>
      </c>
      <c r="F6" s="466" t="s">
        <v>396</v>
      </c>
      <c r="G6" s="466" t="s">
        <v>284</v>
      </c>
      <c r="H6" s="463"/>
      <c r="I6" s="463" t="s">
        <v>284</v>
      </c>
      <c r="J6" s="463" t="s">
        <v>370</v>
      </c>
      <c r="K6" s="463" t="s">
        <v>479</v>
      </c>
      <c r="L6" s="463"/>
      <c r="M6" s="442"/>
    </row>
    <row r="7" spans="2:13" ht="20.100000000000001" customHeight="1" x14ac:dyDescent="0.15">
      <c r="B7" s="662"/>
      <c r="C7" s="467" t="s">
        <v>394</v>
      </c>
      <c r="D7" s="468"/>
      <c r="E7" s="468">
        <v>16</v>
      </c>
      <c r="F7" s="468">
        <v>6</v>
      </c>
      <c r="G7" s="469">
        <v>-1</v>
      </c>
      <c r="H7" s="452"/>
      <c r="I7" s="452">
        <v>2</v>
      </c>
      <c r="J7" s="452">
        <v>6.9</v>
      </c>
      <c r="K7" s="452">
        <v>12.1</v>
      </c>
      <c r="L7" s="452"/>
      <c r="M7" s="444"/>
    </row>
    <row r="8" spans="2:13" ht="20.100000000000001" customHeight="1" x14ac:dyDescent="0.15">
      <c r="B8" s="662"/>
      <c r="C8" s="470" t="s">
        <v>395</v>
      </c>
      <c r="D8" s="468">
        <v>17.2</v>
      </c>
      <c r="E8" s="468"/>
      <c r="F8" s="468">
        <v>18</v>
      </c>
      <c r="G8" s="469">
        <v>-1</v>
      </c>
      <c r="H8" s="452"/>
      <c r="I8" s="452">
        <v>5.0999999999999996</v>
      </c>
      <c r="J8" s="452">
        <v>23.3</v>
      </c>
      <c r="K8" s="452">
        <v>3.7</v>
      </c>
      <c r="L8" s="452">
        <v>2</v>
      </c>
      <c r="M8" s="444"/>
    </row>
    <row r="9" spans="2:13" ht="20.100000000000001" customHeight="1" x14ac:dyDescent="0.15">
      <c r="B9" s="662"/>
      <c r="C9" s="452" t="s">
        <v>114</v>
      </c>
      <c r="D9" s="452">
        <v>6</v>
      </c>
      <c r="E9" s="452"/>
      <c r="F9" s="452">
        <v>3</v>
      </c>
      <c r="G9" s="452"/>
      <c r="H9" s="452"/>
      <c r="I9" s="452">
        <v>3</v>
      </c>
      <c r="J9" s="452">
        <v>3</v>
      </c>
      <c r="K9" s="452">
        <v>2</v>
      </c>
      <c r="L9" s="452"/>
      <c r="M9" s="444"/>
    </row>
    <row r="10" spans="2:13" ht="150" customHeight="1" x14ac:dyDescent="0.15">
      <c r="B10" s="663" t="s">
        <v>397</v>
      </c>
      <c r="C10" s="664"/>
      <c r="D10" s="484" t="s">
        <v>416</v>
      </c>
      <c r="E10" s="484" t="s">
        <v>417</v>
      </c>
      <c r="F10" s="484" t="s">
        <v>464</v>
      </c>
      <c r="G10" s="485"/>
      <c r="H10" s="485"/>
      <c r="I10" s="486" t="s">
        <v>418</v>
      </c>
      <c r="J10" s="486" t="s">
        <v>345</v>
      </c>
      <c r="K10" s="487"/>
      <c r="L10" s="468"/>
      <c r="M10" s="445"/>
    </row>
    <row r="11" spans="2:13" ht="150" customHeight="1" thickBot="1" x14ac:dyDescent="0.2">
      <c r="B11" s="665" t="s">
        <v>113</v>
      </c>
      <c r="C11" s="666"/>
      <c r="D11" s="488" t="s">
        <v>465</v>
      </c>
      <c r="E11" s="488" t="s">
        <v>466</v>
      </c>
      <c r="F11" s="488" t="s">
        <v>467</v>
      </c>
      <c r="G11" s="489" t="s">
        <v>468</v>
      </c>
      <c r="H11" s="489" t="s">
        <v>469</v>
      </c>
      <c r="I11" s="489" t="s">
        <v>470</v>
      </c>
      <c r="J11" s="489" t="s">
        <v>471</v>
      </c>
      <c r="K11" s="489" t="s">
        <v>472</v>
      </c>
      <c r="L11" s="446"/>
      <c r="M11" s="447"/>
    </row>
    <row r="12" spans="2:13" ht="9.75" customHeight="1" x14ac:dyDescent="0.15">
      <c r="B12" s="111"/>
    </row>
  </sheetData>
  <mergeCells count="4">
    <mergeCell ref="B4:B9"/>
    <mergeCell ref="B3:C3"/>
    <mergeCell ref="B11:C11"/>
    <mergeCell ref="B10:C10"/>
  </mergeCells>
  <phoneticPr fontId="2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M12"/>
  <sheetViews>
    <sheetView zoomScale="75" zoomScaleNormal="75" zoomScaleSheetLayoutView="78" workbookViewId="0"/>
  </sheetViews>
  <sheetFormatPr defaultColWidth="9" defaultRowHeight="13.5" x14ac:dyDescent="0.15"/>
  <cols>
    <col min="1" max="1" width="1.625" style="109" customWidth="1"/>
    <col min="2" max="2" width="7.625" style="109" customWidth="1"/>
    <col min="3" max="3" width="25.625" style="109" customWidth="1"/>
    <col min="4" max="13" width="15.625" style="109" customWidth="1"/>
    <col min="14" max="16384" width="9" style="109"/>
  </cols>
  <sheetData>
    <row r="1" spans="2:13" ht="9.9499999999999993" customHeight="1" x14ac:dyDescent="0.15"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2:13" ht="24.95" customHeight="1" thickBot="1" x14ac:dyDescent="0.2">
      <c r="B2" s="334" t="s">
        <v>482</v>
      </c>
      <c r="F2" s="335" t="s">
        <v>259</v>
      </c>
      <c r="G2" s="334" t="s">
        <v>489</v>
      </c>
      <c r="I2" s="335" t="s">
        <v>260</v>
      </c>
      <c r="J2" s="109" t="s">
        <v>262</v>
      </c>
    </row>
    <row r="3" spans="2:13" ht="20.100000000000001" customHeight="1" x14ac:dyDescent="0.15">
      <c r="B3" s="660" t="s">
        <v>116</v>
      </c>
      <c r="C3" s="661"/>
      <c r="D3" s="439" t="s">
        <v>362</v>
      </c>
      <c r="E3" s="439" t="s">
        <v>363</v>
      </c>
      <c r="F3" s="439" t="s">
        <v>315</v>
      </c>
      <c r="G3" s="439" t="s">
        <v>316</v>
      </c>
      <c r="H3" s="439" t="s">
        <v>66</v>
      </c>
      <c r="I3" s="439" t="s">
        <v>318</v>
      </c>
      <c r="J3" s="439" t="s">
        <v>364</v>
      </c>
      <c r="K3" s="439" t="s">
        <v>365</v>
      </c>
      <c r="L3" s="439" t="s">
        <v>374</v>
      </c>
      <c r="M3" s="440"/>
    </row>
    <row r="4" spans="2:13" ht="177.75" customHeight="1" x14ac:dyDescent="0.15">
      <c r="B4" s="662" t="s">
        <v>110</v>
      </c>
      <c r="C4" s="452" t="s">
        <v>111</v>
      </c>
      <c r="D4" s="463" t="s">
        <v>366</v>
      </c>
      <c r="E4" s="463" t="s">
        <v>473</v>
      </c>
      <c r="F4" s="463" t="s">
        <v>461</v>
      </c>
      <c r="G4" s="463" t="s">
        <v>462</v>
      </c>
      <c r="H4" s="463" t="s">
        <v>367</v>
      </c>
      <c r="I4" s="463" t="s">
        <v>449</v>
      </c>
      <c r="J4" s="463" t="s">
        <v>448</v>
      </c>
      <c r="K4" s="463" t="s">
        <v>474</v>
      </c>
      <c r="L4" s="430"/>
      <c r="M4" s="442"/>
    </row>
    <row r="5" spans="2:13" ht="20.100000000000001" customHeight="1" x14ac:dyDescent="0.15">
      <c r="B5" s="662"/>
      <c r="C5" s="452" t="s">
        <v>112</v>
      </c>
      <c r="D5" s="464" t="s">
        <v>431</v>
      </c>
      <c r="E5" s="464" t="s">
        <v>371</v>
      </c>
      <c r="F5" s="464" t="s">
        <v>436</v>
      </c>
      <c r="G5" s="465"/>
      <c r="H5" s="464" t="s">
        <v>372</v>
      </c>
      <c r="I5" s="464" t="s">
        <v>433</v>
      </c>
      <c r="J5" s="464" t="s">
        <v>434</v>
      </c>
      <c r="K5" s="464" t="s">
        <v>423</v>
      </c>
      <c r="L5" s="441"/>
      <c r="M5" s="444"/>
    </row>
    <row r="6" spans="2:13" ht="126" customHeight="1" x14ac:dyDescent="0.15">
      <c r="B6" s="662"/>
      <c r="C6" s="452" t="s">
        <v>115</v>
      </c>
      <c r="D6" s="466" t="s">
        <v>289</v>
      </c>
      <c r="E6" s="463" t="s">
        <v>480</v>
      </c>
      <c r="F6" s="466" t="s">
        <v>396</v>
      </c>
      <c r="G6" s="466" t="s">
        <v>284</v>
      </c>
      <c r="H6" s="463"/>
      <c r="I6" s="463" t="s">
        <v>284</v>
      </c>
      <c r="J6" s="463" t="s">
        <v>447</v>
      </c>
      <c r="K6" s="463" t="s">
        <v>479</v>
      </c>
      <c r="L6" s="430"/>
      <c r="M6" s="442"/>
    </row>
    <row r="7" spans="2:13" ht="20.100000000000001" customHeight="1" x14ac:dyDescent="0.15">
      <c r="B7" s="662"/>
      <c r="C7" s="467" t="s">
        <v>394</v>
      </c>
      <c r="D7" s="468"/>
      <c r="E7" s="468">
        <v>16</v>
      </c>
      <c r="F7" s="468">
        <v>6</v>
      </c>
      <c r="G7" s="469">
        <v>-1</v>
      </c>
      <c r="H7" s="452"/>
      <c r="I7" s="452">
        <v>2</v>
      </c>
      <c r="J7" s="452">
        <v>6.9</v>
      </c>
      <c r="K7" s="452">
        <v>12.1</v>
      </c>
      <c r="L7" s="441"/>
      <c r="M7" s="444"/>
    </row>
    <row r="8" spans="2:13" ht="20.100000000000001" customHeight="1" x14ac:dyDescent="0.15">
      <c r="B8" s="662"/>
      <c r="C8" s="470" t="s">
        <v>395</v>
      </c>
      <c r="D8" s="468">
        <v>17.2</v>
      </c>
      <c r="E8" s="468"/>
      <c r="F8" s="468">
        <v>18</v>
      </c>
      <c r="G8" s="469">
        <v>-1</v>
      </c>
      <c r="H8" s="452"/>
      <c r="I8" s="452">
        <v>5.0999999999999996</v>
      </c>
      <c r="J8" s="452">
        <v>13.8</v>
      </c>
      <c r="K8" s="452">
        <v>3.7</v>
      </c>
      <c r="L8" s="441">
        <v>2</v>
      </c>
      <c r="M8" s="444"/>
    </row>
    <row r="9" spans="2:13" ht="20.100000000000001" customHeight="1" x14ac:dyDescent="0.15">
      <c r="B9" s="662"/>
      <c r="C9" s="452" t="s">
        <v>114</v>
      </c>
      <c r="D9" s="452">
        <v>6</v>
      </c>
      <c r="E9" s="452"/>
      <c r="F9" s="452">
        <v>3</v>
      </c>
      <c r="G9" s="452"/>
      <c r="H9" s="452"/>
      <c r="I9" s="452">
        <v>3</v>
      </c>
      <c r="J9" s="452">
        <v>3</v>
      </c>
      <c r="K9" s="452">
        <v>2</v>
      </c>
      <c r="L9" s="441"/>
      <c r="M9" s="444"/>
    </row>
    <row r="10" spans="2:13" ht="150" customHeight="1" x14ac:dyDescent="0.15">
      <c r="B10" s="663" t="s">
        <v>397</v>
      </c>
      <c r="C10" s="664"/>
      <c r="D10" s="484" t="s">
        <v>416</v>
      </c>
      <c r="E10" s="484" t="s">
        <v>417</v>
      </c>
      <c r="F10" s="484" t="s">
        <v>464</v>
      </c>
      <c r="G10" s="485"/>
      <c r="H10" s="485"/>
      <c r="I10" s="486" t="s">
        <v>418</v>
      </c>
      <c r="J10" s="486" t="s">
        <v>281</v>
      </c>
      <c r="K10" s="486" t="s">
        <v>419</v>
      </c>
      <c r="L10" s="431"/>
      <c r="M10" s="448"/>
    </row>
    <row r="11" spans="2:13" ht="150" customHeight="1" thickBot="1" x14ac:dyDescent="0.2">
      <c r="B11" s="665" t="s">
        <v>113</v>
      </c>
      <c r="C11" s="666"/>
      <c r="D11" s="488" t="s">
        <v>465</v>
      </c>
      <c r="E11" s="488" t="s">
        <v>466</v>
      </c>
      <c r="F11" s="488" t="s">
        <v>467</v>
      </c>
      <c r="G11" s="489" t="s">
        <v>468</v>
      </c>
      <c r="H11" s="489" t="s">
        <v>469</v>
      </c>
      <c r="I11" s="489" t="s">
        <v>470</v>
      </c>
      <c r="J11" s="489" t="s">
        <v>471</v>
      </c>
      <c r="K11" s="489" t="s">
        <v>472</v>
      </c>
      <c r="L11" s="449"/>
      <c r="M11" s="450"/>
    </row>
    <row r="12" spans="2:13" ht="9.75" customHeight="1" x14ac:dyDescent="0.15">
      <c r="B12" s="111"/>
    </row>
  </sheetData>
  <mergeCells count="4">
    <mergeCell ref="B3:C3"/>
    <mergeCell ref="B4:B9"/>
    <mergeCell ref="B10:C10"/>
    <mergeCell ref="B11:C11"/>
  </mergeCells>
  <phoneticPr fontId="4"/>
  <pageMargins left="1.1811023622047245" right="0.78740157480314965" top="0.78740157480314965" bottom="0" header="0.39370078740157483" footer="0.39370078740157483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K50"/>
  <sheetViews>
    <sheetView zoomScale="75" zoomScaleNormal="75" workbookViewId="0">
      <pane xSplit="5" ySplit="4" topLeftCell="F8" activePane="bottomRight" state="frozen"/>
      <selection activeCell="E26" sqref="E25:N32"/>
      <selection pane="topRight" activeCell="E26" sqref="E25:N32"/>
      <selection pane="bottomLeft" activeCell="E26" sqref="E25:N32"/>
      <selection pane="bottomRight"/>
    </sheetView>
  </sheetViews>
  <sheetFormatPr defaultColWidth="9" defaultRowHeight="13.5" x14ac:dyDescent="0.15"/>
  <cols>
    <col min="1" max="1" width="1.625" style="46" customWidth="1"/>
    <col min="2" max="2" width="7.625" style="46" customWidth="1"/>
    <col min="3" max="3" width="15.625" style="46" customWidth="1"/>
    <col min="4" max="10" width="20.625" style="46" customWidth="1"/>
    <col min="11" max="11" width="64.375" style="46" customWidth="1"/>
    <col min="12" max="12" width="9.25" style="46" bestFit="1" customWidth="1"/>
    <col min="13" max="16384" width="9" style="46"/>
  </cols>
  <sheetData>
    <row r="1" spans="2:11" ht="9.9499999999999993" customHeight="1" x14ac:dyDescent="0.15"/>
    <row r="2" spans="2:11" ht="24.95" customHeight="1" thickBot="1" x14ac:dyDescent="0.2">
      <c r="B2" s="47" t="s">
        <v>107</v>
      </c>
      <c r="C2" s="48"/>
      <c r="D2" s="48"/>
      <c r="K2" s="49"/>
    </row>
    <row r="3" spans="2:11" ht="20.100000000000001" customHeight="1" x14ac:dyDescent="0.15">
      <c r="B3" s="667" t="s">
        <v>273</v>
      </c>
      <c r="C3" s="668"/>
      <c r="D3" s="668"/>
      <c r="E3" s="668"/>
      <c r="F3" s="50" t="s">
        <v>274</v>
      </c>
      <c r="G3" s="50" t="str">
        <f>'１　対象経営の概要，２　前提条件'!C13</f>
        <v>水稲(こいもみじ）</v>
      </c>
      <c r="H3" s="367" t="str">
        <f>'１　対象経営の概要，２　前提条件'!C14</f>
        <v>水稲(コシヒカリ）</v>
      </c>
      <c r="I3" s="367" t="str">
        <f>'１　対象経営の概要，２　前提条件'!C15</f>
        <v>水稲(あきろまん）</v>
      </c>
      <c r="J3" s="367" t="str">
        <f>'１　対象経営の概要，２　前提条件'!C16</f>
        <v>水稲（飼料用米）</v>
      </c>
      <c r="K3" s="671" t="s">
        <v>272</v>
      </c>
    </row>
    <row r="4" spans="2:11" ht="20.100000000000001" customHeight="1" thickBot="1" x14ac:dyDescent="0.2">
      <c r="B4" s="669"/>
      <c r="C4" s="670"/>
      <c r="D4" s="670"/>
      <c r="E4" s="670"/>
      <c r="F4" s="408"/>
      <c r="G4" s="408">
        <f>'１　対象経営の概要，２　前提条件'!F13</f>
        <v>5</v>
      </c>
      <c r="H4" s="408">
        <f>'１　対象経営の概要，２　前提条件'!F14</f>
        <v>10</v>
      </c>
      <c r="I4" s="408">
        <f>'１　対象経営の概要，２　前提条件'!F15</f>
        <v>5</v>
      </c>
      <c r="J4" s="408">
        <f>'１　対象経営の概要，２　前提条件'!F16</f>
        <v>10</v>
      </c>
      <c r="K4" s="672"/>
    </row>
    <row r="5" spans="2:11" ht="20.100000000000001" customHeight="1" x14ac:dyDescent="0.15">
      <c r="B5" s="673" t="s">
        <v>91</v>
      </c>
      <c r="C5" s="676" t="s">
        <v>58</v>
      </c>
      <c r="D5" s="51" t="s">
        <v>217</v>
      </c>
      <c r="E5" s="52"/>
      <c r="F5" s="53">
        <f>SUM(G5:J5)</f>
        <v>17851000</v>
      </c>
      <c r="G5" s="333">
        <f>'７－１　水稲部門（こいもみじ）収支'!F4*'１　対象経営の概要，２　前提条件'!$AB$26</f>
        <v>4290000</v>
      </c>
      <c r="H5" s="333">
        <f>'７－２　水稲部門（コシヒカリ）収支 '!F4*'１　対象経営の概要，２　前提条件'!$AM$26</f>
        <v>9180000</v>
      </c>
      <c r="I5" s="333">
        <f>'７－３　水稲部門（あきろまん）収支'!F4*'１　対象経営の概要，２　前提条件'!$AM$27</f>
        <v>4290000</v>
      </c>
      <c r="J5" s="333">
        <f>IF(J4=0,"0",'７－４　水稲部門（飼料用米）収支'!F4*'１　対象経営の概要，２　前提条件'!$AB$30)</f>
        <v>91000</v>
      </c>
      <c r="K5" s="54"/>
    </row>
    <row r="6" spans="2:11" ht="20.100000000000001" customHeight="1" x14ac:dyDescent="0.15">
      <c r="B6" s="674"/>
      <c r="C6" s="677"/>
      <c r="D6" s="55" t="s">
        <v>92</v>
      </c>
      <c r="E6" s="56"/>
      <c r="F6" s="57">
        <f>SUM(G6:J6)</f>
        <v>0</v>
      </c>
      <c r="G6" s="61">
        <f>'７－１　水稲部門（こいもみじ）収支'!F5*'１　対象経営の概要，２　前提条件'!$AB$26</f>
        <v>0</v>
      </c>
      <c r="H6" s="61">
        <f>'７－２　水稲部門（コシヒカリ）収支 '!F5*'１　対象経営の概要，２　前提条件'!$AM$26</f>
        <v>0</v>
      </c>
      <c r="I6" s="61">
        <f>'７－３　水稲部門（あきろまん）収支'!F5*'１　対象経営の概要，２　前提条件'!$AM$27</f>
        <v>0</v>
      </c>
      <c r="J6" s="61">
        <f>IF(J4=0,"0",'７－４　水稲部門（飼料用米）収支'!F5*'１　対象経営の概要，２　前提条件'!$AB$30)</f>
        <v>0</v>
      </c>
      <c r="K6" s="58"/>
    </row>
    <row r="7" spans="2:11" ht="20.100000000000001" customHeight="1" x14ac:dyDescent="0.15">
      <c r="B7" s="674"/>
      <c r="C7" s="678"/>
      <c r="D7" s="679" t="s">
        <v>205</v>
      </c>
      <c r="E7" s="680"/>
      <c r="F7" s="59">
        <f>SUM(F5:F6)</f>
        <v>17851000</v>
      </c>
      <c r="G7" s="60">
        <f>G5+G6</f>
        <v>4290000</v>
      </c>
      <c r="H7" s="60">
        <f>SUM(H5:H6)</f>
        <v>9180000</v>
      </c>
      <c r="I7" s="60">
        <f t="shared" ref="I7" si="0">SUM(I5:I6)</f>
        <v>4290000</v>
      </c>
      <c r="J7" s="60">
        <f t="shared" ref="J7" si="1">SUM(J5:J6)</f>
        <v>91000</v>
      </c>
      <c r="K7" s="58"/>
    </row>
    <row r="8" spans="2:11" ht="20.100000000000001" customHeight="1" x14ac:dyDescent="0.15">
      <c r="B8" s="674"/>
      <c r="C8" s="681" t="s">
        <v>208</v>
      </c>
      <c r="D8" s="55" t="s">
        <v>59</v>
      </c>
      <c r="E8" s="56"/>
      <c r="F8" s="57">
        <f t="shared" ref="F8:F27" si="2">SUM(G8:J8)</f>
        <v>591500</v>
      </c>
      <c r="G8" s="61">
        <f>'７－１　水稲部門（こいもみじ）収支'!F6*'１　対象経営の概要，２　前提条件'!$AB$26</f>
        <v>96250</v>
      </c>
      <c r="H8" s="61">
        <f>'７－２　水稲部門（コシヒカリ）収支 '!F6*'１　対象経営の概要，２　前提条件'!$AM$26</f>
        <v>206500</v>
      </c>
      <c r="I8" s="61">
        <f>'７－３　水稲部門（あきろまん）収支'!F6*'１　対象経営の概要，２　前提条件'!$AM$27</f>
        <v>96250</v>
      </c>
      <c r="J8" s="61">
        <f>IF($J$4=0,"0",'７－４　水稲部門（飼料用米）収支'!F6*'１　対象経営の概要，２　前提条件'!$AB$30)</f>
        <v>192500</v>
      </c>
      <c r="K8" s="58"/>
    </row>
    <row r="9" spans="2:11" ht="20.100000000000001" customHeight="1" x14ac:dyDescent="0.15">
      <c r="B9" s="674"/>
      <c r="C9" s="682"/>
      <c r="D9" s="55" t="s">
        <v>60</v>
      </c>
      <c r="E9" s="56"/>
      <c r="F9" s="57">
        <f t="shared" si="2"/>
        <v>4424598</v>
      </c>
      <c r="G9" s="61">
        <f>'７－１　水稲部門（こいもみじ）収支'!F7*'１　対象経営の概要，２　前提条件'!$AB$26</f>
        <v>663820.75</v>
      </c>
      <c r="H9" s="61">
        <f>'７－２　水稲部門（コシヒカリ）収支 '!F7*'１　対象経営の概要，２　前提条件'!$AM$26</f>
        <v>1091141.5</v>
      </c>
      <c r="I9" s="61">
        <f>'７－３　水稲部門（あきろまん）収支'!F7*'１　対象経営の概要，２　前提条件'!$AM$27</f>
        <v>805744.25</v>
      </c>
      <c r="J9" s="61">
        <f>IF($J$4=0,"0",'７－４　水稲部門（飼料用米）収支'!F7*'１　対象経営の概要，２　前提条件'!$AB$30)</f>
        <v>1863891.5</v>
      </c>
      <c r="K9" s="58"/>
    </row>
    <row r="10" spans="2:11" ht="20.100000000000001" customHeight="1" x14ac:dyDescent="0.15">
      <c r="B10" s="674"/>
      <c r="C10" s="682"/>
      <c r="D10" s="55" t="s">
        <v>61</v>
      </c>
      <c r="E10" s="56"/>
      <c r="F10" s="57">
        <f t="shared" si="2"/>
        <v>1882718</v>
      </c>
      <c r="G10" s="61">
        <f>'７－１　水稲部門（こいもみじ）収支'!F8*'１　対象経営の概要，２　前提条件'!$AB$26</f>
        <v>313786.33333333331</v>
      </c>
      <c r="H10" s="61">
        <f>'７－２　水稲部門（コシヒカリ）収支 '!F8*'１　対象経営の概要，２　前提条件'!$AM$26</f>
        <v>627572.66666666663</v>
      </c>
      <c r="I10" s="61">
        <f>'７－３　水稲部門（あきろまん）収支'!F8*'１　対象経営の概要，２　前提条件'!$AM$27</f>
        <v>313786.33333333331</v>
      </c>
      <c r="J10" s="61">
        <f>IF($J$4=0,"0",'７－４　水稲部門（飼料用米）収支'!F8*'１　対象経営の概要，２　前提条件'!$AB$30)</f>
        <v>627572.66666666663</v>
      </c>
      <c r="K10" s="58"/>
    </row>
    <row r="11" spans="2:11" ht="20.100000000000001" customHeight="1" x14ac:dyDescent="0.15">
      <c r="B11" s="674"/>
      <c r="C11" s="682"/>
      <c r="D11" s="55" t="s">
        <v>93</v>
      </c>
      <c r="E11" s="56"/>
      <c r="F11" s="57">
        <f t="shared" si="2"/>
        <v>1493719.6369999999</v>
      </c>
      <c r="G11" s="61">
        <f>'７－１　水稲部門（こいもみじ）収支'!F9*'１　対象経営の概要，２　前提条件'!$AB$26</f>
        <v>247347.50199999998</v>
      </c>
      <c r="H11" s="61">
        <f>'７－２　水稲部門（コシヒカリ）収支 '!F9*'１　対象経営の概要，２　前提条件'!$AM$26</f>
        <v>494695.00399999996</v>
      </c>
      <c r="I11" s="61">
        <f>'７－３　水稲部門（あきろまん）収支'!F9*'１　対象経営の概要，２　前提条件'!$AM$27</f>
        <v>247347.50199999998</v>
      </c>
      <c r="J11" s="61">
        <f>IF($J$4=0,"0",'７－４　水稲部門（飼料用米）収支'!F9*'１　対象経営の概要，２　前提条件'!$AB$30)</f>
        <v>504329.62899999996</v>
      </c>
      <c r="K11" s="58"/>
    </row>
    <row r="12" spans="2:11" ht="20.100000000000001" customHeight="1" x14ac:dyDescent="0.15">
      <c r="B12" s="674"/>
      <c r="C12" s="682"/>
      <c r="D12" s="55" t="s">
        <v>62</v>
      </c>
      <c r="E12" s="56"/>
      <c r="F12" s="57">
        <f t="shared" si="2"/>
        <v>174200</v>
      </c>
      <c r="G12" s="61">
        <f>'７－１　水稲部門（こいもみじ）収支'!F10*'１　対象経営の概要，２　前提条件'!$AB$26</f>
        <v>29033.333333333336</v>
      </c>
      <c r="H12" s="61">
        <f>'７－２　水稲部門（コシヒカリ）収支 '!F10*'１　対象経営の概要，２　前提条件'!$AM$26</f>
        <v>58066.666666666672</v>
      </c>
      <c r="I12" s="61">
        <f>'７－３　水稲部門（あきろまん）収支'!F10*'１　対象経営の概要，２　前提条件'!$AM$27</f>
        <v>29033.333333333336</v>
      </c>
      <c r="J12" s="61">
        <f>IF($J$4=0,"0",'７－４　水稲部門（飼料用米）収支'!F10*'１　対象経営の概要，２　前提条件'!$AB$30)</f>
        <v>58066.666666666672</v>
      </c>
      <c r="K12" s="58"/>
    </row>
    <row r="13" spans="2:11" ht="20.100000000000001" customHeight="1" x14ac:dyDescent="0.15">
      <c r="B13" s="674"/>
      <c r="C13" s="682"/>
      <c r="D13" s="55" t="s">
        <v>6</v>
      </c>
      <c r="E13" s="56"/>
      <c r="F13" s="57">
        <f t="shared" si="2"/>
        <v>2500</v>
      </c>
      <c r="G13" s="61">
        <f>'７－１　水稲部門（こいもみじ）収支'!F11*'１　対象経営の概要，２　前提条件'!$AB$26</f>
        <v>416.66666666666663</v>
      </c>
      <c r="H13" s="61">
        <f>'７－２　水稲部門（コシヒカリ）収支 '!F11*'１　対象経営の概要，２　前提条件'!$AM$26</f>
        <v>833.33333333333326</v>
      </c>
      <c r="I13" s="61">
        <f>'７－３　水稲部門（あきろまん）収支'!F11*'１　対象経営の概要，２　前提条件'!$AM$27</f>
        <v>416.66666666666663</v>
      </c>
      <c r="J13" s="61">
        <f>IF($J$4=0,"0",'７－４　水稲部門（飼料用米）収支'!F11*'１　対象経営の概要，２　前提条件'!$AB$30)</f>
        <v>833.33333333333326</v>
      </c>
      <c r="K13" s="58"/>
    </row>
    <row r="14" spans="2:11" ht="20.100000000000001" customHeight="1" x14ac:dyDescent="0.15">
      <c r="B14" s="674"/>
      <c r="C14" s="682"/>
      <c r="D14" s="55" t="s">
        <v>7</v>
      </c>
      <c r="E14" s="56"/>
      <c r="F14" s="61">
        <f t="shared" si="2"/>
        <v>0</v>
      </c>
      <c r="G14" s="61">
        <f>'７－１　水稲部門（こいもみじ）収支'!F12*'１　対象経営の概要，２　前提条件'!$AB$26</f>
        <v>0</v>
      </c>
      <c r="H14" s="61">
        <f>'７－２　水稲部門（コシヒカリ）収支 '!F12*'１　対象経営の概要，２　前提条件'!$AM$26</f>
        <v>0</v>
      </c>
      <c r="I14" s="61">
        <f>'７－３　水稲部門（あきろまん）収支'!F12*'１　対象経営の概要，２　前提条件'!$AM$27</f>
        <v>0</v>
      </c>
      <c r="J14" s="61">
        <f>IF($J$4=0,"0",'７－４　水稲部門（飼料用米）収支'!F12*'１　対象経営の概要，２　前提条件'!$AB$30)</f>
        <v>0</v>
      </c>
      <c r="K14" s="58"/>
    </row>
    <row r="15" spans="2:11" ht="20.100000000000001" customHeight="1" x14ac:dyDescent="0.15">
      <c r="B15" s="674"/>
      <c r="C15" s="682"/>
      <c r="D15" s="684" t="s">
        <v>63</v>
      </c>
      <c r="E15" s="62" t="s">
        <v>196</v>
      </c>
      <c r="F15" s="61">
        <f t="shared" si="2"/>
        <v>183937.5</v>
      </c>
      <c r="G15" s="61">
        <f>'７－１　水稲部門（こいもみじ）収支'!F13*'１　対象経営の概要，２　前提条件'!$AB$26</f>
        <v>30656.25</v>
      </c>
      <c r="H15" s="61">
        <f>'７－２　水稲部門（コシヒカリ）収支 '!F13*'１　対象経営の概要，２　前提条件'!$AM$26</f>
        <v>61312.5</v>
      </c>
      <c r="I15" s="61">
        <f>'７－３　水稲部門（あきろまん）収支'!F13*'１　対象経営の概要，２　前提条件'!$AM$27</f>
        <v>30656.25</v>
      </c>
      <c r="J15" s="61">
        <f>IF($J$4=0,"0",'７－４　水稲部門（飼料用米）収支'!F13*'１　対象経営の概要，２　前提条件'!$AB$30)</f>
        <v>61312.5</v>
      </c>
      <c r="K15" s="58"/>
    </row>
    <row r="16" spans="2:11" ht="20.100000000000001" customHeight="1" x14ac:dyDescent="0.15">
      <c r="B16" s="674"/>
      <c r="C16" s="682"/>
      <c r="D16" s="685"/>
      <c r="E16" s="62" t="s">
        <v>197</v>
      </c>
      <c r="F16" s="61">
        <f t="shared" si="2"/>
        <v>2555420.0060000005</v>
      </c>
      <c r="G16" s="61">
        <f>'７－１　水稲部門（こいもみじ）収支'!F14*'１　対象経営の概要，２　前提条件'!$AB$26</f>
        <v>425903.33433333342</v>
      </c>
      <c r="H16" s="61">
        <f>'７－２　水稲部門（コシヒカリ）収支 '!F14*'１　対象経営の概要，２　前提条件'!$AM$26</f>
        <v>851806.66866666684</v>
      </c>
      <c r="I16" s="61">
        <f>'７－３　水稲部門（あきろまん）収支'!F14*'１　対象経営の概要，２　前提条件'!$AM$27</f>
        <v>425903.33433333342</v>
      </c>
      <c r="J16" s="61">
        <f>IF($J$4=0,"0",'７－４　水稲部門（飼料用米）収支'!F14*'１　対象経営の概要，２　前提条件'!$AB$30)</f>
        <v>851806.66866666684</v>
      </c>
      <c r="K16" s="58"/>
    </row>
    <row r="17" spans="2:11" ht="20.100000000000001" customHeight="1" x14ac:dyDescent="0.15">
      <c r="B17" s="674"/>
      <c r="C17" s="682"/>
      <c r="D17" s="686" t="s">
        <v>94</v>
      </c>
      <c r="E17" s="62" t="s">
        <v>196</v>
      </c>
      <c r="F17" s="61">
        <f t="shared" si="2"/>
        <v>735750</v>
      </c>
      <c r="G17" s="61">
        <f>'７－１　水稲部門（こいもみじ）収支'!F15*'１　対象経営の概要，２　前提条件'!$AB$26</f>
        <v>122625</v>
      </c>
      <c r="H17" s="61">
        <f>'７－２　水稲部門（コシヒカリ）収支 '!F15*'１　対象経営の概要，２　前提条件'!$AM$26</f>
        <v>245250</v>
      </c>
      <c r="I17" s="61">
        <f>'７－３　水稲部門（あきろまん）収支'!F15*'１　対象経営の概要，２　前提条件'!$AM$27</f>
        <v>122625</v>
      </c>
      <c r="J17" s="61">
        <f>IF($J$4=0,"0",'７－４　水稲部門（飼料用米）収支'!F15*'１　対象経営の概要，２　前提条件'!$AB$30)</f>
        <v>245250</v>
      </c>
      <c r="K17" s="58"/>
    </row>
    <row r="18" spans="2:11" ht="20.100000000000001" customHeight="1" x14ac:dyDescent="0.15">
      <c r="B18" s="674"/>
      <c r="C18" s="682"/>
      <c r="D18" s="687"/>
      <c r="E18" s="62" t="s">
        <v>197</v>
      </c>
      <c r="F18" s="61">
        <f t="shared" si="2"/>
        <v>7301200.0171428574</v>
      </c>
      <c r="G18" s="61">
        <f>'７－１　水稲部門（こいもみじ）収支'!F16*'１　対象経営の概要，２　前提条件'!$AB$26</f>
        <v>1216866.6695238096</v>
      </c>
      <c r="H18" s="61">
        <f>'７－２　水稲部門（コシヒカリ）収支 '!F16*'１　対象経営の概要，２　前提条件'!$AM$26</f>
        <v>2433733.3390476191</v>
      </c>
      <c r="I18" s="61">
        <f>'７－３　水稲部門（あきろまん）収支'!F16*'１　対象経営の概要，２　前提条件'!$AM$27</f>
        <v>1216866.6695238096</v>
      </c>
      <c r="J18" s="61">
        <f>IF($J$4=0,"0",'７－４　水稲部門（飼料用米）収支'!F16*'１　対象経営の概要，２　前提条件'!$AB$30)</f>
        <v>2433733.3390476191</v>
      </c>
      <c r="K18" s="58"/>
    </row>
    <row r="19" spans="2:11" ht="20.100000000000001" customHeight="1" x14ac:dyDescent="0.15">
      <c r="B19" s="674"/>
      <c r="C19" s="682"/>
      <c r="D19" s="685"/>
      <c r="E19" s="65" t="s">
        <v>64</v>
      </c>
      <c r="F19" s="61">
        <f t="shared" si="2"/>
        <v>0</v>
      </c>
      <c r="G19" s="61">
        <f>'７－１　水稲部門（こいもみじ）収支'!F17*'１　対象経営の概要，２　前提条件'!$AB$26</f>
        <v>0</v>
      </c>
      <c r="H19" s="61">
        <f>'７－２　水稲部門（コシヒカリ）収支 '!F17*'１　対象経営の概要，２　前提条件'!$AM$26</f>
        <v>0</v>
      </c>
      <c r="I19" s="61">
        <f>'７－３　水稲部門（あきろまん）収支'!F17*'１　対象経営の概要，２　前提条件'!$AM$27</f>
        <v>0</v>
      </c>
      <c r="J19" s="61">
        <f>IF($J$4=0,"0",'７－４　水稲部門（飼料用米）収支'!F17*'１　対象経営の概要，２　前提条件'!$AB$30)</f>
        <v>0</v>
      </c>
      <c r="K19" s="58"/>
    </row>
    <row r="20" spans="2:11" ht="20.100000000000001" customHeight="1" x14ac:dyDescent="0.15">
      <c r="B20" s="674"/>
      <c r="C20" s="682"/>
      <c r="D20" s="688" t="s">
        <v>269</v>
      </c>
      <c r="E20" s="65" t="s">
        <v>128</v>
      </c>
      <c r="F20" s="61">
        <f t="shared" si="2"/>
        <v>0</v>
      </c>
      <c r="G20" s="61">
        <f>'７－１　水稲部門（こいもみじ）収支'!F18*'１　対象経営の概要，２　前提条件'!$AB$26</f>
        <v>0</v>
      </c>
      <c r="H20" s="61">
        <f>'７－２　水稲部門（コシヒカリ）収支 '!F18*'１　対象経営の概要，２　前提条件'!$AM$26</f>
        <v>0</v>
      </c>
      <c r="I20" s="61">
        <f>'７－３　水稲部門（あきろまん）収支'!F18*'１　対象経営の概要，２　前提条件'!$AM$27</f>
        <v>0</v>
      </c>
      <c r="J20" s="61">
        <f>IF($J$4=0,"0",'７－４　水稲部門（飼料用米）収支'!F18*'１　対象経営の概要，２　前提条件'!$AB$30)</f>
        <v>0</v>
      </c>
      <c r="K20" s="58"/>
    </row>
    <row r="21" spans="2:11" ht="20.100000000000001" customHeight="1" x14ac:dyDescent="0.15">
      <c r="B21" s="674"/>
      <c r="C21" s="682"/>
      <c r="D21" s="688"/>
      <c r="E21" s="65" t="s">
        <v>124</v>
      </c>
      <c r="F21" s="61">
        <f t="shared" si="2"/>
        <v>1118700.0000000002</v>
      </c>
      <c r="G21" s="61">
        <f>'７－１　水稲部門（こいもみじ）収支'!F19*'１　対象経営の概要，２　前提条件'!$AB$26</f>
        <v>186450.00000000003</v>
      </c>
      <c r="H21" s="61">
        <f>'７－２　水稲部門（コシヒカリ）収支 '!F19*'１　対象経営の概要，２　前提条件'!$AM$26</f>
        <v>372900.00000000006</v>
      </c>
      <c r="I21" s="61">
        <f>'７－３　水稲部門（あきろまん）収支'!F19*'１　対象経営の概要，２　前提条件'!$AM$27</f>
        <v>186450.00000000003</v>
      </c>
      <c r="J21" s="61">
        <f>IF($J$4=0,"0",'７－４　水稲部門（飼料用米）収支'!F19*'１　対象経営の概要，２　前提条件'!$AB$30)</f>
        <v>372900.00000000006</v>
      </c>
      <c r="K21" s="58"/>
    </row>
    <row r="22" spans="2:11" ht="20.100000000000001" customHeight="1" x14ac:dyDescent="0.15">
      <c r="B22" s="674"/>
      <c r="C22" s="682"/>
      <c r="D22" s="688"/>
      <c r="E22" s="65" t="s">
        <v>125</v>
      </c>
      <c r="F22" s="61">
        <f t="shared" si="2"/>
        <v>1588500</v>
      </c>
      <c r="G22" s="61">
        <f>'７－１　水稲部門（こいもみじ）収支'!F20*'１　対象経営の概要，２　前提条件'!$AB$26</f>
        <v>279000</v>
      </c>
      <c r="H22" s="61">
        <f>'７－２　水稲部門（コシヒカリ）収支 '!F20*'１　対象経営の概要，２　前提条件'!$AM$26</f>
        <v>558000</v>
      </c>
      <c r="I22" s="61">
        <f>'７－３　水稲部門（あきろまん）収支'!F20*'１　対象経営の概要，２　前提条件'!$AM$27</f>
        <v>279000</v>
      </c>
      <c r="J22" s="61">
        <f>IF($J$4=0,"0",'７－４　水稲部門（飼料用米）収支'!F20*'１　対象経営の概要，２　前提条件'!$AB$30)</f>
        <v>472500</v>
      </c>
      <c r="K22" s="58"/>
    </row>
    <row r="23" spans="2:11" ht="20.100000000000001" customHeight="1" x14ac:dyDescent="0.15">
      <c r="B23" s="674"/>
      <c r="C23" s="682"/>
      <c r="D23" s="688"/>
      <c r="E23" s="206" t="s">
        <v>127</v>
      </c>
      <c r="F23" s="61">
        <f t="shared" si="2"/>
        <v>32486.399999999998</v>
      </c>
      <c r="G23" s="61">
        <f>'７－１　水稲部門（こいもみじ）収支'!F21*'１　対象経営の概要，２　前提条件'!$AB$26</f>
        <v>5585.4</v>
      </c>
      <c r="H23" s="61">
        <f>'７－２　水稲部門（コシヒカリ）収支 '!F21*'１　対象経営の概要，２　前提条件'!$AM$26</f>
        <v>11170.8</v>
      </c>
      <c r="I23" s="61">
        <f>'７－３　水稲部門（あきろまん）収支'!F21*'１　対象経営の概要，２　前提条件'!$AM$27</f>
        <v>5585.4</v>
      </c>
      <c r="J23" s="61">
        <f>IF($J$4=0,"0",'７－４　水稲部門（飼料用米）収支'!F21*'１　対象経営の概要，２　前提条件'!$AB$30)</f>
        <v>10144.799999999999</v>
      </c>
      <c r="K23" s="58"/>
    </row>
    <row r="24" spans="2:11" ht="20.100000000000001" customHeight="1" x14ac:dyDescent="0.15">
      <c r="B24" s="674"/>
      <c r="C24" s="682"/>
      <c r="D24" s="686" t="s">
        <v>65</v>
      </c>
      <c r="E24" s="56" t="s">
        <v>66</v>
      </c>
      <c r="F24" s="61">
        <f t="shared" si="2"/>
        <v>712800</v>
      </c>
      <c r="G24" s="61">
        <f>'７－１　水稲部門（こいもみじ）収支'!F22*'１　対象経営の概要，２　前提条件'!$AB$26</f>
        <v>118800</v>
      </c>
      <c r="H24" s="61">
        <f>'７－２　水稲部門（コシヒカリ）収支 '!F22*'１　対象経営の概要，２　前提条件'!$AM$26</f>
        <v>237600</v>
      </c>
      <c r="I24" s="61">
        <f>'７－３　水稲部門（あきろまん）収支'!F22*'１　対象経営の概要，２　前提条件'!$AM$27</f>
        <v>118800</v>
      </c>
      <c r="J24" s="61">
        <f>IF($J$4=0,"0",'７－４　水稲部門（飼料用米）収支'!F22*'１　対象経営の概要，２　前提条件'!$AB$30)</f>
        <v>237600</v>
      </c>
      <c r="K24" s="58"/>
    </row>
    <row r="25" spans="2:11" ht="20.100000000000001" customHeight="1" x14ac:dyDescent="0.15">
      <c r="B25" s="674"/>
      <c r="C25" s="682"/>
      <c r="D25" s="685"/>
      <c r="E25" s="56" t="s">
        <v>95</v>
      </c>
      <c r="F25" s="57">
        <f t="shared" si="2"/>
        <v>1500000</v>
      </c>
      <c r="G25" s="61">
        <f>'７－１　水稲部門（こいもみじ）収支'!F23*'１　対象経営の概要，２　前提条件'!$AB$26</f>
        <v>250000</v>
      </c>
      <c r="H25" s="61">
        <f>'７－２　水稲部門（コシヒカリ）収支 '!F23*'１　対象経営の概要，２　前提条件'!$AM$26</f>
        <v>500000</v>
      </c>
      <c r="I25" s="61">
        <f>'７－３　水稲部門（あきろまん）収支'!F23*'１　対象経営の概要，２　前提条件'!$AM$27</f>
        <v>250000</v>
      </c>
      <c r="J25" s="61">
        <f>IF($J$4=0,"0",'７－４　水稲部門（飼料用米）収支'!F23*'１　対象経営の概要，２　前提条件'!$AB$30)</f>
        <v>500000</v>
      </c>
      <c r="K25" s="58"/>
    </row>
    <row r="26" spans="2:11" ht="20.100000000000001" customHeight="1" x14ac:dyDescent="0.15">
      <c r="B26" s="674"/>
      <c r="C26" s="682"/>
      <c r="D26" s="55" t="s">
        <v>67</v>
      </c>
      <c r="E26" s="56"/>
      <c r="F26" s="57">
        <f t="shared" si="2"/>
        <v>900000</v>
      </c>
      <c r="G26" s="61">
        <f>'７－１　水稲部門（こいもみじ）収支'!F24*'１　対象経営の概要，２　前提条件'!$AB$26</f>
        <v>150000</v>
      </c>
      <c r="H26" s="61">
        <f>'７－２　水稲部門（コシヒカリ）収支 '!F24*'１　対象経営の概要，２　前提条件'!$AM$26</f>
        <v>300000</v>
      </c>
      <c r="I26" s="61">
        <f>'７－３　水稲部門（あきろまん）収支'!F24*'１　対象経営の概要，２　前提条件'!$AM$27</f>
        <v>150000</v>
      </c>
      <c r="J26" s="61">
        <f>IF($J$4=0,"0",'７－４　水稲部門（飼料用米）収支'!F24*'１　対象経営の概要，２　前提条件'!$AB$30)</f>
        <v>300000</v>
      </c>
      <c r="K26" s="58"/>
    </row>
    <row r="27" spans="2:11" ht="20.100000000000001" customHeight="1" x14ac:dyDescent="0.15">
      <c r="B27" s="674"/>
      <c r="C27" s="682"/>
      <c r="D27" s="55" t="s">
        <v>173</v>
      </c>
      <c r="E27" s="56"/>
      <c r="F27" s="57">
        <f t="shared" si="2"/>
        <v>254525.55111255409</v>
      </c>
      <c r="G27" s="61">
        <f>'７－１　水稲部門（こいもみじ）収支'!F25*'１　対象経営の概要，２　前提条件'!$AB$26</f>
        <v>41783.244840307831</v>
      </c>
      <c r="H27" s="61">
        <f>'７－２　水稲部門（コシヒカリ）収支 '!F25*'１　対象経営の概要，２　前提条件'!$AM$26</f>
        <v>81319.014933140919</v>
      </c>
      <c r="I27" s="61">
        <f>'７－３　水稲部門（あきろまん）収支'!F25*'１　対象経営の概要，２　前提条件'!$AM$27</f>
        <v>43216.815547378545</v>
      </c>
      <c r="J27" s="61">
        <f>IF($J$4=0,"0",'７－４　水稲部門（飼料用米）収支'!F25*'１　対象経営の概要，２　前提条件'!$AB$30)</f>
        <v>88206.475791726785</v>
      </c>
      <c r="K27" s="58"/>
    </row>
    <row r="28" spans="2:11" ht="20.100000000000001" customHeight="1" x14ac:dyDescent="0.15">
      <c r="B28" s="674"/>
      <c r="C28" s="683"/>
      <c r="D28" s="689" t="s">
        <v>209</v>
      </c>
      <c r="E28" s="690"/>
      <c r="F28" s="63">
        <f>SUM(F8:F27)</f>
        <v>25452555.111255411</v>
      </c>
      <c r="G28" s="63">
        <f>SUM(G8:G27)</f>
        <v>4178324.4840307841</v>
      </c>
      <c r="H28" s="63">
        <f>SUM(H8:H27)</f>
        <v>8131901.4933140939</v>
      </c>
      <c r="I28" s="63">
        <f t="shared" ref="I28" si="3">SUM(I8:I27)</f>
        <v>4321681.5547378547</v>
      </c>
      <c r="J28" s="63">
        <f t="shared" ref="J28" si="4">SUM(J8:J27)</f>
        <v>8820647.5791726783</v>
      </c>
      <c r="K28" s="58"/>
    </row>
    <row r="29" spans="2:11" ht="20.100000000000001" customHeight="1" x14ac:dyDescent="0.15">
      <c r="B29" s="674"/>
      <c r="C29" s="679" t="s">
        <v>206</v>
      </c>
      <c r="D29" s="691"/>
      <c r="E29" s="680"/>
      <c r="F29" s="59">
        <f>F7-F28</f>
        <v>-7601555.1112554111</v>
      </c>
      <c r="G29" s="59">
        <f>G7-G28</f>
        <v>111675.51596921589</v>
      </c>
      <c r="H29" s="59">
        <f>H7-H28</f>
        <v>1048098.5066859061</v>
      </c>
      <c r="I29" s="59">
        <f t="shared" ref="I29" si="5">I7-I28</f>
        <v>-31681.554737854749</v>
      </c>
      <c r="J29" s="59">
        <f t="shared" ref="J29" si="6">J7-J28</f>
        <v>-8729647.5791726783</v>
      </c>
      <c r="K29" s="58"/>
    </row>
    <row r="30" spans="2:11" ht="20.100000000000001" customHeight="1" x14ac:dyDescent="0.15">
      <c r="B30" s="674"/>
      <c r="C30" s="692" t="s">
        <v>203</v>
      </c>
      <c r="D30" s="695" t="s">
        <v>68</v>
      </c>
      <c r="E30" s="76" t="s">
        <v>3</v>
      </c>
      <c r="F30" s="64">
        <f>SUM(G30:J30)</f>
        <v>313333.33333333331</v>
      </c>
      <c r="G30" s="61">
        <f>'７－１　水稲部門（こいもみじ）収支'!F27*'１　対象経営の概要，２　前提条件'!$AB$26</f>
        <v>80000</v>
      </c>
      <c r="H30" s="61">
        <f>'７－２　水稲部門（コシヒカリ）収支 '!F27*'１　対象経営の概要，２　前提条件'!$AM$26</f>
        <v>136000</v>
      </c>
      <c r="I30" s="61">
        <f>'７－３　水稲部門（あきろまん）収支'!F27*'１　対象経営の概要，２　前提条件'!$AM$27</f>
        <v>80000</v>
      </c>
      <c r="J30" s="61">
        <f>IF($J$4=0,"0",'７－４　水稲部門（飼料用米）収支'!F27*'１　対象経営の概要，２　前提条件'!$AB$30)</f>
        <v>17333.333333333336</v>
      </c>
      <c r="K30" s="58"/>
    </row>
    <row r="31" spans="2:11" ht="20.100000000000001" customHeight="1" x14ac:dyDescent="0.15">
      <c r="B31" s="674"/>
      <c r="C31" s="693"/>
      <c r="D31" s="696"/>
      <c r="E31" s="76" t="s">
        <v>4</v>
      </c>
      <c r="F31" s="64">
        <f>SUM(G31:J31)</f>
        <v>0</v>
      </c>
      <c r="G31" s="61">
        <f>'７－１　水稲部門（こいもみじ）収支'!F28*'１　対象経営の概要，２　前提条件'!$AB$26</f>
        <v>0</v>
      </c>
      <c r="H31" s="61">
        <f>'７－２　水稲部門（コシヒカリ）収支 '!F28*'１　対象経営の概要，２　前提条件'!$AM$26</f>
        <v>0</v>
      </c>
      <c r="I31" s="61">
        <f>'７－３　水稲部門（あきろまん）収支'!F28*'１　対象経営の概要，２　前提条件'!$AM$27</f>
        <v>0</v>
      </c>
      <c r="J31" s="61">
        <f>IF($J$4=0,"0",'７－４　水稲部門（飼料用米）収支'!F28*'１　対象経営の概要，２　前提条件'!$AB$30)</f>
        <v>0</v>
      </c>
      <c r="K31" s="58"/>
    </row>
    <row r="32" spans="2:11" ht="20.100000000000001" customHeight="1" x14ac:dyDescent="0.15">
      <c r="B32" s="674"/>
      <c r="C32" s="693"/>
      <c r="D32" s="697"/>
      <c r="E32" s="76" t="s">
        <v>8</v>
      </c>
      <c r="F32" s="64">
        <f>SUM(G32:J32)</f>
        <v>267916.66666666669</v>
      </c>
      <c r="G32" s="61">
        <f>'７－１　水稲部門（こいもみじ）収支'!F29*'１　対象経営の概要，２　前提条件'!$AB$26</f>
        <v>25000</v>
      </c>
      <c r="H32" s="61">
        <f>'７－２　水稲部門（コシヒカリ）収支 '!F29*'１　対象経営の概要，２　前提条件'!$AM$26</f>
        <v>212500</v>
      </c>
      <c r="I32" s="61">
        <f>'７－３　水稲部門（あきろまん）収支'!F29*'１　対象経営の概要，２　前提条件'!$AM$27</f>
        <v>25000</v>
      </c>
      <c r="J32" s="61">
        <f>IF($J$4=0,"0",'７－４　水稲部門（飼料用米）収支'!F29*'１　対象経営の概要，２　前提条件'!$AB$30)</f>
        <v>5416.6666666666679</v>
      </c>
      <c r="K32" s="58"/>
    </row>
    <row r="33" spans="2:11" ht="20.100000000000001" customHeight="1" x14ac:dyDescent="0.15">
      <c r="B33" s="674"/>
      <c r="C33" s="693"/>
      <c r="D33" s="76" t="s">
        <v>69</v>
      </c>
      <c r="E33" s="77"/>
      <c r="F33" s="510">
        <v>0</v>
      </c>
      <c r="G33" s="510">
        <v>0</v>
      </c>
      <c r="H33" s="510">
        <v>0</v>
      </c>
      <c r="I33" s="510">
        <v>0</v>
      </c>
      <c r="J33" s="510">
        <v>0</v>
      </c>
      <c r="K33" s="58"/>
    </row>
    <row r="34" spans="2:11" ht="20.100000000000001" customHeight="1" x14ac:dyDescent="0.15">
      <c r="B34" s="674"/>
      <c r="C34" s="693"/>
      <c r="D34" s="700" t="s">
        <v>270</v>
      </c>
      <c r="E34" s="65" t="s">
        <v>128</v>
      </c>
      <c r="F34" s="510">
        <v>0</v>
      </c>
      <c r="G34" s="510">
        <v>0</v>
      </c>
      <c r="H34" s="510">
        <v>0</v>
      </c>
      <c r="I34" s="510">
        <v>0</v>
      </c>
      <c r="J34" s="510">
        <v>0</v>
      </c>
      <c r="K34" s="58"/>
    </row>
    <row r="35" spans="2:11" ht="20.100000000000001" customHeight="1" x14ac:dyDescent="0.15">
      <c r="B35" s="674"/>
      <c r="C35" s="693"/>
      <c r="D35" s="700"/>
      <c r="E35" s="65" t="s">
        <v>127</v>
      </c>
      <c r="F35" s="510">
        <v>0</v>
      </c>
      <c r="G35" s="510">
        <v>0</v>
      </c>
      <c r="H35" s="510">
        <v>0</v>
      </c>
      <c r="I35" s="510">
        <v>0</v>
      </c>
      <c r="J35" s="510">
        <v>0</v>
      </c>
      <c r="K35" s="58"/>
    </row>
    <row r="36" spans="2:11" ht="20.100000000000001" customHeight="1" x14ac:dyDescent="0.15">
      <c r="B36" s="674"/>
      <c r="C36" s="693"/>
      <c r="D36" s="76" t="s">
        <v>70</v>
      </c>
      <c r="E36" s="77"/>
      <c r="F36" s="510">
        <v>0</v>
      </c>
      <c r="G36" s="510">
        <v>0</v>
      </c>
      <c r="H36" s="510">
        <v>0</v>
      </c>
      <c r="I36" s="510">
        <v>0</v>
      </c>
      <c r="J36" s="510">
        <v>0</v>
      </c>
      <c r="K36" s="58"/>
    </row>
    <row r="37" spans="2:11" ht="20.100000000000001" customHeight="1" x14ac:dyDescent="0.15">
      <c r="B37" s="674"/>
      <c r="C37" s="693"/>
      <c r="D37" s="76" t="s">
        <v>96</v>
      </c>
      <c r="E37" s="77"/>
      <c r="F37" s="510">
        <v>0</v>
      </c>
      <c r="G37" s="510">
        <v>0</v>
      </c>
      <c r="H37" s="510">
        <v>0</v>
      </c>
      <c r="I37" s="510">
        <v>0</v>
      </c>
      <c r="J37" s="510">
        <v>0</v>
      </c>
      <c r="K37" s="58"/>
    </row>
    <row r="38" spans="2:11" ht="20.100000000000001" customHeight="1" x14ac:dyDescent="0.15">
      <c r="B38" s="674"/>
      <c r="C38" s="693"/>
      <c r="D38" s="76" t="s">
        <v>131</v>
      </c>
      <c r="E38" s="77"/>
      <c r="F38" s="57">
        <f>SUM(G38:J38)</f>
        <v>252750</v>
      </c>
      <c r="G38" s="61">
        <f>'７－１　水稲部門（こいもみじ）収支'!F35*'１　対象経営の概要，２　前提条件'!$AB$26</f>
        <v>42125</v>
      </c>
      <c r="H38" s="61">
        <f>'７－２　水稲部門（コシヒカリ）収支 '!F35*'１　対象経営の概要，２　前提条件'!$AM$26</f>
        <v>84250</v>
      </c>
      <c r="I38" s="61">
        <f>'７－３　水稲部門（あきろまん）収支'!F35*'１　対象経営の概要，２　前提条件'!$AM$27</f>
        <v>42125</v>
      </c>
      <c r="J38" s="61">
        <f>IF($J$4=0,"0",'７－４　水稲部門（飼料用米）収支'!F35*'１　対象経営の概要，２　前提条件'!$AB$30)</f>
        <v>84250</v>
      </c>
      <c r="K38" s="58"/>
    </row>
    <row r="39" spans="2:11" ht="20.100000000000001" customHeight="1" x14ac:dyDescent="0.15">
      <c r="B39" s="674"/>
      <c r="C39" s="693"/>
      <c r="D39" s="76" t="s">
        <v>97</v>
      </c>
      <c r="E39" s="77"/>
      <c r="F39" s="57">
        <f>SUM(G39:J39)</f>
        <v>0</v>
      </c>
      <c r="G39" s="61">
        <f>'７－１　水稲部門（こいもみじ）収支'!F36*'１　対象経営の概要，２　前提条件'!$AB$26</f>
        <v>0</v>
      </c>
      <c r="H39" s="61">
        <f>'７－２　水稲部門（コシヒカリ）収支 '!F36*'１　対象経営の概要，２　前提条件'!$AM$26</f>
        <v>0</v>
      </c>
      <c r="I39" s="61">
        <f>'７－３　水稲部門（あきろまん）収支'!F36*'１　対象経営の概要，２　前提条件'!$AM$27</f>
        <v>0</v>
      </c>
      <c r="J39" s="61">
        <f>IF($J$4=0,"0",'７－４　水稲部門（飼料用米）収支'!F36*'１　対象経営の概要，２　前提条件'!$AB$30)</f>
        <v>0</v>
      </c>
      <c r="K39" s="58"/>
    </row>
    <row r="40" spans="2:11" ht="20.100000000000001" customHeight="1" x14ac:dyDescent="0.15">
      <c r="B40" s="674"/>
      <c r="C40" s="693"/>
      <c r="D40" s="76" t="s">
        <v>71</v>
      </c>
      <c r="E40" s="77"/>
      <c r="F40" s="57">
        <f>SUM(G40:J40)</f>
        <v>115053.75</v>
      </c>
      <c r="G40" s="61">
        <f>'７－１　水稲部門（こいもみじ）収支'!F37*'１　対象経営の概要，２　前提条件'!$AB$26</f>
        <v>19175.625</v>
      </c>
      <c r="H40" s="61">
        <f>'７－２　水稲部門（コシヒカリ）収支 '!F37*'１　対象経営の概要，２　前提条件'!$AM$26</f>
        <v>38351.25</v>
      </c>
      <c r="I40" s="61">
        <f>'７－３　水稲部門（あきろまん）収支'!F37*'１　対象経営の概要，２　前提条件'!$AM$27</f>
        <v>19175.625</v>
      </c>
      <c r="J40" s="61">
        <f>IF($J$4=0,"0",'７－４　水稲部門（飼料用米）収支'!F37*'１　対象経営の概要，２　前提条件'!$AB$30)</f>
        <v>38351.25</v>
      </c>
      <c r="K40" s="58"/>
    </row>
    <row r="41" spans="2:11" ht="20.100000000000001" customHeight="1" x14ac:dyDescent="0.15">
      <c r="B41" s="674"/>
      <c r="C41" s="693"/>
      <c r="D41" s="76" t="s">
        <v>0</v>
      </c>
      <c r="E41" s="77"/>
      <c r="F41" s="57"/>
      <c r="G41" s="61">
        <f>'７－１　水稲部門（こいもみじ）収支'!F38*'１　対象経営の概要，２　前提条件'!$AB$26</f>
        <v>0</v>
      </c>
      <c r="H41" s="61">
        <f>'７－２　水稲部門（コシヒカリ）収支 '!F38*'１　対象経営の概要，２　前提条件'!$AM$26</f>
        <v>0</v>
      </c>
      <c r="I41" s="61">
        <f>'７－３　水稲部門（あきろまん）収支'!F38*'１　対象経営の概要，２　前提条件'!$AM$27</f>
        <v>0</v>
      </c>
      <c r="J41" s="61">
        <f>IF($J$4=0,"0",'７－４　水稲部門（飼料用米）収支'!F38*'１　対象経営の概要，２　前提条件'!$AB$30)</f>
        <v>0</v>
      </c>
      <c r="K41" s="58"/>
    </row>
    <row r="42" spans="2:11" ht="20.100000000000001" customHeight="1" thickBot="1" x14ac:dyDescent="0.2">
      <c r="B42" s="675"/>
      <c r="C42" s="694"/>
      <c r="D42" s="698" t="s">
        <v>207</v>
      </c>
      <c r="E42" s="699"/>
      <c r="F42" s="67">
        <f t="shared" ref="F42:F50" si="7">SUM(G42:J42)</f>
        <v>949053.75</v>
      </c>
      <c r="G42" s="67">
        <f t="shared" ref="G42:I42" si="8">SUM(G30:G41)</f>
        <v>166300.625</v>
      </c>
      <c r="H42" s="67">
        <f t="shared" si="8"/>
        <v>471101.25</v>
      </c>
      <c r="I42" s="67">
        <f t="shared" si="8"/>
        <v>166300.625</v>
      </c>
      <c r="J42" s="67">
        <f t="shared" ref="J42" si="9">SUM(J30:J41)</f>
        <v>145351.25</v>
      </c>
      <c r="K42" s="68"/>
    </row>
    <row r="43" spans="2:11" ht="20.100000000000001" customHeight="1" thickBot="1" x14ac:dyDescent="0.2">
      <c r="B43" s="703" t="s">
        <v>210</v>
      </c>
      <c r="C43" s="704"/>
      <c r="D43" s="704"/>
      <c r="E43" s="704"/>
      <c r="F43" s="69">
        <f t="shared" si="7"/>
        <v>-8550608.8612554111</v>
      </c>
      <c r="G43" s="331">
        <f t="shared" ref="G43:I43" si="10">G29-G42</f>
        <v>-54625.109030784108</v>
      </c>
      <c r="H43" s="331">
        <f t="shared" si="10"/>
        <v>576997.25668590609</v>
      </c>
      <c r="I43" s="331">
        <f t="shared" si="10"/>
        <v>-197982.17973785475</v>
      </c>
      <c r="J43" s="331">
        <f t="shared" ref="J43" si="11">J29-J42</f>
        <v>-8874998.8291726783</v>
      </c>
      <c r="K43" s="70"/>
    </row>
    <row r="44" spans="2:11" ht="20.100000000000001" customHeight="1" x14ac:dyDescent="0.15">
      <c r="B44" s="673" t="s">
        <v>98</v>
      </c>
      <c r="C44" s="706" t="s">
        <v>211</v>
      </c>
      <c r="D44" s="71" t="s">
        <v>130</v>
      </c>
      <c r="E44" s="72"/>
      <c r="F44" s="73">
        <f t="shared" si="7"/>
        <v>14192500</v>
      </c>
      <c r="G44" s="330">
        <f>'７－１　水稲部門（こいもみじ）収支'!F40*'１　対象経営の概要，２　前提条件'!$AB$26-7500</f>
        <v>367500</v>
      </c>
      <c r="H44" s="53">
        <f>'７－２　水稲部門（コシヒカリ）収支 '!F40*'１　対象経営の概要，２　前提条件'!$AM$26</f>
        <v>750000</v>
      </c>
      <c r="I44" s="407">
        <f>'７－３　水稲部門（あきろまん）収支'!F40*'１　対象経営の概要，２　前提条件'!$AM$27</f>
        <v>375000</v>
      </c>
      <c r="J44" s="407">
        <f>IF($J$4=0,"0",'７－４　水稲部門（飼料用米）収支'!F40*'１　対象経営の概要，２　前提条件'!$AB$30)</f>
        <v>12700000</v>
      </c>
      <c r="K44" s="54"/>
    </row>
    <row r="45" spans="2:11" ht="20.100000000000001" customHeight="1" x14ac:dyDescent="0.15">
      <c r="B45" s="674"/>
      <c r="C45" s="707"/>
      <c r="D45" s="55" t="s">
        <v>129</v>
      </c>
      <c r="E45" s="56"/>
      <c r="F45" s="74">
        <f t="shared" si="7"/>
        <v>0</v>
      </c>
      <c r="G45" s="330">
        <f>'７－１　水稲部門（こいもみじ）収支'!F41*'１　対象経営の概要，２　前提条件'!$AB$26</f>
        <v>0</v>
      </c>
      <c r="H45" s="368">
        <f>'７－２　水稲部門（コシヒカリ）収支 '!F41*'１　対象経営の概要，２　前提条件'!$AM$26</f>
        <v>0</v>
      </c>
      <c r="I45" s="368">
        <f>'７－３　水稲部門（あきろまん）収支'!F41*'１　対象経営の概要，２　前提条件'!$AM$27</f>
        <v>0</v>
      </c>
      <c r="J45" s="368">
        <f>IF($J$4=0,"0",'７－４　水稲部門（飼料用米）収支'!F41*'１　対象経営の概要，２　前提条件'!$AB$30)</f>
        <v>0</v>
      </c>
      <c r="K45" s="75"/>
    </row>
    <row r="46" spans="2:11" ht="20.100000000000001" customHeight="1" x14ac:dyDescent="0.15">
      <c r="B46" s="674"/>
      <c r="C46" s="708"/>
      <c r="D46" s="76" t="s">
        <v>72</v>
      </c>
      <c r="E46" s="56"/>
      <c r="F46" s="74">
        <f t="shared" si="7"/>
        <v>0</v>
      </c>
      <c r="G46" s="330">
        <f>'７－１　水稲部門（こいもみじ）収支'!F42*'１　対象経営の概要，２　前提条件'!$AB$26</f>
        <v>0</v>
      </c>
      <c r="H46" s="368">
        <f>'７－２　水稲部門（コシヒカリ）収支 '!F42*'１　対象経営の概要，２　前提条件'!$AM$26</f>
        <v>0</v>
      </c>
      <c r="I46" s="368">
        <f>'７－３　水稲部門（あきろまん）収支'!F42*'１　対象経営の概要，２　前提条件'!$AM$27</f>
        <v>0</v>
      </c>
      <c r="J46" s="368">
        <f>IF($J$4=0,"0",'７－４　水稲部門（飼料用米）収支'!F42*'１　対象経営の概要，２　前提条件'!$AB$30)</f>
        <v>0</v>
      </c>
      <c r="K46" s="58"/>
    </row>
    <row r="47" spans="2:11" ht="20.100000000000001" customHeight="1" x14ac:dyDescent="0.15">
      <c r="B47" s="674"/>
      <c r="C47" s="708" t="s">
        <v>212</v>
      </c>
      <c r="D47" s="76" t="s">
        <v>271</v>
      </c>
      <c r="E47" s="77"/>
      <c r="F47" s="74">
        <f t="shared" si="7"/>
        <v>0</v>
      </c>
      <c r="G47" s="330">
        <f>'７－１　水稲部門（こいもみじ）収支'!F43*'１　対象経営の概要，２　前提条件'!$AB$26</f>
        <v>0</v>
      </c>
      <c r="H47" s="368">
        <f>'７－２　水稲部門（コシヒカリ）収支 '!F43*'１　対象経営の概要，２　前提条件'!$AM$26</f>
        <v>0</v>
      </c>
      <c r="I47" s="368">
        <f>'７－３　水稲部門（あきろまん）収支'!F43*'１　対象経営の概要，２　前提条件'!$AM$27</f>
        <v>0</v>
      </c>
      <c r="J47" s="368">
        <f>IF($J$4=0,"0",'７－４　水稲部門（飼料用米）収支'!F43*'１　対象経営の概要，２　前提条件'!$AB$30)</f>
        <v>0</v>
      </c>
      <c r="K47" s="75"/>
    </row>
    <row r="48" spans="2:11" ht="20.100000000000001" customHeight="1" x14ac:dyDescent="0.15">
      <c r="B48" s="674"/>
      <c r="C48" s="692"/>
      <c r="D48" s="78" t="s">
        <v>1</v>
      </c>
      <c r="E48" s="79"/>
      <c r="F48" s="80">
        <f t="shared" si="7"/>
        <v>0</v>
      </c>
      <c r="G48" s="330">
        <f>'７－１　水稲部門（こいもみじ）収支'!F44*'１　対象経営の概要，２　前提条件'!$AB$26</f>
        <v>0</v>
      </c>
      <c r="H48" s="368">
        <f>'７－２　水稲部門（コシヒカリ）収支 '!F44*'１　対象経営の概要，２　前提条件'!$AM$26</f>
        <v>0</v>
      </c>
      <c r="I48" s="368">
        <f>'７－３　水稲部門（あきろまん）収支'!F44*'１　対象経営の概要，２　前提条件'!$AM$27</f>
        <v>0</v>
      </c>
      <c r="J48" s="368">
        <f>IF($J$4=0,"0",'７－４　水稲部門（飼料用米）収支'!F44*'１　対象経営の概要，２　前提条件'!$AB$30)</f>
        <v>0</v>
      </c>
      <c r="K48" s="81"/>
    </row>
    <row r="49" spans="2:11" ht="20.100000000000001" customHeight="1" thickBot="1" x14ac:dyDescent="0.2">
      <c r="B49" s="705"/>
      <c r="C49" s="698" t="s">
        <v>213</v>
      </c>
      <c r="D49" s="709"/>
      <c r="E49" s="699"/>
      <c r="F49" s="82">
        <f t="shared" si="7"/>
        <v>14192500</v>
      </c>
      <c r="G49" s="82">
        <f t="shared" ref="G49:I49" si="12">SUM(G44:G46)-SUM(G47:G48)</f>
        <v>367500</v>
      </c>
      <c r="H49" s="82">
        <f t="shared" si="12"/>
        <v>750000</v>
      </c>
      <c r="I49" s="82">
        <f t="shared" si="12"/>
        <v>375000</v>
      </c>
      <c r="J49" s="82">
        <f t="shared" ref="J49" si="13">SUM(J44:J46)-SUM(J47:J48)</f>
        <v>12700000</v>
      </c>
      <c r="K49" s="68"/>
    </row>
    <row r="50" spans="2:11" ht="20.100000000000001" customHeight="1" x14ac:dyDescent="0.15">
      <c r="B50" s="701" t="s">
        <v>214</v>
      </c>
      <c r="C50" s="702"/>
      <c r="D50" s="702"/>
      <c r="E50" s="702"/>
      <c r="F50" s="83">
        <f t="shared" si="7"/>
        <v>5641891.1387445889</v>
      </c>
      <c r="G50" s="83">
        <f t="shared" ref="G50:I50" si="14">G43+G49</f>
        <v>312874.89096921589</v>
      </c>
      <c r="H50" s="369">
        <f t="shared" si="14"/>
        <v>1326997.2566859061</v>
      </c>
      <c r="I50" s="369">
        <f t="shared" si="14"/>
        <v>177017.82026214525</v>
      </c>
      <c r="J50" s="369">
        <f t="shared" ref="J50" si="15">J43+J49</f>
        <v>3825001.1708273217</v>
      </c>
      <c r="K50" s="75"/>
    </row>
  </sheetData>
  <mergeCells count="22">
    <mergeCell ref="B50:E50"/>
    <mergeCell ref="B43:E43"/>
    <mergeCell ref="B44:B49"/>
    <mergeCell ref="C44:C46"/>
    <mergeCell ref="C47:C48"/>
    <mergeCell ref="C49:E49"/>
    <mergeCell ref="B3:E4"/>
    <mergeCell ref="K3:K4"/>
    <mergeCell ref="B5:B42"/>
    <mergeCell ref="C5:C7"/>
    <mergeCell ref="D7:E7"/>
    <mergeCell ref="C8:C28"/>
    <mergeCell ref="D15:D16"/>
    <mergeCell ref="D17:D19"/>
    <mergeCell ref="D20:D23"/>
    <mergeCell ref="D24:D25"/>
    <mergeCell ref="D28:E28"/>
    <mergeCell ref="C29:E29"/>
    <mergeCell ref="C30:C42"/>
    <mergeCell ref="D30:D32"/>
    <mergeCell ref="D42:E42"/>
    <mergeCell ref="D34:D35"/>
  </mergeCells>
  <phoneticPr fontId="4"/>
  <pageMargins left="1.1811023622047245" right="0.78740157480314965" top="0.78740157480314965" bottom="0" header="0.39370078740157483" footer="0.39370078740157483"/>
  <pageSetup paperSize="9" scale="5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5" customWidth="1"/>
    <col min="2" max="2" width="22.625" style="85" customWidth="1"/>
    <col min="3" max="38" width="6.125" style="85" customWidth="1"/>
    <col min="39" max="39" width="7" style="85" customWidth="1"/>
    <col min="40" max="40" width="1.5" style="85" customWidth="1"/>
    <col min="41" max="16384" width="9" style="85"/>
  </cols>
  <sheetData>
    <row r="1" spans="2:62" ht="9.9499999999999993" customHeight="1" x14ac:dyDescent="0.15"/>
    <row r="2" spans="2:62" ht="24.95" customHeight="1" thickBot="1" x14ac:dyDescent="0.2">
      <c r="B2" s="13" t="s">
        <v>136</v>
      </c>
      <c r="C2" s="13"/>
      <c r="D2" s="13"/>
      <c r="E2" s="13"/>
      <c r="F2" s="13"/>
      <c r="G2" s="13"/>
      <c r="H2" s="13"/>
      <c r="I2" s="13"/>
      <c r="J2" s="13"/>
      <c r="K2" s="335" t="s">
        <v>259</v>
      </c>
      <c r="L2" s="710" t="s">
        <v>413</v>
      </c>
      <c r="M2" s="710"/>
      <c r="N2" s="335" t="s">
        <v>260</v>
      </c>
      <c r="O2" s="109" t="s">
        <v>262</v>
      </c>
      <c r="P2" s="13"/>
      <c r="Q2" s="13"/>
      <c r="R2" s="13"/>
      <c r="S2" s="13"/>
      <c r="T2" s="13"/>
      <c r="U2" s="13"/>
      <c r="V2" s="87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19" t="s">
        <v>132</v>
      </c>
      <c r="C3" s="711">
        <v>1</v>
      </c>
      <c r="D3" s="712"/>
      <c r="E3" s="713"/>
      <c r="F3" s="711">
        <v>2</v>
      </c>
      <c r="G3" s="712"/>
      <c r="H3" s="713"/>
      <c r="I3" s="711">
        <v>3</v>
      </c>
      <c r="J3" s="712"/>
      <c r="K3" s="713"/>
      <c r="L3" s="711">
        <v>4</v>
      </c>
      <c r="M3" s="712"/>
      <c r="N3" s="713"/>
      <c r="O3" s="711">
        <v>5</v>
      </c>
      <c r="P3" s="712"/>
      <c r="Q3" s="713"/>
      <c r="R3" s="711">
        <v>6</v>
      </c>
      <c r="S3" s="712"/>
      <c r="T3" s="713"/>
      <c r="U3" s="711">
        <v>7</v>
      </c>
      <c r="V3" s="712"/>
      <c r="W3" s="713"/>
      <c r="X3" s="711">
        <v>8</v>
      </c>
      <c r="Y3" s="712"/>
      <c r="Z3" s="713"/>
      <c r="AA3" s="711">
        <v>9</v>
      </c>
      <c r="AB3" s="712"/>
      <c r="AC3" s="713"/>
      <c r="AD3" s="711">
        <v>10</v>
      </c>
      <c r="AE3" s="712"/>
      <c r="AF3" s="713"/>
      <c r="AG3" s="711">
        <v>11</v>
      </c>
      <c r="AH3" s="712"/>
      <c r="AI3" s="713"/>
      <c r="AJ3" s="711">
        <v>12</v>
      </c>
      <c r="AK3" s="712"/>
      <c r="AL3" s="713"/>
      <c r="AM3" s="714" t="s">
        <v>34</v>
      </c>
      <c r="AO3" s="85" t="s">
        <v>340</v>
      </c>
      <c r="AP3" s="85" t="s">
        <v>341</v>
      </c>
      <c r="AQ3" s="85" t="s">
        <v>342</v>
      </c>
    </row>
    <row r="4" spans="2:62" ht="20.100000000000001" customHeight="1" x14ac:dyDescent="0.15">
      <c r="B4" s="718"/>
      <c r="C4" s="91" t="s">
        <v>35</v>
      </c>
      <c r="D4" s="92" t="s">
        <v>36</v>
      </c>
      <c r="E4" s="93" t="s">
        <v>37</v>
      </c>
      <c r="F4" s="91" t="s">
        <v>35</v>
      </c>
      <c r="G4" s="93" t="s">
        <v>36</v>
      </c>
      <c r="H4" s="93" t="s">
        <v>37</v>
      </c>
      <c r="I4" s="91" t="s">
        <v>35</v>
      </c>
      <c r="J4" s="93" t="s">
        <v>36</v>
      </c>
      <c r="K4" s="93" t="s">
        <v>37</v>
      </c>
      <c r="L4" s="91" t="s">
        <v>35</v>
      </c>
      <c r="M4" s="93" t="s">
        <v>36</v>
      </c>
      <c r="N4" s="93" t="s">
        <v>37</v>
      </c>
      <c r="O4" s="91" t="s">
        <v>35</v>
      </c>
      <c r="P4" s="93" t="s">
        <v>36</v>
      </c>
      <c r="Q4" s="93" t="s">
        <v>37</v>
      </c>
      <c r="R4" s="91" t="s">
        <v>35</v>
      </c>
      <c r="S4" s="94" t="s">
        <v>36</v>
      </c>
      <c r="T4" s="94" t="s">
        <v>37</v>
      </c>
      <c r="U4" s="91" t="s">
        <v>35</v>
      </c>
      <c r="V4" s="93" t="s">
        <v>36</v>
      </c>
      <c r="W4" s="93" t="s">
        <v>37</v>
      </c>
      <c r="X4" s="91" t="s">
        <v>35</v>
      </c>
      <c r="Y4" s="93" t="s">
        <v>36</v>
      </c>
      <c r="Z4" s="93" t="s">
        <v>37</v>
      </c>
      <c r="AA4" s="91" t="s">
        <v>35</v>
      </c>
      <c r="AB4" s="93" t="s">
        <v>36</v>
      </c>
      <c r="AC4" s="93" t="s">
        <v>37</v>
      </c>
      <c r="AD4" s="91" t="s">
        <v>35</v>
      </c>
      <c r="AE4" s="93" t="s">
        <v>36</v>
      </c>
      <c r="AF4" s="93" t="s">
        <v>37</v>
      </c>
      <c r="AG4" s="91" t="s">
        <v>35</v>
      </c>
      <c r="AH4" s="93" t="s">
        <v>36</v>
      </c>
      <c r="AI4" s="93" t="s">
        <v>37</v>
      </c>
      <c r="AJ4" s="91" t="s">
        <v>35</v>
      </c>
      <c r="AK4" s="93" t="s">
        <v>36</v>
      </c>
      <c r="AL4" s="93" t="s">
        <v>37</v>
      </c>
      <c r="AM4" s="715"/>
    </row>
    <row r="5" spans="2:62" ht="20.100000000000001" customHeight="1" x14ac:dyDescent="0.15">
      <c r="B5" s="716" t="s">
        <v>133</v>
      </c>
      <c r="C5" s="95"/>
      <c r="D5" s="13"/>
      <c r="E5" s="13"/>
      <c r="F5" s="13"/>
      <c r="G5" s="13"/>
      <c r="H5" s="13"/>
      <c r="I5" s="13"/>
      <c r="J5" s="13"/>
      <c r="K5" s="13"/>
      <c r="L5" s="13"/>
      <c r="M5" s="13"/>
      <c r="N5" s="87"/>
      <c r="O5" s="87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96"/>
    </row>
    <row r="6" spans="2:62" ht="20.100000000000001" customHeight="1" x14ac:dyDescent="0.15">
      <c r="B6" s="717"/>
      <c r="C6" s="95"/>
      <c r="D6" s="13"/>
      <c r="E6" s="13"/>
      <c r="F6" s="13"/>
      <c r="G6" s="13"/>
      <c r="H6" s="13"/>
      <c r="I6" s="13"/>
      <c r="J6" s="13"/>
      <c r="K6" s="13"/>
      <c r="M6" s="13"/>
      <c r="N6" s="490" t="s">
        <v>315</v>
      </c>
      <c r="O6" s="2"/>
      <c r="P6" s="13"/>
      <c r="Q6" s="13"/>
      <c r="R6" s="13"/>
      <c r="S6" s="13"/>
      <c r="T6" s="13"/>
      <c r="U6" s="13"/>
      <c r="V6" s="13"/>
      <c r="W6" s="13"/>
      <c r="X6" s="13"/>
      <c r="Y6" s="13"/>
      <c r="Z6" s="720" t="s">
        <v>322</v>
      </c>
      <c r="AA6" s="721"/>
      <c r="AB6" s="2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96"/>
    </row>
    <row r="7" spans="2:62" ht="20.100000000000001" customHeight="1" x14ac:dyDescent="0.15">
      <c r="B7" s="718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9"/>
    </row>
    <row r="8" spans="2:62" ht="20.100000000000001" customHeight="1" x14ac:dyDescent="0.15">
      <c r="B8" s="100" t="s">
        <v>312</v>
      </c>
      <c r="C8" s="454"/>
      <c r="D8" s="101"/>
      <c r="E8" s="101"/>
      <c r="F8" s="454"/>
      <c r="G8" s="101"/>
      <c r="H8" s="101"/>
      <c r="I8" s="454"/>
      <c r="J8" s="101"/>
      <c r="K8" s="101">
        <v>3.2</v>
      </c>
      <c r="L8" s="454"/>
      <c r="M8" s="101"/>
      <c r="N8" s="101"/>
      <c r="O8" s="454"/>
      <c r="P8" s="101"/>
      <c r="Q8" s="101"/>
      <c r="R8" s="454"/>
      <c r="S8" s="101"/>
      <c r="T8" s="101"/>
      <c r="U8" s="454"/>
      <c r="V8" s="101"/>
      <c r="W8" s="101"/>
      <c r="X8" s="454"/>
      <c r="Y8" s="101"/>
      <c r="Z8" s="101"/>
      <c r="AA8" s="454"/>
      <c r="AB8" s="101"/>
      <c r="AC8" s="101"/>
      <c r="AD8" s="454"/>
      <c r="AE8" s="101"/>
      <c r="AF8" s="101"/>
      <c r="AG8" s="454"/>
      <c r="AH8" s="101"/>
      <c r="AI8" s="101"/>
      <c r="AJ8" s="454"/>
      <c r="AK8" s="101"/>
      <c r="AL8" s="101"/>
      <c r="AM8" s="455">
        <f>SUM(C8:AL8)</f>
        <v>3.2</v>
      </c>
      <c r="AO8" s="426"/>
      <c r="AP8" s="426">
        <v>3.2</v>
      </c>
      <c r="AQ8" s="427">
        <v>3.2</v>
      </c>
      <c r="AS8" s="86"/>
      <c r="AT8" s="86"/>
      <c r="AU8" s="86"/>
    </row>
    <row r="9" spans="2:62" ht="20.100000000000001" customHeight="1" x14ac:dyDescent="0.15">
      <c r="B9" s="100" t="s">
        <v>313</v>
      </c>
      <c r="C9" s="454"/>
      <c r="D9" s="101"/>
      <c r="E9" s="101"/>
      <c r="F9" s="454"/>
      <c r="G9" s="101"/>
      <c r="H9" s="101"/>
      <c r="I9" s="454"/>
      <c r="J9" s="101"/>
      <c r="K9" s="101">
        <v>1.2</v>
      </c>
      <c r="L9" s="454">
        <v>5.3</v>
      </c>
      <c r="M9" s="101">
        <v>5.3</v>
      </c>
      <c r="N9" s="101">
        <v>2.2000000000000002</v>
      </c>
      <c r="O9" s="454"/>
      <c r="P9" s="101"/>
      <c r="Q9" s="101"/>
      <c r="R9" s="454"/>
      <c r="S9" s="101"/>
      <c r="T9" s="101"/>
      <c r="U9" s="454"/>
      <c r="V9" s="101"/>
      <c r="W9" s="101"/>
      <c r="X9" s="454"/>
      <c r="Y9" s="101"/>
      <c r="Z9" s="101"/>
      <c r="AA9" s="454"/>
      <c r="AB9" s="101"/>
      <c r="AC9" s="101"/>
      <c r="AD9" s="454"/>
      <c r="AE9" s="101"/>
      <c r="AF9" s="101"/>
      <c r="AG9" s="454"/>
      <c r="AH9" s="101"/>
      <c r="AI9" s="101"/>
      <c r="AJ9" s="454"/>
      <c r="AK9" s="101"/>
      <c r="AL9" s="101"/>
      <c r="AM9" s="455">
        <f t="shared" ref="AM9:AM33" si="0">SUM(C9:AL9)</f>
        <v>14</v>
      </c>
      <c r="AO9" s="426"/>
      <c r="AP9" s="426">
        <v>14</v>
      </c>
      <c r="AQ9" s="427">
        <v>14</v>
      </c>
      <c r="AS9" s="86"/>
      <c r="AT9" s="86"/>
      <c r="AU9" s="86"/>
    </row>
    <row r="10" spans="2:62" ht="20.100000000000001" customHeight="1" x14ac:dyDescent="0.15">
      <c r="B10" s="100" t="s">
        <v>314</v>
      </c>
      <c r="C10" s="454"/>
      <c r="D10" s="101"/>
      <c r="E10" s="101"/>
      <c r="F10" s="454"/>
      <c r="G10" s="101">
        <v>1.9</v>
      </c>
      <c r="H10" s="101">
        <v>1.9</v>
      </c>
      <c r="I10" s="454">
        <v>1.9</v>
      </c>
      <c r="J10" s="101">
        <v>1.9</v>
      </c>
      <c r="K10" s="101"/>
      <c r="L10" s="454"/>
      <c r="M10" s="101"/>
      <c r="N10" s="101"/>
      <c r="O10" s="454"/>
      <c r="P10" s="101"/>
      <c r="Q10" s="101"/>
      <c r="R10" s="454"/>
      <c r="S10" s="101"/>
      <c r="T10" s="101"/>
      <c r="U10" s="454"/>
      <c r="V10" s="101"/>
      <c r="W10" s="101"/>
      <c r="X10" s="454"/>
      <c r="Y10" s="101"/>
      <c r="Z10" s="101"/>
      <c r="AA10" s="454"/>
      <c r="AB10" s="101"/>
      <c r="AC10" s="101"/>
      <c r="AD10" s="454"/>
      <c r="AE10" s="101"/>
      <c r="AF10" s="101"/>
      <c r="AG10" s="454"/>
      <c r="AH10" s="101">
        <v>2.4</v>
      </c>
      <c r="AI10" s="101">
        <v>2.4</v>
      </c>
      <c r="AJ10" s="454">
        <v>2.2999999999999998</v>
      </c>
      <c r="AK10" s="101"/>
      <c r="AL10" s="101"/>
      <c r="AM10" s="455">
        <f>SUM(C10:AL10)</f>
        <v>14.7</v>
      </c>
      <c r="AO10" s="426">
        <v>14.7</v>
      </c>
      <c r="AP10" s="426"/>
      <c r="AQ10" s="427">
        <v>14.7</v>
      </c>
      <c r="AS10" s="86"/>
      <c r="AT10" s="86"/>
      <c r="AU10" s="86"/>
    </row>
    <row r="11" spans="2:62" ht="20.100000000000001" customHeight="1" x14ac:dyDescent="0.15">
      <c r="B11" s="100" t="s">
        <v>290</v>
      </c>
      <c r="C11" s="454"/>
      <c r="D11" s="101"/>
      <c r="E11" s="101"/>
      <c r="F11" s="454"/>
      <c r="G11" s="101"/>
      <c r="H11" s="101"/>
      <c r="I11" s="454"/>
      <c r="J11" s="101"/>
      <c r="K11" s="101"/>
      <c r="L11" s="454">
        <v>2.5</v>
      </c>
      <c r="M11" s="101">
        <v>2.5</v>
      </c>
      <c r="N11" s="101"/>
      <c r="O11" s="454"/>
      <c r="P11" s="101"/>
      <c r="Q11" s="101"/>
      <c r="R11" s="454"/>
      <c r="S11" s="101"/>
      <c r="T11" s="101"/>
      <c r="U11" s="454"/>
      <c r="V11" s="101"/>
      <c r="W11" s="101"/>
      <c r="X11" s="454"/>
      <c r="Y11" s="101"/>
      <c r="Z11" s="101"/>
      <c r="AA11" s="454"/>
      <c r="AB11" s="101"/>
      <c r="AC11" s="101"/>
      <c r="AD11" s="454"/>
      <c r="AE11" s="101"/>
      <c r="AF11" s="101"/>
      <c r="AG11" s="454"/>
      <c r="AH11" s="101"/>
      <c r="AI11" s="101"/>
      <c r="AJ11" s="454"/>
      <c r="AK11" s="101"/>
      <c r="AL11" s="101"/>
      <c r="AM11" s="455">
        <f t="shared" si="0"/>
        <v>5</v>
      </c>
      <c r="AO11" s="426">
        <v>5</v>
      </c>
      <c r="AP11" s="426"/>
      <c r="AQ11" s="427">
        <v>5</v>
      </c>
      <c r="AS11" s="86"/>
      <c r="AT11" s="86"/>
      <c r="AU11" s="86"/>
    </row>
    <row r="12" spans="2:62" ht="20.100000000000001" customHeight="1" x14ac:dyDescent="0.15">
      <c r="B12" s="100" t="s">
        <v>315</v>
      </c>
      <c r="C12" s="454"/>
      <c r="D12" s="101"/>
      <c r="E12" s="101"/>
      <c r="F12" s="454"/>
      <c r="G12" s="101"/>
      <c r="H12" s="101"/>
      <c r="I12" s="454"/>
      <c r="J12" s="101"/>
      <c r="K12" s="101"/>
      <c r="L12" s="454"/>
      <c r="M12" s="101"/>
      <c r="N12" s="101">
        <v>17.600000000000001</v>
      </c>
      <c r="O12" s="454"/>
      <c r="P12" s="101"/>
      <c r="Q12" s="101"/>
      <c r="R12" s="454"/>
      <c r="S12" s="101"/>
      <c r="T12" s="101"/>
      <c r="U12" s="454"/>
      <c r="V12" s="101"/>
      <c r="W12" s="101"/>
      <c r="X12" s="454"/>
      <c r="Y12" s="101"/>
      <c r="Z12" s="101"/>
      <c r="AA12" s="454"/>
      <c r="AB12" s="101"/>
      <c r="AC12" s="101"/>
      <c r="AD12" s="454"/>
      <c r="AE12" s="101"/>
      <c r="AF12" s="101"/>
      <c r="AG12" s="454"/>
      <c r="AH12" s="101"/>
      <c r="AI12" s="101"/>
      <c r="AJ12" s="454"/>
      <c r="AK12" s="101"/>
      <c r="AL12" s="101"/>
      <c r="AM12" s="455">
        <f t="shared" si="0"/>
        <v>17.600000000000001</v>
      </c>
      <c r="AO12" s="426">
        <v>4.4000000000000004</v>
      </c>
      <c r="AP12" s="426">
        <v>13.200000000000001</v>
      </c>
      <c r="AQ12" s="427">
        <v>17.600000000000001</v>
      </c>
      <c r="AS12" s="86"/>
      <c r="AT12" s="86"/>
      <c r="AU12" s="86"/>
    </row>
    <row r="13" spans="2:62" ht="20.100000000000001" customHeight="1" x14ac:dyDescent="0.15">
      <c r="B13" s="100" t="s">
        <v>316</v>
      </c>
      <c r="C13" s="454"/>
      <c r="D13" s="101"/>
      <c r="E13" s="101"/>
      <c r="F13" s="454"/>
      <c r="G13" s="101"/>
      <c r="H13" s="101"/>
      <c r="I13" s="454"/>
      <c r="J13" s="101"/>
      <c r="K13" s="101"/>
      <c r="L13" s="454"/>
      <c r="M13" s="101"/>
      <c r="N13" s="101"/>
      <c r="O13" s="454"/>
      <c r="P13" s="101"/>
      <c r="Q13" s="101"/>
      <c r="R13" s="454"/>
      <c r="S13" s="101"/>
      <c r="T13" s="101"/>
      <c r="U13" s="454"/>
      <c r="V13" s="101"/>
      <c r="W13" s="101"/>
      <c r="X13" s="454"/>
      <c r="Y13" s="101"/>
      <c r="Z13" s="101"/>
      <c r="AA13" s="454"/>
      <c r="AB13" s="101"/>
      <c r="AC13" s="101"/>
      <c r="AD13" s="454"/>
      <c r="AE13" s="101"/>
      <c r="AF13" s="101"/>
      <c r="AG13" s="454"/>
      <c r="AH13" s="101"/>
      <c r="AI13" s="101"/>
      <c r="AJ13" s="454"/>
      <c r="AK13" s="101"/>
      <c r="AL13" s="101"/>
      <c r="AM13" s="455">
        <f t="shared" si="0"/>
        <v>0</v>
      </c>
      <c r="AO13" s="426"/>
      <c r="AP13" s="426"/>
      <c r="AQ13" s="427">
        <v>0</v>
      </c>
      <c r="AS13" s="86"/>
      <c r="AT13" s="86"/>
      <c r="AU13" s="86"/>
    </row>
    <row r="14" spans="2:62" ht="20.100000000000001" customHeight="1" x14ac:dyDescent="0.15">
      <c r="B14" s="100" t="s">
        <v>317</v>
      </c>
      <c r="C14" s="454"/>
      <c r="D14" s="101"/>
      <c r="E14" s="101"/>
      <c r="F14" s="454"/>
      <c r="G14" s="101"/>
      <c r="H14" s="101"/>
      <c r="I14" s="454"/>
      <c r="J14" s="101"/>
      <c r="K14" s="101"/>
      <c r="L14" s="454"/>
      <c r="M14" s="101"/>
      <c r="N14" s="101"/>
      <c r="O14" s="454"/>
      <c r="P14" s="101"/>
      <c r="Q14" s="101"/>
      <c r="R14" s="454"/>
      <c r="S14" s="101"/>
      <c r="T14" s="101"/>
      <c r="U14" s="454"/>
      <c r="V14" s="101"/>
      <c r="W14" s="101"/>
      <c r="X14" s="454"/>
      <c r="Y14" s="101"/>
      <c r="Z14" s="101"/>
      <c r="AA14" s="454"/>
      <c r="AB14" s="101"/>
      <c r="AC14" s="101"/>
      <c r="AD14" s="454"/>
      <c r="AE14" s="101"/>
      <c r="AF14" s="101"/>
      <c r="AG14" s="454"/>
      <c r="AH14" s="101"/>
      <c r="AI14" s="101"/>
      <c r="AJ14" s="454"/>
      <c r="AK14" s="101"/>
      <c r="AL14" s="101"/>
      <c r="AM14" s="455">
        <f t="shared" si="0"/>
        <v>0</v>
      </c>
      <c r="AO14" s="426"/>
      <c r="AP14" s="426"/>
      <c r="AQ14" s="427">
        <v>0</v>
      </c>
      <c r="AS14" s="86"/>
      <c r="AT14" s="86"/>
      <c r="AU14" s="86"/>
    </row>
    <row r="15" spans="2:62" ht="20.100000000000001" customHeight="1" x14ac:dyDescent="0.15">
      <c r="B15" s="100" t="s">
        <v>318</v>
      </c>
      <c r="C15" s="454"/>
      <c r="D15" s="101"/>
      <c r="E15" s="101"/>
      <c r="F15" s="454"/>
      <c r="G15" s="101"/>
      <c r="H15" s="101"/>
      <c r="I15" s="454"/>
      <c r="J15" s="101"/>
      <c r="K15" s="101"/>
      <c r="L15" s="454"/>
      <c r="M15" s="101"/>
      <c r="N15" s="101"/>
      <c r="O15" s="454"/>
      <c r="P15" s="101"/>
      <c r="Q15" s="101"/>
      <c r="R15" s="454"/>
      <c r="S15" s="101"/>
      <c r="T15" s="101"/>
      <c r="U15" s="454">
        <v>3.4</v>
      </c>
      <c r="V15" s="101"/>
      <c r="W15" s="101">
        <v>3.4</v>
      </c>
      <c r="X15" s="454"/>
      <c r="Y15" s="101"/>
      <c r="Z15" s="101"/>
      <c r="AA15" s="454"/>
      <c r="AB15" s="101"/>
      <c r="AC15" s="101"/>
      <c r="AD15" s="454"/>
      <c r="AE15" s="101"/>
      <c r="AF15" s="101"/>
      <c r="AG15" s="454"/>
      <c r="AH15" s="101"/>
      <c r="AI15" s="101"/>
      <c r="AJ15" s="454"/>
      <c r="AK15" s="101"/>
      <c r="AL15" s="101"/>
      <c r="AM15" s="455">
        <f t="shared" si="0"/>
        <v>6.8</v>
      </c>
      <c r="AO15" s="426">
        <v>1.7</v>
      </c>
      <c r="AP15" s="426">
        <v>5.0999999999999996</v>
      </c>
      <c r="AQ15" s="427">
        <v>6.8</v>
      </c>
      <c r="AS15" s="86"/>
      <c r="AT15" s="86"/>
      <c r="AU15" s="86"/>
    </row>
    <row r="16" spans="2:62" ht="20.100000000000001" customHeight="1" x14ac:dyDescent="0.15">
      <c r="B16" s="100" t="s">
        <v>319</v>
      </c>
      <c r="C16" s="454"/>
      <c r="D16" s="101"/>
      <c r="E16" s="101"/>
      <c r="F16" s="454"/>
      <c r="G16" s="101"/>
      <c r="H16" s="101"/>
      <c r="I16" s="454"/>
      <c r="J16" s="101"/>
      <c r="K16" s="101"/>
      <c r="L16" s="454"/>
      <c r="M16" s="101"/>
      <c r="N16" s="101"/>
      <c r="O16" s="454"/>
      <c r="P16" s="101"/>
      <c r="Q16" s="101"/>
      <c r="R16" s="454"/>
      <c r="S16" s="101"/>
      <c r="T16" s="101"/>
      <c r="U16" s="454"/>
      <c r="V16" s="101"/>
      <c r="W16" s="101"/>
      <c r="X16" s="454"/>
      <c r="Y16" s="101"/>
      <c r="Z16" s="101">
        <v>10.3</v>
      </c>
      <c r="AA16" s="454">
        <v>10.4</v>
      </c>
      <c r="AB16" s="101"/>
      <c r="AC16" s="101"/>
      <c r="AD16" s="454"/>
      <c r="AE16" s="101"/>
      <c r="AF16" s="101"/>
      <c r="AG16" s="454"/>
      <c r="AH16" s="101"/>
      <c r="AI16" s="101"/>
      <c r="AJ16" s="454"/>
      <c r="AK16" s="101"/>
      <c r="AL16" s="101"/>
      <c r="AM16" s="455">
        <f t="shared" si="0"/>
        <v>20.700000000000003</v>
      </c>
      <c r="AO16" s="426">
        <v>6.9</v>
      </c>
      <c r="AP16" s="426">
        <v>13.8</v>
      </c>
      <c r="AQ16" s="427">
        <v>20.700000000000003</v>
      </c>
      <c r="AS16" s="86"/>
      <c r="AT16" s="86"/>
      <c r="AU16" s="86"/>
    </row>
    <row r="17" spans="2:47" ht="20.100000000000001" customHeight="1" x14ac:dyDescent="0.15">
      <c r="B17" s="100" t="s">
        <v>320</v>
      </c>
      <c r="C17" s="454"/>
      <c r="D17" s="101"/>
      <c r="E17" s="101"/>
      <c r="F17" s="454"/>
      <c r="G17" s="101"/>
      <c r="H17" s="101"/>
      <c r="I17" s="454"/>
      <c r="J17" s="101"/>
      <c r="K17" s="101"/>
      <c r="L17" s="454"/>
      <c r="M17" s="101"/>
      <c r="N17" s="101"/>
      <c r="O17" s="454"/>
      <c r="P17" s="101"/>
      <c r="Q17" s="101"/>
      <c r="R17" s="454"/>
      <c r="S17" s="101"/>
      <c r="T17" s="101"/>
      <c r="U17" s="454"/>
      <c r="V17" s="101"/>
      <c r="W17" s="101"/>
      <c r="X17" s="454"/>
      <c r="Y17" s="101"/>
      <c r="Z17" s="101">
        <v>4.7</v>
      </c>
      <c r="AA17" s="454">
        <v>4.8</v>
      </c>
      <c r="AB17" s="101"/>
      <c r="AC17" s="101"/>
      <c r="AD17" s="454"/>
      <c r="AE17" s="101"/>
      <c r="AF17" s="101"/>
      <c r="AG17" s="454"/>
      <c r="AH17" s="101"/>
      <c r="AI17" s="101"/>
      <c r="AJ17" s="454"/>
      <c r="AK17" s="101"/>
      <c r="AL17" s="101"/>
      <c r="AM17" s="455">
        <f t="shared" si="0"/>
        <v>9.5</v>
      </c>
      <c r="AO17" s="426"/>
      <c r="AP17" s="426">
        <v>9.5</v>
      </c>
      <c r="AQ17" s="427">
        <v>9.5</v>
      </c>
      <c r="AS17" s="86"/>
      <c r="AT17" s="86"/>
      <c r="AU17" s="86"/>
    </row>
    <row r="18" spans="2:47" ht="20.100000000000001" customHeight="1" x14ac:dyDescent="0.15">
      <c r="B18" s="100" t="s">
        <v>321</v>
      </c>
      <c r="C18" s="454"/>
      <c r="D18" s="101"/>
      <c r="E18" s="101"/>
      <c r="F18" s="454"/>
      <c r="G18" s="101"/>
      <c r="H18" s="101"/>
      <c r="I18" s="454"/>
      <c r="J18" s="101"/>
      <c r="K18" s="101"/>
      <c r="L18" s="454"/>
      <c r="M18" s="101"/>
      <c r="N18" s="101"/>
      <c r="O18" s="454"/>
      <c r="P18" s="101"/>
      <c r="Q18" s="101"/>
      <c r="R18" s="454"/>
      <c r="S18" s="101"/>
      <c r="T18" s="101"/>
      <c r="U18" s="454"/>
      <c r="V18" s="101"/>
      <c r="W18" s="101"/>
      <c r="X18" s="454"/>
      <c r="Y18" s="101"/>
      <c r="Z18" s="101"/>
      <c r="AA18" s="454"/>
      <c r="AB18" s="101"/>
      <c r="AC18" s="101"/>
      <c r="AD18" s="454"/>
      <c r="AE18" s="101"/>
      <c r="AF18" s="101"/>
      <c r="AG18" s="454">
        <v>1.2</v>
      </c>
      <c r="AH18" s="101">
        <v>1.2</v>
      </c>
      <c r="AI18" s="101"/>
      <c r="AJ18" s="454"/>
      <c r="AK18" s="101"/>
      <c r="AL18" s="101"/>
      <c r="AM18" s="455">
        <f t="shared" si="0"/>
        <v>2.4</v>
      </c>
      <c r="AO18" s="426">
        <v>1.2</v>
      </c>
      <c r="AP18" s="426">
        <v>1.2</v>
      </c>
      <c r="AQ18" s="427">
        <v>2.4</v>
      </c>
      <c r="AS18" s="86"/>
      <c r="AT18" s="86"/>
      <c r="AU18" s="86"/>
    </row>
    <row r="19" spans="2:47" ht="20.100000000000001" customHeight="1" x14ac:dyDescent="0.15">
      <c r="B19" s="100" t="s">
        <v>178</v>
      </c>
      <c r="C19" s="454"/>
      <c r="D19" s="101"/>
      <c r="E19" s="101"/>
      <c r="F19" s="454">
        <v>2</v>
      </c>
      <c r="G19" s="101"/>
      <c r="H19" s="101"/>
      <c r="I19" s="454"/>
      <c r="J19" s="101"/>
      <c r="K19" s="101"/>
      <c r="L19" s="454"/>
      <c r="M19" s="101"/>
      <c r="N19" s="101"/>
      <c r="O19" s="454"/>
      <c r="P19" s="101"/>
      <c r="Q19" s="101"/>
      <c r="R19" s="454"/>
      <c r="S19" s="101"/>
      <c r="T19" s="101"/>
      <c r="U19" s="454"/>
      <c r="V19" s="101"/>
      <c r="W19" s="101"/>
      <c r="X19" s="454"/>
      <c r="Y19" s="101"/>
      <c r="Z19" s="101"/>
      <c r="AA19" s="454"/>
      <c r="AB19" s="101"/>
      <c r="AC19" s="101"/>
      <c r="AD19" s="454"/>
      <c r="AE19" s="101"/>
      <c r="AF19" s="101"/>
      <c r="AG19" s="454"/>
      <c r="AH19" s="101"/>
      <c r="AI19" s="101"/>
      <c r="AJ19" s="454"/>
      <c r="AK19" s="101"/>
      <c r="AL19" s="101"/>
      <c r="AM19" s="455">
        <f t="shared" si="0"/>
        <v>2</v>
      </c>
      <c r="AO19" s="426"/>
      <c r="AP19" s="426">
        <v>2</v>
      </c>
      <c r="AQ19" s="427">
        <v>2</v>
      </c>
      <c r="AS19" s="86"/>
      <c r="AT19" s="86"/>
      <c r="AU19" s="86"/>
    </row>
    <row r="20" spans="2:47" ht="20.100000000000001" customHeight="1" x14ac:dyDescent="0.15">
      <c r="B20" s="100"/>
      <c r="C20" s="454"/>
      <c r="D20" s="101"/>
      <c r="E20" s="101"/>
      <c r="F20" s="454"/>
      <c r="G20" s="101"/>
      <c r="H20" s="101"/>
      <c r="I20" s="454"/>
      <c r="J20" s="101"/>
      <c r="K20" s="101"/>
      <c r="L20" s="454"/>
      <c r="M20" s="101"/>
      <c r="N20" s="101"/>
      <c r="O20" s="454"/>
      <c r="P20" s="101"/>
      <c r="Q20" s="101"/>
      <c r="R20" s="454"/>
      <c r="S20" s="101"/>
      <c r="T20" s="101"/>
      <c r="U20" s="454"/>
      <c r="V20" s="101"/>
      <c r="W20" s="101"/>
      <c r="X20" s="454"/>
      <c r="Y20" s="101"/>
      <c r="Z20" s="101"/>
      <c r="AA20" s="454"/>
      <c r="AB20" s="101"/>
      <c r="AC20" s="101"/>
      <c r="AD20" s="454"/>
      <c r="AE20" s="101"/>
      <c r="AF20" s="101"/>
      <c r="AG20" s="454"/>
      <c r="AH20" s="101"/>
      <c r="AI20" s="101"/>
      <c r="AJ20" s="454"/>
      <c r="AK20" s="101"/>
      <c r="AL20" s="101"/>
      <c r="AM20" s="455">
        <f t="shared" si="0"/>
        <v>0</v>
      </c>
      <c r="AO20" s="427"/>
      <c r="AP20" s="427"/>
      <c r="AQ20" s="427">
        <f t="shared" ref="AQ20:AQ33" si="1">SUM(AO20:AP20)</f>
        <v>0</v>
      </c>
    </row>
    <row r="21" spans="2:47" ht="20.100000000000001" customHeight="1" x14ac:dyDescent="0.15">
      <c r="B21" s="100"/>
      <c r="C21" s="454"/>
      <c r="D21" s="101"/>
      <c r="E21" s="101"/>
      <c r="F21" s="454"/>
      <c r="G21" s="101"/>
      <c r="H21" s="101"/>
      <c r="I21" s="454"/>
      <c r="J21" s="101"/>
      <c r="K21" s="101"/>
      <c r="L21" s="454"/>
      <c r="M21" s="101"/>
      <c r="N21" s="101"/>
      <c r="O21" s="454"/>
      <c r="P21" s="101"/>
      <c r="Q21" s="101"/>
      <c r="R21" s="454"/>
      <c r="S21" s="101"/>
      <c r="T21" s="101"/>
      <c r="U21" s="454"/>
      <c r="V21" s="101"/>
      <c r="W21" s="101"/>
      <c r="X21" s="454"/>
      <c r="Y21" s="101"/>
      <c r="Z21" s="101"/>
      <c r="AA21" s="454"/>
      <c r="AB21" s="101"/>
      <c r="AC21" s="101"/>
      <c r="AD21" s="454"/>
      <c r="AE21" s="101"/>
      <c r="AF21" s="101"/>
      <c r="AG21" s="454"/>
      <c r="AH21" s="101"/>
      <c r="AI21" s="101"/>
      <c r="AJ21" s="454"/>
      <c r="AK21" s="101"/>
      <c r="AL21" s="101"/>
      <c r="AM21" s="455">
        <f t="shared" si="0"/>
        <v>0</v>
      </c>
      <c r="AO21" s="427"/>
      <c r="AP21" s="427"/>
      <c r="AQ21" s="427">
        <f t="shared" si="1"/>
        <v>0</v>
      </c>
    </row>
    <row r="22" spans="2:47" ht="20.100000000000001" customHeight="1" x14ac:dyDescent="0.15">
      <c r="B22" s="100"/>
      <c r="C22" s="454"/>
      <c r="D22" s="101"/>
      <c r="E22" s="101"/>
      <c r="F22" s="454"/>
      <c r="G22" s="101"/>
      <c r="H22" s="101"/>
      <c r="I22" s="454"/>
      <c r="J22" s="101"/>
      <c r="K22" s="101"/>
      <c r="L22" s="454"/>
      <c r="M22" s="101"/>
      <c r="N22" s="101"/>
      <c r="O22" s="454"/>
      <c r="P22" s="101"/>
      <c r="Q22" s="101"/>
      <c r="R22" s="454"/>
      <c r="S22" s="101"/>
      <c r="T22" s="101"/>
      <c r="U22" s="454"/>
      <c r="V22" s="101"/>
      <c r="W22" s="101"/>
      <c r="X22" s="454"/>
      <c r="Y22" s="101"/>
      <c r="Z22" s="101"/>
      <c r="AA22" s="454"/>
      <c r="AB22" s="101"/>
      <c r="AC22" s="101"/>
      <c r="AD22" s="454"/>
      <c r="AE22" s="101"/>
      <c r="AF22" s="101"/>
      <c r="AG22" s="454"/>
      <c r="AH22" s="101"/>
      <c r="AI22" s="101"/>
      <c r="AJ22" s="454"/>
      <c r="AK22" s="101"/>
      <c r="AL22" s="101"/>
      <c r="AM22" s="455">
        <f t="shared" si="0"/>
        <v>0</v>
      </c>
      <c r="AO22" s="427"/>
      <c r="AP22" s="427"/>
      <c r="AQ22" s="427">
        <f t="shared" si="1"/>
        <v>0</v>
      </c>
    </row>
    <row r="23" spans="2:47" ht="20.100000000000001" customHeight="1" x14ac:dyDescent="0.15">
      <c r="B23" s="100"/>
      <c r="C23" s="454"/>
      <c r="D23" s="101"/>
      <c r="E23" s="101"/>
      <c r="F23" s="454"/>
      <c r="G23" s="101"/>
      <c r="H23" s="101"/>
      <c r="I23" s="454"/>
      <c r="J23" s="101"/>
      <c r="K23" s="101"/>
      <c r="L23" s="454"/>
      <c r="M23" s="101"/>
      <c r="N23" s="101"/>
      <c r="O23" s="454"/>
      <c r="P23" s="101"/>
      <c r="Q23" s="101"/>
      <c r="R23" s="454"/>
      <c r="S23" s="101"/>
      <c r="T23" s="101"/>
      <c r="U23" s="454"/>
      <c r="V23" s="101"/>
      <c r="W23" s="101"/>
      <c r="X23" s="454"/>
      <c r="Y23" s="101"/>
      <c r="Z23" s="101"/>
      <c r="AA23" s="454"/>
      <c r="AB23" s="101"/>
      <c r="AC23" s="101"/>
      <c r="AD23" s="454"/>
      <c r="AE23" s="101"/>
      <c r="AF23" s="101"/>
      <c r="AG23" s="454"/>
      <c r="AH23" s="101"/>
      <c r="AI23" s="101"/>
      <c r="AJ23" s="454"/>
      <c r="AK23" s="101"/>
      <c r="AL23" s="101"/>
      <c r="AM23" s="455">
        <f t="shared" si="0"/>
        <v>0</v>
      </c>
      <c r="AO23" s="427"/>
      <c r="AP23" s="427"/>
      <c r="AQ23" s="427">
        <f t="shared" si="1"/>
        <v>0</v>
      </c>
    </row>
    <row r="24" spans="2:47" ht="20.100000000000001" customHeight="1" x14ac:dyDescent="0.15">
      <c r="B24" s="100"/>
      <c r="C24" s="454"/>
      <c r="D24" s="101"/>
      <c r="E24" s="101"/>
      <c r="F24" s="454"/>
      <c r="G24" s="101"/>
      <c r="H24" s="101"/>
      <c r="I24" s="454"/>
      <c r="J24" s="101"/>
      <c r="K24" s="101"/>
      <c r="L24" s="454"/>
      <c r="M24" s="101"/>
      <c r="N24" s="101"/>
      <c r="O24" s="454"/>
      <c r="P24" s="101"/>
      <c r="Q24" s="101"/>
      <c r="R24" s="454"/>
      <c r="S24" s="101"/>
      <c r="T24" s="101"/>
      <c r="U24" s="454"/>
      <c r="V24" s="101"/>
      <c r="W24" s="101"/>
      <c r="X24" s="454"/>
      <c r="Y24" s="101"/>
      <c r="Z24" s="101"/>
      <c r="AA24" s="454"/>
      <c r="AB24" s="101"/>
      <c r="AC24" s="101"/>
      <c r="AD24" s="454"/>
      <c r="AE24" s="101"/>
      <c r="AF24" s="101"/>
      <c r="AG24" s="454"/>
      <c r="AH24" s="101"/>
      <c r="AI24" s="101"/>
      <c r="AJ24" s="454"/>
      <c r="AK24" s="101"/>
      <c r="AL24" s="101"/>
      <c r="AM24" s="455">
        <f t="shared" si="0"/>
        <v>0</v>
      </c>
      <c r="AO24" s="427"/>
      <c r="AP24" s="427"/>
      <c r="AQ24" s="427">
        <f t="shared" si="1"/>
        <v>0</v>
      </c>
    </row>
    <row r="25" spans="2:47" ht="20.100000000000001" customHeight="1" x14ac:dyDescent="0.15">
      <c r="B25" s="100"/>
      <c r="C25" s="454"/>
      <c r="D25" s="101"/>
      <c r="E25" s="101"/>
      <c r="F25" s="454"/>
      <c r="G25" s="101"/>
      <c r="H25" s="101"/>
      <c r="I25" s="454"/>
      <c r="J25" s="101"/>
      <c r="K25" s="101"/>
      <c r="L25" s="454"/>
      <c r="M25" s="101"/>
      <c r="N25" s="101"/>
      <c r="O25" s="454"/>
      <c r="P25" s="101"/>
      <c r="Q25" s="101"/>
      <c r="R25" s="454"/>
      <c r="S25" s="101"/>
      <c r="T25" s="101"/>
      <c r="U25" s="454"/>
      <c r="V25" s="101"/>
      <c r="W25" s="101"/>
      <c r="X25" s="454"/>
      <c r="Y25" s="101"/>
      <c r="Z25" s="101"/>
      <c r="AA25" s="454"/>
      <c r="AB25" s="101"/>
      <c r="AC25" s="101"/>
      <c r="AD25" s="454"/>
      <c r="AE25" s="101"/>
      <c r="AF25" s="101"/>
      <c r="AG25" s="454"/>
      <c r="AH25" s="101"/>
      <c r="AI25" s="101"/>
      <c r="AJ25" s="454"/>
      <c r="AK25" s="101"/>
      <c r="AL25" s="101"/>
      <c r="AM25" s="455">
        <f t="shared" si="0"/>
        <v>0</v>
      </c>
      <c r="AO25" s="427"/>
      <c r="AP25" s="427"/>
      <c r="AQ25" s="427">
        <f t="shared" si="1"/>
        <v>0</v>
      </c>
    </row>
    <row r="26" spans="2:47" ht="20.100000000000001" customHeight="1" x14ac:dyDescent="0.15">
      <c r="B26" s="100"/>
      <c r="C26" s="454"/>
      <c r="D26" s="101"/>
      <c r="E26" s="101"/>
      <c r="F26" s="454"/>
      <c r="G26" s="101"/>
      <c r="H26" s="101"/>
      <c r="I26" s="454"/>
      <c r="J26" s="101"/>
      <c r="K26" s="101"/>
      <c r="L26" s="454"/>
      <c r="M26" s="101"/>
      <c r="N26" s="101"/>
      <c r="O26" s="454"/>
      <c r="P26" s="101"/>
      <c r="Q26" s="101"/>
      <c r="R26" s="454"/>
      <c r="S26" s="101"/>
      <c r="T26" s="101"/>
      <c r="U26" s="454"/>
      <c r="V26" s="101"/>
      <c r="W26" s="101"/>
      <c r="X26" s="454"/>
      <c r="Y26" s="101"/>
      <c r="Z26" s="101"/>
      <c r="AA26" s="454"/>
      <c r="AB26" s="101"/>
      <c r="AC26" s="101"/>
      <c r="AD26" s="454"/>
      <c r="AE26" s="101"/>
      <c r="AF26" s="101"/>
      <c r="AG26" s="454"/>
      <c r="AH26" s="101"/>
      <c r="AI26" s="101"/>
      <c r="AJ26" s="454"/>
      <c r="AK26" s="101"/>
      <c r="AL26" s="101"/>
      <c r="AM26" s="455">
        <f t="shared" si="0"/>
        <v>0</v>
      </c>
      <c r="AO26" s="427"/>
      <c r="AP26" s="427"/>
      <c r="AQ26" s="427">
        <f t="shared" si="1"/>
        <v>0</v>
      </c>
    </row>
    <row r="27" spans="2:47" ht="20.100000000000001" customHeight="1" x14ac:dyDescent="0.15">
      <c r="B27" s="100"/>
      <c r="C27" s="454"/>
      <c r="D27" s="101"/>
      <c r="E27" s="101"/>
      <c r="F27" s="454"/>
      <c r="G27" s="101"/>
      <c r="H27" s="101"/>
      <c r="I27" s="454"/>
      <c r="J27" s="101"/>
      <c r="K27" s="101"/>
      <c r="L27" s="454"/>
      <c r="M27" s="101"/>
      <c r="N27" s="101"/>
      <c r="O27" s="454"/>
      <c r="P27" s="101"/>
      <c r="Q27" s="101"/>
      <c r="R27" s="454"/>
      <c r="S27" s="101"/>
      <c r="T27" s="101"/>
      <c r="U27" s="454"/>
      <c r="V27" s="101"/>
      <c r="W27" s="101"/>
      <c r="X27" s="454"/>
      <c r="Y27" s="101"/>
      <c r="Z27" s="101"/>
      <c r="AA27" s="454"/>
      <c r="AB27" s="101"/>
      <c r="AC27" s="101"/>
      <c r="AD27" s="454"/>
      <c r="AE27" s="101"/>
      <c r="AF27" s="101"/>
      <c r="AG27" s="454"/>
      <c r="AH27" s="101"/>
      <c r="AI27" s="101"/>
      <c r="AJ27" s="454"/>
      <c r="AK27" s="101"/>
      <c r="AL27" s="101"/>
      <c r="AM27" s="455">
        <f t="shared" si="0"/>
        <v>0</v>
      </c>
      <c r="AO27" s="427"/>
      <c r="AP27" s="427"/>
      <c r="AQ27" s="427">
        <f t="shared" si="1"/>
        <v>0</v>
      </c>
    </row>
    <row r="28" spans="2:47" ht="20.100000000000001" customHeight="1" x14ac:dyDescent="0.15">
      <c r="B28" s="100"/>
      <c r="C28" s="454"/>
      <c r="D28" s="101"/>
      <c r="E28" s="101"/>
      <c r="F28" s="454"/>
      <c r="G28" s="101"/>
      <c r="H28" s="101"/>
      <c r="I28" s="454"/>
      <c r="J28" s="101"/>
      <c r="K28" s="101"/>
      <c r="L28" s="454"/>
      <c r="M28" s="101"/>
      <c r="N28" s="101"/>
      <c r="O28" s="454"/>
      <c r="P28" s="101"/>
      <c r="Q28" s="101"/>
      <c r="R28" s="454"/>
      <c r="S28" s="101"/>
      <c r="T28" s="101"/>
      <c r="U28" s="454"/>
      <c r="V28" s="101"/>
      <c r="W28" s="101"/>
      <c r="X28" s="454"/>
      <c r="Y28" s="101"/>
      <c r="Z28" s="101"/>
      <c r="AA28" s="454"/>
      <c r="AB28" s="101"/>
      <c r="AC28" s="101"/>
      <c r="AD28" s="454"/>
      <c r="AE28" s="101"/>
      <c r="AF28" s="101"/>
      <c r="AG28" s="454"/>
      <c r="AH28" s="101"/>
      <c r="AI28" s="101"/>
      <c r="AJ28" s="454"/>
      <c r="AK28" s="101"/>
      <c r="AL28" s="101"/>
      <c r="AM28" s="455">
        <f t="shared" si="0"/>
        <v>0</v>
      </c>
      <c r="AO28" s="427"/>
      <c r="AP28" s="427"/>
      <c r="AQ28" s="427">
        <f t="shared" si="1"/>
        <v>0</v>
      </c>
    </row>
    <row r="29" spans="2:47" ht="20.100000000000001" customHeight="1" x14ac:dyDescent="0.15">
      <c r="B29" s="100"/>
      <c r="C29" s="454"/>
      <c r="D29" s="101"/>
      <c r="E29" s="101"/>
      <c r="F29" s="454"/>
      <c r="G29" s="101"/>
      <c r="H29" s="101"/>
      <c r="I29" s="454"/>
      <c r="J29" s="101"/>
      <c r="K29" s="101"/>
      <c r="L29" s="454"/>
      <c r="M29" s="101"/>
      <c r="N29" s="101"/>
      <c r="O29" s="454"/>
      <c r="P29" s="101"/>
      <c r="Q29" s="101"/>
      <c r="R29" s="454"/>
      <c r="S29" s="101"/>
      <c r="T29" s="101"/>
      <c r="U29" s="454"/>
      <c r="V29" s="101"/>
      <c r="W29" s="101"/>
      <c r="X29" s="454"/>
      <c r="Y29" s="101"/>
      <c r="Z29" s="101"/>
      <c r="AA29" s="454"/>
      <c r="AB29" s="101"/>
      <c r="AC29" s="101"/>
      <c r="AD29" s="454"/>
      <c r="AE29" s="101"/>
      <c r="AF29" s="101"/>
      <c r="AG29" s="454"/>
      <c r="AH29" s="101"/>
      <c r="AI29" s="101"/>
      <c r="AJ29" s="454"/>
      <c r="AK29" s="101"/>
      <c r="AL29" s="101"/>
      <c r="AM29" s="455">
        <f t="shared" si="0"/>
        <v>0</v>
      </c>
      <c r="AO29" s="427"/>
      <c r="AP29" s="427"/>
      <c r="AQ29" s="427">
        <f t="shared" si="1"/>
        <v>0</v>
      </c>
    </row>
    <row r="30" spans="2:47" ht="20.100000000000001" customHeight="1" x14ac:dyDescent="0.15">
      <c r="B30" s="100"/>
      <c r="C30" s="454"/>
      <c r="D30" s="101"/>
      <c r="E30" s="101"/>
      <c r="F30" s="454"/>
      <c r="G30" s="101"/>
      <c r="H30" s="101"/>
      <c r="I30" s="454"/>
      <c r="J30" s="101"/>
      <c r="K30" s="101"/>
      <c r="L30" s="454"/>
      <c r="M30" s="101"/>
      <c r="N30" s="101"/>
      <c r="O30" s="454"/>
      <c r="P30" s="101"/>
      <c r="Q30" s="101"/>
      <c r="R30" s="454"/>
      <c r="S30" s="101"/>
      <c r="T30" s="101"/>
      <c r="U30" s="454"/>
      <c r="V30" s="101"/>
      <c r="W30" s="101"/>
      <c r="X30" s="454"/>
      <c r="Y30" s="101"/>
      <c r="Z30" s="101"/>
      <c r="AA30" s="454"/>
      <c r="AB30" s="101"/>
      <c r="AC30" s="101"/>
      <c r="AD30" s="454"/>
      <c r="AE30" s="101"/>
      <c r="AF30" s="101"/>
      <c r="AG30" s="454"/>
      <c r="AH30" s="101"/>
      <c r="AI30" s="101"/>
      <c r="AJ30" s="454"/>
      <c r="AK30" s="101"/>
      <c r="AL30" s="101"/>
      <c r="AM30" s="455">
        <f t="shared" si="0"/>
        <v>0</v>
      </c>
      <c r="AO30" s="427"/>
      <c r="AP30" s="427"/>
      <c r="AQ30" s="427">
        <f t="shared" si="1"/>
        <v>0</v>
      </c>
    </row>
    <row r="31" spans="2:47" ht="20.100000000000001" customHeight="1" x14ac:dyDescent="0.15">
      <c r="B31" s="100"/>
      <c r="C31" s="454"/>
      <c r="D31" s="101"/>
      <c r="E31" s="101"/>
      <c r="F31" s="454"/>
      <c r="G31" s="101"/>
      <c r="H31" s="101"/>
      <c r="I31" s="454"/>
      <c r="J31" s="101"/>
      <c r="K31" s="101"/>
      <c r="L31" s="454"/>
      <c r="M31" s="101"/>
      <c r="N31" s="101"/>
      <c r="O31" s="454"/>
      <c r="P31" s="101"/>
      <c r="Q31" s="101"/>
      <c r="R31" s="454"/>
      <c r="S31" s="101"/>
      <c r="T31" s="101"/>
      <c r="U31" s="454"/>
      <c r="V31" s="101"/>
      <c r="W31" s="101"/>
      <c r="X31" s="454"/>
      <c r="Y31" s="101"/>
      <c r="Z31" s="101"/>
      <c r="AA31" s="454"/>
      <c r="AB31" s="101"/>
      <c r="AC31" s="101"/>
      <c r="AD31" s="454"/>
      <c r="AE31" s="101"/>
      <c r="AF31" s="101"/>
      <c r="AG31" s="454"/>
      <c r="AH31" s="101"/>
      <c r="AI31" s="101"/>
      <c r="AJ31" s="454"/>
      <c r="AK31" s="101"/>
      <c r="AL31" s="101"/>
      <c r="AM31" s="455">
        <f t="shared" si="0"/>
        <v>0</v>
      </c>
      <c r="AO31" s="427"/>
      <c r="AP31" s="427"/>
      <c r="AQ31" s="427">
        <f t="shared" si="1"/>
        <v>0</v>
      </c>
    </row>
    <row r="32" spans="2:47" ht="20.100000000000001" customHeight="1" x14ac:dyDescent="0.15">
      <c r="B32" s="100"/>
      <c r="C32" s="454"/>
      <c r="D32" s="101"/>
      <c r="E32" s="101"/>
      <c r="F32" s="454"/>
      <c r="G32" s="101"/>
      <c r="H32" s="101"/>
      <c r="I32" s="454"/>
      <c r="J32" s="101"/>
      <c r="K32" s="101"/>
      <c r="L32" s="454"/>
      <c r="M32" s="101"/>
      <c r="N32" s="101"/>
      <c r="O32" s="454"/>
      <c r="P32" s="101"/>
      <c r="Q32" s="101"/>
      <c r="R32" s="454"/>
      <c r="S32" s="101"/>
      <c r="T32" s="101"/>
      <c r="U32" s="454"/>
      <c r="V32" s="101"/>
      <c r="W32" s="101"/>
      <c r="X32" s="454"/>
      <c r="Y32" s="101"/>
      <c r="Z32" s="101"/>
      <c r="AA32" s="454"/>
      <c r="AB32" s="101"/>
      <c r="AC32" s="101"/>
      <c r="AD32" s="454"/>
      <c r="AE32" s="101"/>
      <c r="AF32" s="101"/>
      <c r="AG32" s="454"/>
      <c r="AH32" s="101"/>
      <c r="AI32" s="101"/>
      <c r="AJ32" s="454"/>
      <c r="AK32" s="101"/>
      <c r="AL32" s="101"/>
      <c r="AM32" s="455">
        <f t="shared" si="0"/>
        <v>0</v>
      </c>
      <c r="AO32" s="427"/>
      <c r="AP32" s="427"/>
      <c r="AQ32" s="427">
        <f t="shared" si="1"/>
        <v>0</v>
      </c>
    </row>
    <row r="33" spans="2:43" ht="20.100000000000001" customHeight="1" x14ac:dyDescent="0.15">
      <c r="B33" s="102" t="s">
        <v>134</v>
      </c>
      <c r="C33" s="454">
        <f t="shared" ref="C33:AL33" si="2">SUM(C8:C32)</f>
        <v>0</v>
      </c>
      <c r="D33" s="103">
        <f t="shared" si="2"/>
        <v>0</v>
      </c>
      <c r="E33" s="456">
        <f t="shared" si="2"/>
        <v>0</v>
      </c>
      <c r="F33" s="454">
        <f t="shared" si="2"/>
        <v>2</v>
      </c>
      <c r="G33" s="103">
        <f t="shared" si="2"/>
        <v>1.9</v>
      </c>
      <c r="H33" s="456">
        <f t="shared" si="2"/>
        <v>1.9</v>
      </c>
      <c r="I33" s="454">
        <f t="shared" si="2"/>
        <v>1.9</v>
      </c>
      <c r="J33" s="103">
        <f t="shared" si="2"/>
        <v>1.9</v>
      </c>
      <c r="K33" s="456">
        <f t="shared" si="2"/>
        <v>4.4000000000000004</v>
      </c>
      <c r="L33" s="454">
        <f t="shared" si="2"/>
        <v>7.8</v>
      </c>
      <c r="M33" s="103">
        <f t="shared" si="2"/>
        <v>7.8</v>
      </c>
      <c r="N33" s="456">
        <f t="shared" si="2"/>
        <v>19.8</v>
      </c>
      <c r="O33" s="454">
        <f t="shared" si="2"/>
        <v>0</v>
      </c>
      <c r="P33" s="103">
        <f t="shared" si="2"/>
        <v>0</v>
      </c>
      <c r="Q33" s="456">
        <f t="shared" si="2"/>
        <v>0</v>
      </c>
      <c r="R33" s="454">
        <f t="shared" si="2"/>
        <v>0</v>
      </c>
      <c r="S33" s="103">
        <f t="shared" si="2"/>
        <v>0</v>
      </c>
      <c r="T33" s="456">
        <f t="shared" si="2"/>
        <v>0</v>
      </c>
      <c r="U33" s="454">
        <f t="shared" si="2"/>
        <v>3.4</v>
      </c>
      <c r="V33" s="103">
        <f t="shared" si="2"/>
        <v>0</v>
      </c>
      <c r="W33" s="456">
        <f t="shared" si="2"/>
        <v>3.4</v>
      </c>
      <c r="X33" s="454">
        <f t="shared" si="2"/>
        <v>0</v>
      </c>
      <c r="Y33" s="103">
        <f t="shared" si="2"/>
        <v>0</v>
      </c>
      <c r="Z33" s="456">
        <f t="shared" si="2"/>
        <v>15</v>
      </c>
      <c r="AA33" s="454">
        <f t="shared" si="2"/>
        <v>15.2</v>
      </c>
      <c r="AB33" s="103">
        <f t="shared" si="2"/>
        <v>0</v>
      </c>
      <c r="AC33" s="456">
        <f t="shared" si="2"/>
        <v>0</v>
      </c>
      <c r="AD33" s="454">
        <f t="shared" si="2"/>
        <v>0</v>
      </c>
      <c r="AE33" s="103">
        <f t="shared" si="2"/>
        <v>0</v>
      </c>
      <c r="AF33" s="456">
        <f t="shared" si="2"/>
        <v>0</v>
      </c>
      <c r="AG33" s="454">
        <f t="shared" si="2"/>
        <v>1.2</v>
      </c>
      <c r="AH33" s="103">
        <f t="shared" si="2"/>
        <v>3.5999999999999996</v>
      </c>
      <c r="AI33" s="456">
        <f t="shared" si="2"/>
        <v>2.4</v>
      </c>
      <c r="AJ33" s="454">
        <f t="shared" si="2"/>
        <v>2.2999999999999998</v>
      </c>
      <c r="AK33" s="103">
        <f t="shared" si="2"/>
        <v>0</v>
      </c>
      <c r="AL33" s="456">
        <f t="shared" si="2"/>
        <v>0</v>
      </c>
      <c r="AM33" s="455">
        <f t="shared" si="0"/>
        <v>95.9</v>
      </c>
      <c r="AO33" s="427"/>
      <c r="AP33" s="427"/>
      <c r="AQ33" s="427">
        <f t="shared" si="1"/>
        <v>0</v>
      </c>
    </row>
    <row r="34" spans="2:43" ht="20.100000000000001" customHeight="1" thickBot="1" x14ac:dyDescent="0.2">
      <c r="B34" s="104" t="s">
        <v>135</v>
      </c>
      <c r="C34" s="105"/>
      <c r="D34" s="106">
        <f>SUM(C33:E33)</f>
        <v>0</v>
      </c>
      <c r="E34" s="106"/>
      <c r="F34" s="105"/>
      <c r="G34" s="106">
        <f>SUM(F33:H33)</f>
        <v>5.8</v>
      </c>
      <c r="H34" s="106"/>
      <c r="I34" s="105"/>
      <c r="J34" s="106">
        <f>SUM(I33:K33)</f>
        <v>8.1999999999999993</v>
      </c>
      <c r="K34" s="106"/>
      <c r="L34" s="105"/>
      <c r="M34" s="106">
        <f>SUM(L33:N33)</f>
        <v>35.4</v>
      </c>
      <c r="N34" s="106"/>
      <c r="O34" s="105"/>
      <c r="P34" s="106">
        <f>SUM(O33:Q33)</f>
        <v>0</v>
      </c>
      <c r="Q34" s="106"/>
      <c r="R34" s="105"/>
      <c r="S34" s="106">
        <f>SUM(R33:T33)</f>
        <v>0</v>
      </c>
      <c r="T34" s="106"/>
      <c r="U34" s="105"/>
      <c r="V34" s="106">
        <f>SUM(U33:W33)</f>
        <v>6.8</v>
      </c>
      <c r="W34" s="106"/>
      <c r="X34" s="105"/>
      <c r="Y34" s="106">
        <f>SUM(X33:Z33)</f>
        <v>15</v>
      </c>
      <c r="Z34" s="106"/>
      <c r="AA34" s="105"/>
      <c r="AB34" s="106">
        <f>SUM(AA33:AC33)</f>
        <v>15.2</v>
      </c>
      <c r="AC34" s="106"/>
      <c r="AD34" s="105"/>
      <c r="AE34" s="106">
        <f>SUM(AD33:AF33)</f>
        <v>0</v>
      </c>
      <c r="AF34" s="106"/>
      <c r="AG34" s="105"/>
      <c r="AH34" s="106">
        <f>SUM(AG33:AI33)</f>
        <v>7.1999999999999993</v>
      </c>
      <c r="AI34" s="106"/>
      <c r="AJ34" s="105"/>
      <c r="AK34" s="106">
        <f>SUM(AJ33:AL33)</f>
        <v>2.2999999999999998</v>
      </c>
      <c r="AL34" s="106"/>
      <c r="AM34" s="107">
        <f>SUM(AM8:AM32)</f>
        <v>95.9</v>
      </c>
      <c r="AO34" s="427">
        <f>SUM(AO8:AO32)</f>
        <v>33.900000000000006</v>
      </c>
      <c r="AP34" s="427">
        <f t="shared" ref="AP34" si="3">SUM(AP8:AP32)</f>
        <v>62</v>
      </c>
      <c r="AQ34" s="427">
        <f>SUM(AQ8:AQ33)</f>
        <v>95.9</v>
      </c>
    </row>
  </sheetData>
  <mergeCells count="17"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Z6:AA6"/>
    <mergeCell ref="L2:M2"/>
    <mergeCell ref="AJ3:AL3"/>
    <mergeCell ref="AM3:AM4"/>
    <mergeCell ref="AD3:AF3"/>
    <mergeCell ref="AG3:AI3"/>
  </mergeCells>
  <phoneticPr fontId="4"/>
  <pageMargins left="0" right="0" top="0.78740157480314965" bottom="0" header="0.39370078740157483" footer="0.39370078740157483"/>
  <pageSetup paperSize="9" scale="5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5" customWidth="1"/>
    <col min="2" max="2" width="22.625" style="85" customWidth="1"/>
    <col min="3" max="38" width="6.125" style="85" customWidth="1"/>
    <col min="39" max="39" width="7" style="85" customWidth="1"/>
    <col min="40" max="40" width="1.5" style="85" customWidth="1"/>
    <col min="41" max="16384" width="9" style="85"/>
  </cols>
  <sheetData>
    <row r="1" spans="2:62" ht="9.9499999999999993" customHeight="1" x14ac:dyDescent="0.15"/>
    <row r="2" spans="2:62" ht="24.95" customHeight="1" thickBot="1" x14ac:dyDescent="0.2">
      <c r="B2" s="13" t="s">
        <v>136</v>
      </c>
      <c r="C2" s="13"/>
      <c r="D2" s="13"/>
      <c r="E2" s="13"/>
      <c r="F2" s="13"/>
      <c r="G2" s="13"/>
      <c r="H2" s="13"/>
      <c r="I2" s="13"/>
      <c r="J2" s="13"/>
      <c r="K2" s="335" t="s">
        <v>259</v>
      </c>
      <c r="L2" s="710" t="s">
        <v>412</v>
      </c>
      <c r="M2" s="710"/>
      <c r="N2" s="335" t="s">
        <v>260</v>
      </c>
      <c r="O2" s="109" t="s">
        <v>262</v>
      </c>
      <c r="P2" s="13"/>
      <c r="Q2" s="13"/>
      <c r="R2" s="13"/>
      <c r="S2" s="13"/>
      <c r="T2" s="13"/>
      <c r="U2" s="13"/>
      <c r="V2" s="87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19" t="s">
        <v>132</v>
      </c>
      <c r="C3" s="711">
        <v>1</v>
      </c>
      <c r="D3" s="712"/>
      <c r="E3" s="713"/>
      <c r="F3" s="711">
        <v>2</v>
      </c>
      <c r="G3" s="712"/>
      <c r="H3" s="713"/>
      <c r="I3" s="711">
        <v>3</v>
      </c>
      <c r="J3" s="712"/>
      <c r="K3" s="713"/>
      <c r="L3" s="711">
        <v>4</v>
      </c>
      <c r="M3" s="712"/>
      <c r="N3" s="713"/>
      <c r="O3" s="711">
        <v>5</v>
      </c>
      <c r="P3" s="712"/>
      <c r="Q3" s="713"/>
      <c r="R3" s="711">
        <v>6</v>
      </c>
      <c r="S3" s="712"/>
      <c r="T3" s="713"/>
      <c r="U3" s="711">
        <v>7</v>
      </c>
      <c r="V3" s="712"/>
      <c r="W3" s="713"/>
      <c r="X3" s="711">
        <v>8</v>
      </c>
      <c r="Y3" s="712"/>
      <c r="Z3" s="713"/>
      <c r="AA3" s="711">
        <v>9</v>
      </c>
      <c r="AB3" s="712"/>
      <c r="AC3" s="713"/>
      <c r="AD3" s="711">
        <v>10</v>
      </c>
      <c r="AE3" s="712"/>
      <c r="AF3" s="713"/>
      <c r="AG3" s="711">
        <v>11</v>
      </c>
      <c r="AH3" s="712"/>
      <c r="AI3" s="713"/>
      <c r="AJ3" s="711">
        <v>12</v>
      </c>
      <c r="AK3" s="712"/>
      <c r="AL3" s="713"/>
      <c r="AM3" s="714" t="s">
        <v>34</v>
      </c>
      <c r="AO3" s="85" t="s">
        <v>340</v>
      </c>
      <c r="AP3" s="85" t="s">
        <v>341</v>
      </c>
      <c r="AQ3" s="85" t="s">
        <v>25</v>
      </c>
    </row>
    <row r="4" spans="2:62" ht="20.100000000000001" customHeight="1" x14ac:dyDescent="0.15">
      <c r="B4" s="718"/>
      <c r="C4" s="91" t="s">
        <v>35</v>
      </c>
      <c r="D4" s="92" t="s">
        <v>36</v>
      </c>
      <c r="E4" s="93" t="s">
        <v>37</v>
      </c>
      <c r="F4" s="91" t="s">
        <v>35</v>
      </c>
      <c r="G4" s="93" t="s">
        <v>36</v>
      </c>
      <c r="H4" s="93" t="s">
        <v>37</v>
      </c>
      <c r="I4" s="91" t="s">
        <v>35</v>
      </c>
      <c r="J4" s="93" t="s">
        <v>36</v>
      </c>
      <c r="K4" s="93" t="s">
        <v>37</v>
      </c>
      <c r="L4" s="91" t="s">
        <v>35</v>
      </c>
      <c r="M4" s="93" t="s">
        <v>36</v>
      </c>
      <c r="N4" s="93" t="s">
        <v>37</v>
      </c>
      <c r="O4" s="91" t="s">
        <v>35</v>
      </c>
      <c r="P4" s="93" t="s">
        <v>36</v>
      </c>
      <c r="Q4" s="93" t="s">
        <v>37</v>
      </c>
      <c r="R4" s="91" t="s">
        <v>35</v>
      </c>
      <c r="S4" s="94" t="s">
        <v>36</v>
      </c>
      <c r="T4" s="94" t="s">
        <v>37</v>
      </c>
      <c r="U4" s="91" t="s">
        <v>35</v>
      </c>
      <c r="V4" s="93" t="s">
        <v>36</v>
      </c>
      <c r="W4" s="93" t="s">
        <v>37</v>
      </c>
      <c r="X4" s="91" t="s">
        <v>35</v>
      </c>
      <c r="Y4" s="93" t="s">
        <v>36</v>
      </c>
      <c r="Z4" s="93" t="s">
        <v>37</v>
      </c>
      <c r="AA4" s="91" t="s">
        <v>35</v>
      </c>
      <c r="AB4" s="93" t="s">
        <v>36</v>
      </c>
      <c r="AC4" s="93" t="s">
        <v>37</v>
      </c>
      <c r="AD4" s="91" t="s">
        <v>35</v>
      </c>
      <c r="AE4" s="93" t="s">
        <v>36</v>
      </c>
      <c r="AF4" s="93" t="s">
        <v>37</v>
      </c>
      <c r="AG4" s="91" t="s">
        <v>35</v>
      </c>
      <c r="AH4" s="93" t="s">
        <v>36</v>
      </c>
      <c r="AI4" s="93" t="s">
        <v>37</v>
      </c>
      <c r="AJ4" s="91" t="s">
        <v>35</v>
      </c>
      <c r="AK4" s="93" t="s">
        <v>36</v>
      </c>
      <c r="AL4" s="93" t="s">
        <v>37</v>
      </c>
      <c r="AM4" s="715"/>
    </row>
    <row r="5" spans="2:62" ht="20.100000000000001" customHeight="1" x14ac:dyDescent="0.15">
      <c r="B5" s="716" t="s">
        <v>133</v>
      </c>
      <c r="C5" s="95"/>
      <c r="D5" s="13"/>
      <c r="E5" s="13"/>
      <c r="F5" s="13"/>
      <c r="G5" s="13"/>
      <c r="H5" s="13"/>
      <c r="I5" s="13"/>
      <c r="J5" s="13"/>
      <c r="K5" s="13"/>
      <c r="L5" s="13"/>
      <c r="M5" s="13"/>
      <c r="N5" s="87"/>
      <c r="O5" s="87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96"/>
    </row>
    <row r="6" spans="2:62" ht="20.100000000000001" customHeight="1" x14ac:dyDescent="0.15">
      <c r="B6" s="717"/>
      <c r="C6" s="95"/>
      <c r="D6" s="13"/>
      <c r="E6" s="13"/>
      <c r="F6" s="13"/>
      <c r="G6" s="13"/>
      <c r="H6" s="13"/>
      <c r="I6" s="13"/>
      <c r="J6" s="13"/>
      <c r="K6" s="13"/>
      <c r="M6" s="13"/>
      <c r="N6" s="13"/>
      <c r="O6" s="722" t="s">
        <v>315</v>
      </c>
      <c r="P6" s="723"/>
      <c r="Q6" s="13"/>
      <c r="R6" s="13"/>
      <c r="S6" s="13"/>
      <c r="T6" s="13"/>
      <c r="U6" s="13"/>
      <c r="V6" s="13"/>
      <c r="W6" s="13"/>
      <c r="X6" s="13"/>
      <c r="Y6" s="13"/>
      <c r="Z6" s="13"/>
      <c r="AA6" s="722" t="s">
        <v>322</v>
      </c>
      <c r="AB6" s="72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96"/>
    </row>
    <row r="7" spans="2:62" ht="20.100000000000001" customHeight="1" x14ac:dyDescent="0.15">
      <c r="B7" s="718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9"/>
    </row>
    <row r="8" spans="2:62" ht="20.100000000000001" customHeight="1" x14ac:dyDescent="0.15">
      <c r="B8" s="100" t="s">
        <v>312</v>
      </c>
      <c r="C8" s="454"/>
      <c r="D8" s="101"/>
      <c r="E8" s="101"/>
      <c r="F8" s="454"/>
      <c r="G8" s="101"/>
      <c r="H8" s="101"/>
      <c r="I8" s="454"/>
      <c r="J8" s="101"/>
      <c r="K8" s="101"/>
      <c r="L8" s="454">
        <v>3.2</v>
      </c>
      <c r="M8" s="101"/>
      <c r="N8" s="101"/>
      <c r="O8" s="454"/>
      <c r="P8" s="101"/>
      <c r="Q8" s="101"/>
      <c r="R8" s="454"/>
      <c r="S8" s="101"/>
      <c r="T8" s="101"/>
      <c r="U8" s="454"/>
      <c r="V8" s="101"/>
      <c r="W8" s="101"/>
      <c r="X8" s="454"/>
      <c r="Y8" s="101"/>
      <c r="Z8" s="101"/>
      <c r="AA8" s="454"/>
      <c r="AB8" s="101"/>
      <c r="AC8" s="101"/>
      <c r="AD8" s="454"/>
      <c r="AE8" s="101"/>
      <c r="AF8" s="101"/>
      <c r="AG8" s="454"/>
      <c r="AH8" s="101"/>
      <c r="AI8" s="101"/>
      <c r="AJ8" s="454"/>
      <c r="AK8" s="101"/>
      <c r="AL8" s="101"/>
      <c r="AM8" s="455">
        <f>SUM(C8:AL8)</f>
        <v>3.2</v>
      </c>
      <c r="AO8" s="426"/>
      <c r="AP8" s="426">
        <v>3.2</v>
      </c>
      <c r="AQ8" s="427">
        <v>3.2</v>
      </c>
    </row>
    <row r="9" spans="2:62" ht="20.100000000000001" customHeight="1" x14ac:dyDescent="0.15">
      <c r="B9" s="100" t="s">
        <v>313</v>
      </c>
      <c r="C9" s="454"/>
      <c r="D9" s="101"/>
      <c r="E9" s="101"/>
      <c r="F9" s="454"/>
      <c r="G9" s="101"/>
      <c r="H9" s="101"/>
      <c r="I9" s="454"/>
      <c r="J9" s="101"/>
      <c r="K9" s="101"/>
      <c r="L9" s="454">
        <v>1.2</v>
      </c>
      <c r="M9" s="101">
        <v>5.3</v>
      </c>
      <c r="N9" s="101">
        <v>5.3</v>
      </c>
      <c r="O9" s="454">
        <v>2.2000000000000002</v>
      </c>
      <c r="P9" s="101"/>
      <c r="Q9" s="101"/>
      <c r="R9" s="454"/>
      <c r="S9" s="101"/>
      <c r="T9" s="101"/>
      <c r="U9" s="454"/>
      <c r="V9" s="101"/>
      <c r="W9" s="101"/>
      <c r="X9" s="454"/>
      <c r="Y9" s="101"/>
      <c r="Z9" s="101"/>
      <c r="AA9" s="454"/>
      <c r="AB9" s="101"/>
      <c r="AC9" s="101"/>
      <c r="AD9" s="454"/>
      <c r="AE9" s="101"/>
      <c r="AF9" s="101"/>
      <c r="AG9" s="454"/>
      <c r="AH9" s="101"/>
      <c r="AI9" s="101"/>
      <c r="AJ9" s="454"/>
      <c r="AK9" s="101"/>
      <c r="AL9" s="101"/>
      <c r="AM9" s="455">
        <f t="shared" ref="AM9:AM33" si="0">SUM(C9:AL9)</f>
        <v>14</v>
      </c>
      <c r="AO9" s="426"/>
      <c r="AP9" s="426">
        <v>14</v>
      </c>
      <c r="AQ9" s="427">
        <v>14</v>
      </c>
    </row>
    <row r="10" spans="2:62" ht="20.100000000000001" customHeight="1" x14ac:dyDescent="0.15">
      <c r="B10" s="100" t="s">
        <v>314</v>
      </c>
      <c r="C10" s="454"/>
      <c r="D10" s="101"/>
      <c r="E10" s="101"/>
      <c r="F10" s="454"/>
      <c r="G10" s="101">
        <v>1.9</v>
      </c>
      <c r="H10" s="101">
        <v>1.9</v>
      </c>
      <c r="I10" s="454">
        <v>1.9</v>
      </c>
      <c r="J10" s="101">
        <v>1.9</v>
      </c>
      <c r="K10" s="101"/>
      <c r="L10" s="454"/>
      <c r="M10" s="101"/>
      <c r="N10" s="101"/>
      <c r="O10" s="454"/>
      <c r="P10" s="101"/>
      <c r="Q10" s="101"/>
      <c r="R10" s="454"/>
      <c r="S10" s="101"/>
      <c r="T10" s="101"/>
      <c r="U10" s="454"/>
      <c r="V10" s="101"/>
      <c r="W10" s="101"/>
      <c r="X10" s="454"/>
      <c r="Y10" s="101"/>
      <c r="Z10" s="101"/>
      <c r="AA10" s="454"/>
      <c r="AB10" s="101"/>
      <c r="AC10" s="101"/>
      <c r="AD10" s="454"/>
      <c r="AE10" s="101"/>
      <c r="AF10" s="101"/>
      <c r="AG10" s="454"/>
      <c r="AH10" s="101">
        <v>2.4</v>
      </c>
      <c r="AI10" s="101">
        <v>2.4</v>
      </c>
      <c r="AJ10" s="454">
        <v>2.2999999999999998</v>
      </c>
      <c r="AK10" s="101"/>
      <c r="AL10" s="101"/>
      <c r="AM10" s="455">
        <f t="shared" si="0"/>
        <v>14.7</v>
      </c>
      <c r="AO10" s="426">
        <v>14.7</v>
      </c>
      <c r="AP10" s="426"/>
      <c r="AQ10" s="427">
        <v>14.7</v>
      </c>
    </row>
    <row r="11" spans="2:62" ht="20.100000000000001" customHeight="1" x14ac:dyDescent="0.15">
      <c r="B11" s="100" t="s">
        <v>290</v>
      </c>
      <c r="C11" s="454"/>
      <c r="D11" s="101"/>
      <c r="E11" s="101"/>
      <c r="F11" s="454"/>
      <c r="G11" s="101"/>
      <c r="H11" s="101"/>
      <c r="I11" s="454"/>
      <c r="J11" s="101"/>
      <c r="K11" s="101"/>
      <c r="L11" s="454"/>
      <c r="M11" s="101">
        <v>2.5</v>
      </c>
      <c r="N11" s="101">
        <v>2.5</v>
      </c>
      <c r="O11" s="454"/>
      <c r="P11" s="101"/>
      <c r="Q11" s="101"/>
      <c r="R11" s="454"/>
      <c r="S11" s="101"/>
      <c r="T11" s="101"/>
      <c r="U11" s="454"/>
      <c r="V11" s="101"/>
      <c r="W11" s="101"/>
      <c r="X11" s="454"/>
      <c r="Y11" s="101"/>
      <c r="Z11" s="101"/>
      <c r="AA11" s="454"/>
      <c r="AB11" s="101"/>
      <c r="AC11" s="101"/>
      <c r="AD11" s="454"/>
      <c r="AE11" s="101"/>
      <c r="AF11" s="101"/>
      <c r="AG11" s="454"/>
      <c r="AH11" s="101"/>
      <c r="AI11" s="101"/>
      <c r="AJ11" s="454"/>
      <c r="AK11" s="101"/>
      <c r="AL11" s="101"/>
      <c r="AM11" s="455">
        <f t="shared" si="0"/>
        <v>5</v>
      </c>
      <c r="AO11" s="426">
        <v>5</v>
      </c>
      <c r="AP11" s="426"/>
      <c r="AQ11" s="427">
        <v>5</v>
      </c>
    </row>
    <row r="12" spans="2:62" ht="20.100000000000001" customHeight="1" x14ac:dyDescent="0.15">
      <c r="B12" s="100" t="s">
        <v>315</v>
      </c>
      <c r="C12" s="454"/>
      <c r="D12" s="101"/>
      <c r="E12" s="101"/>
      <c r="F12" s="454"/>
      <c r="G12" s="101"/>
      <c r="H12" s="101"/>
      <c r="I12" s="454"/>
      <c r="J12" s="101"/>
      <c r="K12" s="101"/>
      <c r="L12" s="454"/>
      <c r="M12" s="101"/>
      <c r="N12" s="101"/>
      <c r="O12" s="454">
        <v>8.8000000000000007</v>
      </c>
      <c r="P12" s="101">
        <v>8.8000000000000007</v>
      </c>
      <c r="Q12" s="101"/>
      <c r="R12" s="454"/>
      <c r="S12" s="101"/>
      <c r="T12" s="101"/>
      <c r="U12" s="454"/>
      <c r="V12" s="101"/>
      <c r="W12" s="101"/>
      <c r="X12" s="454"/>
      <c r="Y12" s="101"/>
      <c r="Z12" s="101"/>
      <c r="AA12" s="454"/>
      <c r="AB12" s="101"/>
      <c r="AC12" s="101"/>
      <c r="AD12" s="454"/>
      <c r="AE12" s="101"/>
      <c r="AF12" s="101"/>
      <c r="AG12" s="454"/>
      <c r="AH12" s="101"/>
      <c r="AI12" s="101"/>
      <c r="AJ12" s="454"/>
      <c r="AK12" s="101"/>
      <c r="AL12" s="101"/>
      <c r="AM12" s="455">
        <f t="shared" si="0"/>
        <v>17.600000000000001</v>
      </c>
      <c r="AO12" s="426">
        <v>4.4000000000000004</v>
      </c>
      <c r="AP12" s="426">
        <v>13.200000000000001</v>
      </c>
      <c r="AQ12" s="427">
        <v>17.600000000000001</v>
      </c>
    </row>
    <row r="13" spans="2:62" ht="20.100000000000001" customHeight="1" x14ac:dyDescent="0.15">
      <c r="B13" s="100" t="s">
        <v>316</v>
      </c>
      <c r="C13" s="454"/>
      <c r="D13" s="101"/>
      <c r="E13" s="101"/>
      <c r="F13" s="454"/>
      <c r="G13" s="101"/>
      <c r="H13" s="101"/>
      <c r="I13" s="454"/>
      <c r="J13" s="101"/>
      <c r="K13" s="101"/>
      <c r="L13" s="454"/>
      <c r="M13" s="101"/>
      <c r="N13" s="101"/>
      <c r="O13" s="454"/>
      <c r="P13" s="101"/>
      <c r="Q13" s="101"/>
      <c r="R13" s="454"/>
      <c r="S13" s="101"/>
      <c r="T13" s="101"/>
      <c r="U13" s="454"/>
      <c r="V13" s="101"/>
      <c r="W13" s="101"/>
      <c r="X13" s="454"/>
      <c r="Y13" s="101"/>
      <c r="Z13" s="101"/>
      <c r="AA13" s="454"/>
      <c r="AB13" s="101"/>
      <c r="AC13" s="101"/>
      <c r="AD13" s="454"/>
      <c r="AE13" s="101"/>
      <c r="AF13" s="101"/>
      <c r="AG13" s="454"/>
      <c r="AH13" s="101"/>
      <c r="AI13" s="101"/>
      <c r="AJ13" s="454"/>
      <c r="AK13" s="101"/>
      <c r="AL13" s="101"/>
      <c r="AM13" s="455">
        <f t="shared" si="0"/>
        <v>0</v>
      </c>
      <c r="AO13" s="426"/>
      <c r="AP13" s="426"/>
      <c r="AQ13" s="427">
        <v>0</v>
      </c>
    </row>
    <row r="14" spans="2:62" ht="20.100000000000001" customHeight="1" x14ac:dyDescent="0.15">
      <c r="B14" s="100" t="s">
        <v>317</v>
      </c>
      <c r="C14" s="454"/>
      <c r="D14" s="101"/>
      <c r="E14" s="101"/>
      <c r="F14" s="454"/>
      <c r="G14" s="101"/>
      <c r="H14" s="101"/>
      <c r="I14" s="454"/>
      <c r="J14" s="101"/>
      <c r="K14" s="101"/>
      <c r="L14" s="454"/>
      <c r="M14" s="101"/>
      <c r="N14" s="101"/>
      <c r="O14" s="454"/>
      <c r="P14" s="101"/>
      <c r="Q14" s="101"/>
      <c r="R14" s="454"/>
      <c r="S14" s="101"/>
      <c r="T14" s="101"/>
      <c r="U14" s="454"/>
      <c r="V14" s="101"/>
      <c r="W14" s="101"/>
      <c r="X14" s="454"/>
      <c r="Y14" s="101"/>
      <c r="Z14" s="101"/>
      <c r="AA14" s="454"/>
      <c r="AB14" s="101"/>
      <c r="AC14" s="101"/>
      <c r="AD14" s="454"/>
      <c r="AE14" s="101"/>
      <c r="AF14" s="101"/>
      <c r="AG14" s="454"/>
      <c r="AH14" s="101"/>
      <c r="AI14" s="101"/>
      <c r="AJ14" s="454"/>
      <c r="AK14" s="101"/>
      <c r="AL14" s="101"/>
      <c r="AM14" s="455">
        <f t="shared" si="0"/>
        <v>0</v>
      </c>
      <c r="AO14" s="426"/>
      <c r="AP14" s="426"/>
      <c r="AQ14" s="427">
        <v>0</v>
      </c>
    </row>
    <row r="15" spans="2:62" ht="20.100000000000001" customHeight="1" x14ac:dyDescent="0.15">
      <c r="B15" s="100" t="s">
        <v>318</v>
      </c>
      <c r="C15" s="454"/>
      <c r="D15" s="101"/>
      <c r="E15" s="101"/>
      <c r="F15" s="454"/>
      <c r="G15" s="101"/>
      <c r="H15" s="101"/>
      <c r="I15" s="454"/>
      <c r="J15" s="101"/>
      <c r="K15" s="101"/>
      <c r="L15" s="454"/>
      <c r="M15" s="101"/>
      <c r="N15" s="101"/>
      <c r="O15" s="454"/>
      <c r="P15" s="101"/>
      <c r="Q15" s="101"/>
      <c r="R15" s="454"/>
      <c r="S15" s="101"/>
      <c r="T15" s="101"/>
      <c r="U15" s="454"/>
      <c r="V15" s="101">
        <v>3.4</v>
      </c>
      <c r="W15" s="101"/>
      <c r="X15" s="454">
        <v>3.4</v>
      </c>
      <c r="Y15" s="101"/>
      <c r="Z15" s="101"/>
      <c r="AA15" s="454"/>
      <c r="AB15" s="101"/>
      <c r="AC15" s="101"/>
      <c r="AD15" s="454"/>
      <c r="AE15" s="101"/>
      <c r="AF15" s="101"/>
      <c r="AG15" s="454"/>
      <c r="AH15" s="101"/>
      <c r="AI15" s="101"/>
      <c r="AJ15" s="454"/>
      <c r="AK15" s="101"/>
      <c r="AL15" s="101"/>
      <c r="AM15" s="455">
        <f t="shared" si="0"/>
        <v>6.8</v>
      </c>
      <c r="AO15" s="426">
        <v>1.7</v>
      </c>
      <c r="AP15" s="426">
        <v>5.0999999999999996</v>
      </c>
      <c r="AQ15" s="427">
        <v>6.8</v>
      </c>
    </row>
    <row r="16" spans="2:62" ht="20.100000000000001" customHeight="1" x14ac:dyDescent="0.15">
      <c r="B16" s="100" t="s">
        <v>319</v>
      </c>
      <c r="C16" s="454"/>
      <c r="D16" s="101"/>
      <c r="E16" s="101"/>
      <c r="F16" s="454"/>
      <c r="G16" s="101"/>
      <c r="H16" s="101"/>
      <c r="I16" s="454"/>
      <c r="J16" s="101"/>
      <c r="K16" s="101"/>
      <c r="L16" s="454"/>
      <c r="M16" s="101"/>
      <c r="N16" s="101"/>
      <c r="O16" s="454"/>
      <c r="P16" s="101"/>
      <c r="Q16" s="101"/>
      <c r="R16" s="454"/>
      <c r="S16" s="101"/>
      <c r="T16" s="101"/>
      <c r="U16" s="454"/>
      <c r="V16" s="101"/>
      <c r="W16" s="101"/>
      <c r="X16" s="454"/>
      <c r="Y16" s="101"/>
      <c r="Z16" s="101"/>
      <c r="AA16" s="454">
        <v>10.3</v>
      </c>
      <c r="AB16" s="101">
        <v>10.4</v>
      </c>
      <c r="AC16" s="101"/>
      <c r="AD16" s="454"/>
      <c r="AE16" s="101"/>
      <c r="AF16" s="101"/>
      <c r="AG16" s="454"/>
      <c r="AH16" s="101"/>
      <c r="AI16" s="101"/>
      <c r="AJ16" s="454"/>
      <c r="AK16" s="101"/>
      <c r="AL16" s="101"/>
      <c r="AM16" s="455">
        <f t="shared" si="0"/>
        <v>20.700000000000003</v>
      </c>
      <c r="AO16" s="426">
        <v>6.9</v>
      </c>
      <c r="AP16" s="426">
        <v>13.8</v>
      </c>
      <c r="AQ16" s="427">
        <v>20.700000000000003</v>
      </c>
    </row>
    <row r="17" spans="2:43" ht="20.100000000000001" customHeight="1" x14ac:dyDescent="0.15">
      <c r="B17" s="100" t="s">
        <v>320</v>
      </c>
      <c r="C17" s="454"/>
      <c r="D17" s="101"/>
      <c r="E17" s="101"/>
      <c r="F17" s="454"/>
      <c r="G17" s="101"/>
      <c r="H17" s="101"/>
      <c r="I17" s="454"/>
      <c r="J17" s="101"/>
      <c r="K17" s="101"/>
      <c r="L17" s="454"/>
      <c r="M17" s="101"/>
      <c r="N17" s="101"/>
      <c r="O17" s="454"/>
      <c r="P17" s="101"/>
      <c r="Q17" s="101"/>
      <c r="R17" s="454"/>
      <c r="S17" s="101"/>
      <c r="T17" s="101"/>
      <c r="U17" s="454"/>
      <c r="V17" s="101"/>
      <c r="W17" s="101"/>
      <c r="X17" s="454"/>
      <c r="Y17" s="101"/>
      <c r="Z17" s="101"/>
      <c r="AA17" s="454">
        <v>4.7</v>
      </c>
      <c r="AB17" s="101">
        <v>4.8</v>
      </c>
      <c r="AC17" s="101"/>
      <c r="AD17" s="454"/>
      <c r="AE17" s="101"/>
      <c r="AF17" s="101"/>
      <c r="AG17" s="454"/>
      <c r="AH17" s="101"/>
      <c r="AI17" s="101"/>
      <c r="AJ17" s="454"/>
      <c r="AK17" s="101"/>
      <c r="AL17" s="101"/>
      <c r="AM17" s="455">
        <f t="shared" si="0"/>
        <v>9.5</v>
      </c>
      <c r="AO17" s="426"/>
      <c r="AP17" s="426">
        <v>9.5</v>
      </c>
      <c r="AQ17" s="427">
        <v>9.5</v>
      </c>
    </row>
    <row r="18" spans="2:43" ht="20.100000000000001" customHeight="1" x14ac:dyDescent="0.15">
      <c r="B18" s="100" t="s">
        <v>321</v>
      </c>
      <c r="C18" s="454"/>
      <c r="D18" s="101"/>
      <c r="E18" s="101"/>
      <c r="F18" s="454"/>
      <c r="G18" s="101"/>
      <c r="H18" s="101"/>
      <c r="I18" s="454"/>
      <c r="J18" s="101"/>
      <c r="K18" s="101"/>
      <c r="L18" s="454"/>
      <c r="M18" s="101"/>
      <c r="N18" s="101"/>
      <c r="O18" s="454"/>
      <c r="P18" s="101"/>
      <c r="Q18" s="101"/>
      <c r="R18" s="454"/>
      <c r="S18" s="101"/>
      <c r="T18" s="101"/>
      <c r="U18" s="454"/>
      <c r="V18" s="101"/>
      <c r="W18" s="101"/>
      <c r="X18" s="454"/>
      <c r="Y18" s="101"/>
      <c r="Z18" s="101"/>
      <c r="AA18" s="454"/>
      <c r="AB18" s="101"/>
      <c r="AC18" s="101"/>
      <c r="AD18" s="454"/>
      <c r="AE18" s="101"/>
      <c r="AF18" s="101"/>
      <c r="AG18" s="454">
        <v>1.2</v>
      </c>
      <c r="AH18" s="101">
        <v>1.2</v>
      </c>
      <c r="AI18" s="101"/>
      <c r="AJ18" s="454"/>
      <c r="AK18" s="101"/>
      <c r="AL18" s="101"/>
      <c r="AM18" s="455">
        <f t="shared" si="0"/>
        <v>2.4</v>
      </c>
      <c r="AO18" s="426">
        <v>1.2</v>
      </c>
      <c r="AP18" s="426">
        <v>1.2</v>
      </c>
      <c r="AQ18" s="427">
        <v>2.4</v>
      </c>
    </row>
    <row r="19" spans="2:43" ht="20.100000000000001" customHeight="1" x14ac:dyDescent="0.15">
      <c r="B19" s="100" t="s">
        <v>178</v>
      </c>
      <c r="C19" s="454"/>
      <c r="D19" s="101"/>
      <c r="E19" s="101"/>
      <c r="F19" s="454">
        <v>2</v>
      </c>
      <c r="G19" s="101"/>
      <c r="H19" s="101"/>
      <c r="I19" s="454"/>
      <c r="J19" s="101"/>
      <c r="K19" s="101"/>
      <c r="L19" s="454"/>
      <c r="M19" s="101"/>
      <c r="N19" s="101"/>
      <c r="O19" s="454"/>
      <c r="P19" s="101"/>
      <c r="Q19" s="101"/>
      <c r="R19" s="454"/>
      <c r="S19" s="101"/>
      <c r="T19" s="101"/>
      <c r="U19" s="454"/>
      <c r="V19" s="101"/>
      <c r="W19" s="101"/>
      <c r="X19" s="454"/>
      <c r="Y19" s="101"/>
      <c r="Z19" s="101"/>
      <c r="AA19" s="454"/>
      <c r="AB19" s="101"/>
      <c r="AC19" s="101"/>
      <c r="AD19" s="454"/>
      <c r="AE19" s="101"/>
      <c r="AF19" s="101"/>
      <c r="AG19" s="454"/>
      <c r="AH19" s="101"/>
      <c r="AI19" s="101"/>
      <c r="AJ19" s="454"/>
      <c r="AK19" s="101"/>
      <c r="AL19" s="101"/>
      <c r="AM19" s="455">
        <f t="shared" si="0"/>
        <v>2</v>
      </c>
      <c r="AO19" s="426"/>
      <c r="AP19" s="426">
        <v>2</v>
      </c>
      <c r="AQ19" s="427">
        <v>2</v>
      </c>
    </row>
    <row r="20" spans="2:43" ht="20.100000000000001" customHeight="1" x14ac:dyDescent="0.15">
      <c r="B20" s="100"/>
      <c r="C20" s="454"/>
      <c r="D20" s="101"/>
      <c r="E20" s="101"/>
      <c r="F20" s="454"/>
      <c r="G20" s="101"/>
      <c r="H20" s="101"/>
      <c r="I20" s="454"/>
      <c r="J20" s="101"/>
      <c r="K20" s="101"/>
      <c r="L20" s="454"/>
      <c r="M20" s="101"/>
      <c r="N20" s="101"/>
      <c r="O20" s="454"/>
      <c r="P20" s="101"/>
      <c r="Q20" s="101"/>
      <c r="R20" s="454"/>
      <c r="S20" s="101"/>
      <c r="T20" s="101"/>
      <c r="U20" s="454"/>
      <c r="V20" s="101"/>
      <c r="W20" s="101"/>
      <c r="X20" s="454"/>
      <c r="Y20" s="101"/>
      <c r="Z20" s="101"/>
      <c r="AA20" s="454"/>
      <c r="AB20" s="101"/>
      <c r="AC20" s="101"/>
      <c r="AD20" s="454"/>
      <c r="AE20" s="101"/>
      <c r="AF20" s="101"/>
      <c r="AG20" s="454"/>
      <c r="AH20" s="101"/>
      <c r="AI20" s="101"/>
      <c r="AJ20" s="454"/>
      <c r="AK20" s="101"/>
      <c r="AL20" s="101"/>
      <c r="AM20" s="455">
        <f t="shared" si="0"/>
        <v>0</v>
      </c>
      <c r="AO20" s="427"/>
      <c r="AP20" s="427"/>
      <c r="AQ20" s="427">
        <f t="shared" ref="AQ20:AQ33" si="1">SUM(AO20:AP20)</f>
        <v>0</v>
      </c>
    </row>
    <row r="21" spans="2:43" ht="20.100000000000001" customHeight="1" x14ac:dyDescent="0.15">
      <c r="B21" s="100"/>
      <c r="C21" s="454"/>
      <c r="D21" s="101"/>
      <c r="E21" s="101"/>
      <c r="F21" s="454"/>
      <c r="G21" s="101"/>
      <c r="H21" s="101"/>
      <c r="I21" s="454"/>
      <c r="J21" s="101"/>
      <c r="K21" s="101"/>
      <c r="L21" s="454"/>
      <c r="M21" s="101"/>
      <c r="N21" s="101"/>
      <c r="O21" s="454"/>
      <c r="P21" s="101"/>
      <c r="Q21" s="101"/>
      <c r="R21" s="454"/>
      <c r="S21" s="101"/>
      <c r="T21" s="101"/>
      <c r="U21" s="454"/>
      <c r="V21" s="101"/>
      <c r="W21" s="101"/>
      <c r="X21" s="454"/>
      <c r="Y21" s="101"/>
      <c r="Z21" s="101"/>
      <c r="AA21" s="454"/>
      <c r="AB21" s="101"/>
      <c r="AC21" s="101"/>
      <c r="AD21" s="454"/>
      <c r="AE21" s="101"/>
      <c r="AF21" s="101"/>
      <c r="AG21" s="454"/>
      <c r="AH21" s="101"/>
      <c r="AI21" s="101"/>
      <c r="AJ21" s="454"/>
      <c r="AK21" s="101"/>
      <c r="AL21" s="101"/>
      <c r="AM21" s="455">
        <f t="shared" si="0"/>
        <v>0</v>
      </c>
      <c r="AO21" s="427"/>
      <c r="AP21" s="427"/>
      <c r="AQ21" s="427">
        <f t="shared" si="1"/>
        <v>0</v>
      </c>
    </row>
    <row r="22" spans="2:43" ht="20.100000000000001" customHeight="1" x14ac:dyDescent="0.15">
      <c r="B22" s="100"/>
      <c r="C22" s="454"/>
      <c r="D22" s="101"/>
      <c r="E22" s="101"/>
      <c r="F22" s="454"/>
      <c r="G22" s="101"/>
      <c r="H22" s="101"/>
      <c r="I22" s="454"/>
      <c r="J22" s="101"/>
      <c r="K22" s="101"/>
      <c r="L22" s="454"/>
      <c r="M22" s="101"/>
      <c r="N22" s="101"/>
      <c r="O22" s="454"/>
      <c r="P22" s="101"/>
      <c r="Q22" s="101"/>
      <c r="R22" s="454"/>
      <c r="S22" s="101"/>
      <c r="T22" s="101"/>
      <c r="U22" s="454"/>
      <c r="V22" s="101"/>
      <c r="W22" s="101"/>
      <c r="X22" s="454"/>
      <c r="Y22" s="101"/>
      <c r="Z22" s="101"/>
      <c r="AA22" s="454"/>
      <c r="AB22" s="101"/>
      <c r="AC22" s="101"/>
      <c r="AD22" s="454"/>
      <c r="AE22" s="101"/>
      <c r="AF22" s="101"/>
      <c r="AG22" s="454"/>
      <c r="AH22" s="101"/>
      <c r="AI22" s="101"/>
      <c r="AJ22" s="454"/>
      <c r="AK22" s="101"/>
      <c r="AL22" s="101"/>
      <c r="AM22" s="455">
        <f t="shared" si="0"/>
        <v>0</v>
      </c>
      <c r="AO22" s="427"/>
      <c r="AP22" s="427"/>
      <c r="AQ22" s="427">
        <f t="shared" si="1"/>
        <v>0</v>
      </c>
    </row>
    <row r="23" spans="2:43" ht="20.100000000000001" customHeight="1" x14ac:dyDescent="0.15">
      <c r="B23" s="100"/>
      <c r="C23" s="454"/>
      <c r="D23" s="101"/>
      <c r="E23" s="101"/>
      <c r="F23" s="454"/>
      <c r="G23" s="101"/>
      <c r="H23" s="101"/>
      <c r="I23" s="454"/>
      <c r="J23" s="101"/>
      <c r="K23" s="101"/>
      <c r="L23" s="454"/>
      <c r="M23" s="101"/>
      <c r="N23" s="101"/>
      <c r="O23" s="454"/>
      <c r="P23" s="101"/>
      <c r="Q23" s="101"/>
      <c r="R23" s="454"/>
      <c r="S23" s="101"/>
      <c r="T23" s="101"/>
      <c r="U23" s="454"/>
      <c r="V23" s="101"/>
      <c r="W23" s="101"/>
      <c r="X23" s="454"/>
      <c r="Y23" s="101"/>
      <c r="Z23" s="101"/>
      <c r="AA23" s="454"/>
      <c r="AB23" s="101"/>
      <c r="AC23" s="101"/>
      <c r="AD23" s="454"/>
      <c r="AE23" s="101"/>
      <c r="AF23" s="101"/>
      <c r="AG23" s="454"/>
      <c r="AH23" s="101"/>
      <c r="AI23" s="101"/>
      <c r="AJ23" s="454"/>
      <c r="AK23" s="101"/>
      <c r="AL23" s="101"/>
      <c r="AM23" s="455">
        <f t="shared" si="0"/>
        <v>0</v>
      </c>
      <c r="AO23" s="427"/>
      <c r="AP23" s="427"/>
      <c r="AQ23" s="427">
        <f t="shared" si="1"/>
        <v>0</v>
      </c>
    </row>
    <row r="24" spans="2:43" ht="20.100000000000001" customHeight="1" x14ac:dyDescent="0.15">
      <c r="B24" s="100"/>
      <c r="C24" s="454"/>
      <c r="D24" s="101"/>
      <c r="E24" s="101"/>
      <c r="F24" s="454"/>
      <c r="G24" s="101"/>
      <c r="H24" s="101"/>
      <c r="I24" s="454"/>
      <c r="J24" s="101"/>
      <c r="K24" s="101"/>
      <c r="L24" s="454"/>
      <c r="M24" s="101"/>
      <c r="N24" s="101"/>
      <c r="O24" s="454"/>
      <c r="P24" s="101"/>
      <c r="Q24" s="101"/>
      <c r="R24" s="454"/>
      <c r="S24" s="101"/>
      <c r="T24" s="101"/>
      <c r="U24" s="454"/>
      <c r="V24" s="101"/>
      <c r="W24" s="101"/>
      <c r="X24" s="454"/>
      <c r="Y24" s="101"/>
      <c r="Z24" s="101"/>
      <c r="AA24" s="454"/>
      <c r="AB24" s="101"/>
      <c r="AC24" s="101"/>
      <c r="AD24" s="454"/>
      <c r="AE24" s="101"/>
      <c r="AF24" s="101"/>
      <c r="AG24" s="454"/>
      <c r="AH24" s="101"/>
      <c r="AI24" s="101"/>
      <c r="AJ24" s="454"/>
      <c r="AK24" s="101"/>
      <c r="AL24" s="101"/>
      <c r="AM24" s="455">
        <f t="shared" si="0"/>
        <v>0</v>
      </c>
      <c r="AO24" s="427"/>
      <c r="AP24" s="427"/>
      <c r="AQ24" s="427">
        <f t="shared" si="1"/>
        <v>0</v>
      </c>
    </row>
    <row r="25" spans="2:43" ht="20.100000000000001" customHeight="1" x14ac:dyDescent="0.15">
      <c r="B25" s="100"/>
      <c r="C25" s="454"/>
      <c r="D25" s="101"/>
      <c r="E25" s="101"/>
      <c r="F25" s="454"/>
      <c r="G25" s="101"/>
      <c r="H25" s="101"/>
      <c r="I25" s="454"/>
      <c r="J25" s="101"/>
      <c r="K25" s="101"/>
      <c r="L25" s="454"/>
      <c r="M25" s="101"/>
      <c r="N25" s="101"/>
      <c r="O25" s="454"/>
      <c r="P25" s="101"/>
      <c r="Q25" s="101"/>
      <c r="R25" s="454"/>
      <c r="S25" s="101"/>
      <c r="T25" s="101"/>
      <c r="U25" s="454"/>
      <c r="V25" s="101"/>
      <c r="W25" s="101"/>
      <c r="X25" s="454"/>
      <c r="Y25" s="101"/>
      <c r="Z25" s="101"/>
      <c r="AA25" s="454"/>
      <c r="AB25" s="101"/>
      <c r="AC25" s="101"/>
      <c r="AD25" s="454"/>
      <c r="AE25" s="101"/>
      <c r="AF25" s="101"/>
      <c r="AG25" s="454"/>
      <c r="AH25" s="101"/>
      <c r="AI25" s="101"/>
      <c r="AJ25" s="454"/>
      <c r="AK25" s="101"/>
      <c r="AL25" s="101"/>
      <c r="AM25" s="455">
        <f t="shared" si="0"/>
        <v>0</v>
      </c>
      <c r="AO25" s="427"/>
      <c r="AP25" s="427"/>
      <c r="AQ25" s="427">
        <f t="shared" si="1"/>
        <v>0</v>
      </c>
    </row>
    <row r="26" spans="2:43" ht="20.100000000000001" customHeight="1" x14ac:dyDescent="0.15">
      <c r="B26" s="100"/>
      <c r="C26" s="454"/>
      <c r="D26" s="101"/>
      <c r="E26" s="101"/>
      <c r="F26" s="454"/>
      <c r="G26" s="101"/>
      <c r="H26" s="101"/>
      <c r="I26" s="454"/>
      <c r="J26" s="101"/>
      <c r="K26" s="101"/>
      <c r="L26" s="454"/>
      <c r="M26" s="101"/>
      <c r="N26" s="101"/>
      <c r="O26" s="454"/>
      <c r="P26" s="101"/>
      <c r="Q26" s="101"/>
      <c r="R26" s="454"/>
      <c r="S26" s="101"/>
      <c r="T26" s="101"/>
      <c r="U26" s="454"/>
      <c r="V26" s="101"/>
      <c r="W26" s="101"/>
      <c r="X26" s="454"/>
      <c r="Y26" s="101"/>
      <c r="Z26" s="101"/>
      <c r="AA26" s="454"/>
      <c r="AB26" s="101"/>
      <c r="AC26" s="101"/>
      <c r="AD26" s="454"/>
      <c r="AE26" s="101"/>
      <c r="AF26" s="101"/>
      <c r="AG26" s="454"/>
      <c r="AH26" s="101"/>
      <c r="AI26" s="101"/>
      <c r="AJ26" s="454"/>
      <c r="AK26" s="101"/>
      <c r="AL26" s="101"/>
      <c r="AM26" s="455">
        <f t="shared" si="0"/>
        <v>0</v>
      </c>
      <c r="AO26" s="427"/>
      <c r="AP26" s="427"/>
      <c r="AQ26" s="427">
        <f t="shared" si="1"/>
        <v>0</v>
      </c>
    </row>
    <row r="27" spans="2:43" ht="20.100000000000001" customHeight="1" x14ac:dyDescent="0.15">
      <c r="B27" s="100"/>
      <c r="C27" s="454"/>
      <c r="D27" s="101"/>
      <c r="E27" s="101"/>
      <c r="F27" s="454"/>
      <c r="G27" s="101"/>
      <c r="H27" s="101"/>
      <c r="I27" s="454"/>
      <c r="J27" s="101"/>
      <c r="K27" s="101"/>
      <c r="L27" s="454"/>
      <c r="M27" s="101"/>
      <c r="N27" s="101"/>
      <c r="O27" s="454"/>
      <c r="P27" s="101"/>
      <c r="Q27" s="101"/>
      <c r="R27" s="454"/>
      <c r="S27" s="101"/>
      <c r="T27" s="101"/>
      <c r="U27" s="454"/>
      <c r="V27" s="101"/>
      <c r="W27" s="101"/>
      <c r="X27" s="454"/>
      <c r="Y27" s="101"/>
      <c r="Z27" s="101"/>
      <c r="AA27" s="454"/>
      <c r="AB27" s="101"/>
      <c r="AC27" s="101"/>
      <c r="AD27" s="454"/>
      <c r="AE27" s="101"/>
      <c r="AF27" s="101"/>
      <c r="AG27" s="454"/>
      <c r="AH27" s="101"/>
      <c r="AI27" s="101"/>
      <c r="AJ27" s="454"/>
      <c r="AK27" s="101"/>
      <c r="AL27" s="101"/>
      <c r="AM27" s="455">
        <f t="shared" si="0"/>
        <v>0</v>
      </c>
      <c r="AO27" s="427"/>
      <c r="AP27" s="427"/>
      <c r="AQ27" s="427">
        <f t="shared" si="1"/>
        <v>0</v>
      </c>
    </row>
    <row r="28" spans="2:43" ht="20.100000000000001" customHeight="1" x14ac:dyDescent="0.15">
      <c r="B28" s="100"/>
      <c r="C28" s="454"/>
      <c r="D28" s="101"/>
      <c r="E28" s="101"/>
      <c r="F28" s="454"/>
      <c r="G28" s="101"/>
      <c r="H28" s="101"/>
      <c r="I28" s="454"/>
      <c r="J28" s="101"/>
      <c r="K28" s="101"/>
      <c r="L28" s="454"/>
      <c r="M28" s="101"/>
      <c r="N28" s="101"/>
      <c r="O28" s="454"/>
      <c r="P28" s="101"/>
      <c r="Q28" s="101"/>
      <c r="R28" s="454"/>
      <c r="S28" s="101"/>
      <c r="T28" s="101"/>
      <c r="U28" s="454"/>
      <c r="V28" s="101"/>
      <c r="W28" s="101"/>
      <c r="X28" s="454"/>
      <c r="Y28" s="101"/>
      <c r="Z28" s="101"/>
      <c r="AA28" s="454"/>
      <c r="AB28" s="101"/>
      <c r="AC28" s="101"/>
      <c r="AD28" s="454"/>
      <c r="AE28" s="101"/>
      <c r="AF28" s="101"/>
      <c r="AG28" s="454"/>
      <c r="AH28" s="101"/>
      <c r="AI28" s="101"/>
      <c r="AJ28" s="454"/>
      <c r="AK28" s="101"/>
      <c r="AL28" s="101"/>
      <c r="AM28" s="455">
        <f t="shared" si="0"/>
        <v>0</v>
      </c>
      <c r="AO28" s="427"/>
      <c r="AP28" s="427"/>
      <c r="AQ28" s="427">
        <f t="shared" si="1"/>
        <v>0</v>
      </c>
    </row>
    <row r="29" spans="2:43" ht="20.100000000000001" customHeight="1" x14ac:dyDescent="0.15">
      <c r="B29" s="100"/>
      <c r="C29" s="454"/>
      <c r="D29" s="101"/>
      <c r="E29" s="101"/>
      <c r="F29" s="454"/>
      <c r="G29" s="101"/>
      <c r="H29" s="101"/>
      <c r="I29" s="454"/>
      <c r="J29" s="101"/>
      <c r="K29" s="101"/>
      <c r="L29" s="454"/>
      <c r="M29" s="101"/>
      <c r="N29" s="101"/>
      <c r="O29" s="454"/>
      <c r="P29" s="101"/>
      <c r="Q29" s="101"/>
      <c r="R29" s="454"/>
      <c r="S29" s="101"/>
      <c r="T29" s="101"/>
      <c r="U29" s="454"/>
      <c r="V29" s="101"/>
      <c r="W29" s="101"/>
      <c r="X29" s="454"/>
      <c r="Y29" s="101"/>
      <c r="Z29" s="101"/>
      <c r="AA29" s="454"/>
      <c r="AB29" s="101"/>
      <c r="AC29" s="101"/>
      <c r="AD29" s="454"/>
      <c r="AE29" s="101"/>
      <c r="AF29" s="101"/>
      <c r="AG29" s="454"/>
      <c r="AH29" s="101"/>
      <c r="AI29" s="101"/>
      <c r="AJ29" s="454"/>
      <c r="AK29" s="101"/>
      <c r="AL29" s="101"/>
      <c r="AM29" s="455">
        <f t="shared" si="0"/>
        <v>0</v>
      </c>
      <c r="AO29" s="427"/>
      <c r="AP29" s="427"/>
      <c r="AQ29" s="427">
        <f t="shared" si="1"/>
        <v>0</v>
      </c>
    </row>
    <row r="30" spans="2:43" ht="20.100000000000001" customHeight="1" x14ac:dyDescent="0.15">
      <c r="B30" s="100"/>
      <c r="C30" s="454"/>
      <c r="D30" s="101"/>
      <c r="E30" s="101"/>
      <c r="F30" s="454"/>
      <c r="G30" s="101"/>
      <c r="H30" s="101"/>
      <c r="I30" s="454"/>
      <c r="J30" s="101"/>
      <c r="K30" s="101"/>
      <c r="L30" s="454"/>
      <c r="M30" s="101"/>
      <c r="N30" s="101"/>
      <c r="O30" s="454"/>
      <c r="P30" s="101"/>
      <c r="Q30" s="101"/>
      <c r="R30" s="454"/>
      <c r="S30" s="101"/>
      <c r="T30" s="101"/>
      <c r="U30" s="454"/>
      <c r="V30" s="101"/>
      <c r="W30" s="101"/>
      <c r="X30" s="454"/>
      <c r="Y30" s="101"/>
      <c r="Z30" s="101"/>
      <c r="AA30" s="454"/>
      <c r="AB30" s="101"/>
      <c r="AC30" s="101"/>
      <c r="AD30" s="454"/>
      <c r="AE30" s="101"/>
      <c r="AF30" s="101"/>
      <c r="AG30" s="454"/>
      <c r="AH30" s="101"/>
      <c r="AI30" s="101"/>
      <c r="AJ30" s="454"/>
      <c r="AK30" s="101"/>
      <c r="AL30" s="101"/>
      <c r="AM30" s="455">
        <f t="shared" si="0"/>
        <v>0</v>
      </c>
      <c r="AO30" s="427"/>
      <c r="AP30" s="427"/>
      <c r="AQ30" s="427">
        <f t="shared" si="1"/>
        <v>0</v>
      </c>
    </row>
    <row r="31" spans="2:43" ht="20.100000000000001" customHeight="1" x14ac:dyDescent="0.15">
      <c r="B31" s="100"/>
      <c r="C31" s="454"/>
      <c r="D31" s="101"/>
      <c r="E31" s="101"/>
      <c r="F31" s="454"/>
      <c r="G31" s="101"/>
      <c r="H31" s="101"/>
      <c r="I31" s="454"/>
      <c r="J31" s="101"/>
      <c r="K31" s="101"/>
      <c r="L31" s="454"/>
      <c r="M31" s="101"/>
      <c r="N31" s="101"/>
      <c r="O31" s="454"/>
      <c r="P31" s="101"/>
      <c r="Q31" s="101"/>
      <c r="R31" s="454"/>
      <c r="S31" s="101"/>
      <c r="T31" s="101"/>
      <c r="U31" s="454"/>
      <c r="V31" s="101"/>
      <c r="W31" s="101"/>
      <c r="X31" s="454"/>
      <c r="Y31" s="101"/>
      <c r="Z31" s="101"/>
      <c r="AA31" s="454"/>
      <c r="AB31" s="101"/>
      <c r="AC31" s="101"/>
      <c r="AD31" s="454"/>
      <c r="AE31" s="101"/>
      <c r="AF31" s="101"/>
      <c r="AG31" s="454"/>
      <c r="AH31" s="101"/>
      <c r="AI31" s="101"/>
      <c r="AJ31" s="454"/>
      <c r="AK31" s="101"/>
      <c r="AL31" s="101"/>
      <c r="AM31" s="455">
        <f t="shared" si="0"/>
        <v>0</v>
      </c>
      <c r="AO31" s="427"/>
      <c r="AP31" s="427"/>
      <c r="AQ31" s="427">
        <f t="shared" si="1"/>
        <v>0</v>
      </c>
    </row>
    <row r="32" spans="2:43" ht="20.100000000000001" customHeight="1" x14ac:dyDescent="0.15">
      <c r="B32" s="100"/>
      <c r="C32" s="454"/>
      <c r="D32" s="101"/>
      <c r="E32" s="101"/>
      <c r="F32" s="454"/>
      <c r="G32" s="101"/>
      <c r="H32" s="101"/>
      <c r="I32" s="454"/>
      <c r="J32" s="101"/>
      <c r="K32" s="101"/>
      <c r="L32" s="454"/>
      <c r="M32" s="101"/>
      <c r="N32" s="101"/>
      <c r="O32" s="454"/>
      <c r="P32" s="101"/>
      <c r="Q32" s="101"/>
      <c r="R32" s="454"/>
      <c r="S32" s="101"/>
      <c r="T32" s="101"/>
      <c r="U32" s="454"/>
      <c r="V32" s="101"/>
      <c r="W32" s="101"/>
      <c r="X32" s="454"/>
      <c r="Y32" s="101"/>
      <c r="Z32" s="101"/>
      <c r="AA32" s="454"/>
      <c r="AB32" s="101"/>
      <c r="AC32" s="101"/>
      <c r="AD32" s="454"/>
      <c r="AE32" s="101"/>
      <c r="AF32" s="101"/>
      <c r="AG32" s="454"/>
      <c r="AH32" s="101"/>
      <c r="AI32" s="101"/>
      <c r="AJ32" s="454"/>
      <c r="AK32" s="101"/>
      <c r="AL32" s="101"/>
      <c r="AM32" s="455">
        <f t="shared" si="0"/>
        <v>0</v>
      </c>
      <c r="AO32" s="427"/>
      <c r="AP32" s="427"/>
      <c r="AQ32" s="427">
        <f t="shared" si="1"/>
        <v>0</v>
      </c>
    </row>
    <row r="33" spans="2:43" ht="20.100000000000001" customHeight="1" x14ac:dyDescent="0.15">
      <c r="B33" s="102" t="s">
        <v>134</v>
      </c>
      <c r="C33" s="454">
        <f t="shared" ref="C33:AL33" si="2">SUM(C8:C32)</f>
        <v>0</v>
      </c>
      <c r="D33" s="103">
        <f t="shared" si="2"/>
        <v>0</v>
      </c>
      <c r="E33" s="456">
        <f t="shared" si="2"/>
        <v>0</v>
      </c>
      <c r="F33" s="454">
        <f t="shared" si="2"/>
        <v>2</v>
      </c>
      <c r="G33" s="103">
        <f t="shared" si="2"/>
        <v>1.9</v>
      </c>
      <c r="H33" s="456">
        <f t="shared" si="2"/>
        <v>1.9</v>
      </c>
      <c r="I33" s="454">
        <f t="shared" si="2"/>
        <v>1.9</v>
      </c>
      <c r="J33" s="103">
        <f t="shared" si="2"/>
        <v>1.9</v>
      </c>
      <c r="K33" s="456">
        <f t="shared" si="2"/>
        <v>0</v>
      </c>
      <c r="L33" s="454">
        <f t="shared" si="2"/>
        <v>4.4000000000000004</v>
      </c>
      <c r="M33" s="103">
        <f t="shared" si="2"/>
        <v>7.8</v>
      </c>
      <c r="N33" s="456">
        <f t="shared" si="2"/>
        <v>7.8</v>
      </c>
      <c r="O33" s="454">
        <f t="shared" si="2"/>
        <v>11</v>
      </c>
      <c r="P33" s="103">
        <f t="shared" si="2"/>
        <v>8.8000000000000007</v>
      </c>
      <c r="Q33" s="456">
        <f t="shared" si="2"/>
        <v>0</v>
      </c>
      <c r="R33" s="454">
        <f t="shared" si="2"/>
        <v>0</v>
      </c>
      <c r="S33" s="103">
        <f t="shared" si="2"/>
        <v>0</v>
      </c>
      <c r="T33" s="456">
        <f t="shared" si="2"/>
        <v>0</v>
      </c>
      <c r="U33" s="454">
        <f t="shared" si="2"/>
        <v>0</v>
      </c>
      <c r="V33" s="103">
        <f t="shared" si="2"/>
        <v>3.4</v>
      </c>
      <c r="W33" s="456">
        <f t="shared" si="2"/>
        <v>0</v>
      </c>
      <c r="X33" s="454">
        <f t="shared" si="2"/>
        <v>3.4</v>
      </c>
      <c r="Y33" s="103">
        <f t="shared" si="2"/>
        <v>0</v>
      </c>
      <c r="Z33" s="456">
        <f t="shared" si="2"/>
        <v>0</v>
      </c>
      <c r="AA33" s="454">
        <f t="shared" si="2"/>
        <v>15</v>
      </c>
      <c r="AB33" s="103">
        <f t="shared" si="2"/>
        <v>15.2</v>
      </c>
      <c r="AC33" s="456">
        <f t="shared" si="2"/>
        <v>0</v>
      </c>
      <c r="AD33" s="454">
        <f t="shared" si="2"/>
        <v>0</v>
      </c>
      <c r="AE33" s="103">
        <f t="shared" si="2"/>
        <v>0</v>
      </c>
      <c r="AF33" s="456">
        <f t="shared" si="2"/>
        <v>0</v>
      </c>
      <c r="AG33" s="454">
        <f t="shared" si="2"/>
        <v>1.2</v>
      </c>
      <c r="AH33" s="103">
        <f t="shared" si="2"/>
        <v>3.5999999999999996</v>
      </c>
      <c r="AI33" s="456">
        <f t="shared" si="2"/>
        <v>2.4</v>
      </c>
      <c r="AJ33" s="454">
        <f t="shared" si="2"/>
        <v>2.2999999999999998</v>
      </c>
      <c r="AK33" s="103">
        <f t="shared" si="2"/>
        <v>0</v>
      </c>
      <c r="AL33" s="456">
        <f t="shared" si="2"/>
        <v>0</v>
      </c>
      <c r="AM33" s="455">
        <f t="shared" si="0"/>
        <v>95.9</v>
      </c>
      <c r="AO33" s="427"/>
      <c r="AP33" s="427"/>
      <c r="AQ33" s="427">
        <f t="shared" si="1"/>
        <v>0</v>
      </c>
    </row>
    <row r="34" spans="2:43" ht="20.100000000000001" customHeight="1" thickBot="1" x14ac:dyDescent="0.2">
      <c r="B34" s="104" t="s">
        <v>135</v>
      </c>
      <c r="C34" s="105"/>
      <c r="D34" s="106">
        <f>SUM(C33:E33)</f>
        <v>0</v>
      </c>
      <c r="E34" s="106"/>
      <c r="F34" s="105"/>
      <c r="G34" s="106">
        <f>SUM(F33:H33)</f>
        <v>5.8</v>
      </c>
      <c r="H34" s="106"/>
      <c r="I34" s="105"/>
      <c r="J34" s="106">
        <f>SUM(I33:K33)</f>
        <v>3.8</v>
      </c>
      <c r="K34" s="106"/>
      <c r="L34" s="105"/>
      <c r="M34" s="106">
        <f>SUM(L33:N33)</f>
        <v>20</v>
      </c>
      <c r="N34" s="106"/>
      <c r="O34" s="105"/>
      <c r="P34" s="106">
        <f>SUM(O33:Q33)</f>
        <v>19.8</v>
      </c>
      <c r="Q34" s="106"/>
      <c r="R34" s="105"/>
      <c r="S34" s="106">
        <f>SUM(R33:T33)</f>
        <v>0</v>
      </c>
      <c r="T34" s="106"/>
      <c r="U34" s="105"/>
      <c r="V34" s="106">
        <f>SUM(U33:W33)</f>
        <v>3.4</v>
      </c>
      <c r="W34" s="106"/>
      <c r="X34" s="105"/>
      <c r="Y34" s="106">
        <f>SUM(X33:Z33)</f>
        <v>3.4</v>
      </c>
      <c r="Z34" s="106"/>
      <c r="AA34" s="105"/>
      <c r="AB34" s="106">
        <f>SUM(AA33:AC33)</f>
        <v>30.2</v>
      </c>
      <c r="AC34" s="106"/>
      <c r="AD34" s="105"/>
      <c r="AE34" s="106">
        <f>SUM(AD33:AF33)</f>
        <v>0</v>
      </c>
      <c r="AF34" s="106"/>
      <c r="AG34" s="105"/>
      <c r="AH34" s="106">
        <f>SUM(AG33:AI33)</f>
        <v>7.1999999999999993</v>
      </c>
      <c r="AI34" s="106"/>
      <c r="AJ34" s="105"/>
      <c r="AK34" s="106">
        <f>SUM(AJ33:AL33)</f>
        <v>2.2999999999999998</v>
      </c>
      <c r="AL34" s="106"/>
      <c r="AM34" s="107">
        <f>SUM(AM8:AM32)</f>
        <v>95.9</v>
      </c>
      <c r="AO34" s="427">
        <f>SUM(AO8:AO32)</f>
        <v>33.900000000000006</v>
      </c>
      <c r="AP34" s="427">
        <f t="shared" ref="AP34" si="3">SUM(AP8:AP32)</f>
        <v>62</v>
      </c>
      <c r="AQ34" s="427">
        <f>SUM(AQ8:AQ33)</f>
        <v>95.9</v>
      </c>
    </row>
  </sheetData>
  <mergeCells count="18">
    <mergeCell ref="L2:M2"/>
    <mergeCell ref="AJ3:AL3"/>
    <mergeCell ref="AM3:AM4"/>
    <mergeCell ref="AD3:AF3"/>
    <mergeCell ref="AG3:AI3"/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O6:P6"/>
    <mergeCell ref="AA6:AB6"/>
  </mergeCells>
  <phoneticPr fontId="4"/>
  <pageMargins left="0" right="0" top="0.78740157480314965" bottom="0" header="0.39370078740157483" footer="0.39370078740157483"/>
  <pageSetup paperSize="9" scale="58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B1:BJ34"/>
  <sheetViews>
    <sheetView zoomScale="75" zoomScaleNormal="75" workbookViewId="0"/>
  </sheetViews>
  <sheetFormatPr defaultColWidth="9" defaultRowHeight="13.5" x14ac:dyDescent="0.15"/>
  <cols>
    <col min="1" max="1" width="1.625" style="85" customWidth="1"/>
    <col min="2" max="2" width="22.625" style="85" customWidth="1"/>
    <col min="3" max="38" width="6.125" style="85" customWidth="1"/>
    <col min="39" max="39" width="7" style="85" customWidth="1"/>
    <col min="40" max="40" width="1.5" style="85" customWidth="1"/>
    <col min="41" max="16384" width="9" style="85"/>
  </cols>
  <sheetData>
    <row r="1" spans="2:62" ht="9.9499999999999993" customHeight="1" x14ac:dyDescent="0.15"/>
    <row r="2" spans="2:62" ht="24.95" customHeight="1" thickBot="1" x14ac:dyDescent="0.2">
      <c r="B2" s="13" t="s">
        <v>136</v>
      </c>
      <c r="C2" s="13"/>
      <c r="D2" s="13"/>
      <c r="E2" s="13"/>
      <c r="F2" s="13"/>
      <c r="G2" s="13"/>
      <c r="H2" s="13"/>
      <c r="I2" s="13"/>
      <c r="J2" s="13"/>
      <c r="K2" s="335" t="s">
        <v>259</v>
      </c>
      <c r="L2" s="710" t="s">
        <v>444</v>
      </c>
      <c r="M2" s="710"/>
      <c r="N2" s="335" t="s">
        <v>260</v>
      </c>
      <c r="O2" s="109" t="s">
        <v>262</v>
      </c>
      <c r="P2" s="13"/>
      <c r="Q2" s="13"/>
      <c r="R2" s="13"/>
      <c r="S2" s="13"/>
      <c r="T2" s="13"/>
      <c r="U2" s="13"/>
      <c r="V2" s="87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</row>
    <row r="3" spans="2:62" ht="20.100000000000001" customHeight="1" x14ac:dyDescent="0.15">
      <c r="B3" s="719" t="s">
        <v>132</v>
      </c>
      <c r="C3" s="711">
        <v>1</v>
      </c>
      <c r="D3" s="712"/>
      <c r="E3" s="713"/>
      <c r="F3" s="711">
        <v>2</v>
      </c>
      <c r="G3" s="712"/>
      <c r="H3" s="713"/>
      <c r="I3" s="711">
        <v>3</v>
      </c>
      <c r="J3" s="712"/>
      <c r="K3" s="713"/>
      <c r="L3" s="711">
        <v>4</v>
      </c>
      <c r="M3" s="712"/>
      <c r="N3" s="713"/>
      <c r="O3" s="711">
        <v>5</v>
      </c>
      <c r="P3" s="712"/>
      <c r="Q3" s="713"/>
      <c r="R3" s="711">
        <v>6</v>
      </c>
      <c r="S3" s="712"/>
      <c r="T3" s="713"/>
      <c r="U3" s="711">
        <v>7</v>
      </c>
      <c r="V3" s="712"/>
      <c r="W3" s="713"/>
      <c r="X3" s="711">
        <v>8</v>
      </c>
      <c r="Y3" s="712"/>
      <c r="Z3" s="713"/>
      <c r="AA3" s="711">
        <v>9</v>
      </c>
      <c r="AB3" s="712"/>
      <c r="AC3" s="713"/>
      <c r="AD3" s="711">
        <v>10</v>
      </c>
      <c r="AE3" s="712"/>
      <c r="AF3" s="713"/>
      <c r="AG3" s="711">
        <v>11</v>
      </c>
      <c r="AH3" s="712"/>
      <c r="AI3" s="713"/>
      <c r="AJ3" s="711">
        <v>12</v>
      </c>
      <c r="AK3" s="712"/>
      <c r="AL3" s="713"/>
      <c r="AM3" s="714" t="s">
        <v>34</v>
      </c>
      <c r="AO3" s="85" t="s">
        <v>340</v>
      </c>
      <c r="AP3" s="85" t="s">
        <v>341</v>
      </c>
      <c r="AQ3" s="85" t="s">
        <v>25</v>
      </c>
    </row>
    <row r="4" spans="2:62" ht="20.100000000000001" customHeight="1" x14ac:dyDescent="0.15">
      <c r="B4" s="718"/>
      <c r="C4" s="91" t="s">
        <v>35</v>
      </c>
      <c r="D4" s="92" t="s">
        <v>36</v>
      </c>
      <c r="E4" s="93" t="s">
        <v>37</v>
      </c>
      <c r="F4" s="91" t="s">
        <v>35</v>
      </c>
      <c r="G4" s="93" t="s">
        <v>36</v>
      </c>
      <c r="H4" s="93" t="s">
        <v>37</v>
      </c>
      <c r="I4" s="91" t="s">
        <v>35</v>
      </c>
      <c r="J4" s="93" t="s">
        <v>36</v>
      </c>
      <c r="K4" s="93" t="s">
        <v>37</v>
      </c>
      <c r="L4" s="91" t="s">
        <v>35</v>
      </c>
      <c r="M4" s="93" t="s">
        <v>36</v>
      </c>
      <c r="N4" s="93" t="s">
        <v>37</v>
      </c>
      <c r="O4" s="91" t="s">
        <v>35</v>
      </c>
      <c r="P4" s="93" t="s">
        <v>36</v>
      </c>
      <c r="Q4" s="93" t="s">
        <v>37</v>
      </c>
      <c r="R4" s="91" t="s">
        <v>35</v>
      </c>
      <c r="S4" s="94" t="s">
        <v>36</v>
      </c>
      <c r="T4" s="94" t="s">
        <v>37</v>
      </c>
      <c r="U4" s="91" t="s">
        <v>35</v>
      </c>
      <c r="V4" s="93" t="s">
        <v>36</v>
      </c>
      <c r="W4" s="93" t="s">
        <v>37</v>
      </c>
      <c r="X4" s="91" t="s">
        <v>35</v>
      </c>
      <c r="Y4" s="93" t="s">
        <v>36</v>
      </c>
      <c r="Z4" s="93" t="s">
        <v>37</v>
      </c>
      <c r="AA4" s="91" t="s">
        <v>35</v>
      </c>
      <c r="AB4" s="93" t="s">
        <v>36</v>
      </c>
      <c r="AC4" s="93" t="s">
        <v>37</v>
      </c>
      <c r="AD4" s="91" t="s">
        <v>35</v>
      </c>
      <c r="AE4" s="93" t="s">
        <v>36</v>
      </c>
      <c r="AF4" s="93" t="s">
        <v>37</v>
      </c>
      <c r="AG4" s="91" t="s">
        <v>35</v>
      </c>
      <c r="AH4" s="93" t="s">
        <v>36</v>
      </c>
      <c r="AI4" s="93" t="s">
        <v>37</v>
      </c>
      <c r="AJ4" s="91" t="s">
        <v>35</v>
      </c>
      <c r="AK4" s="93" t="s">
        <v>36</v>
      </c>
      <c r="AL4" s="93" t="s">
        <v>37</v>
      </c>
      <c r="AM4" s="715"/>
    </row>
    <row r="5" spans="2:62" ht="20.100000000000001" customHeight="1" x14ac:dyDescent="0.15">
      <c r="B5" s="716" t="s">
        <v>133</v>
      </c>
      <c r="C5" s="95"/>
      <c r="D5" s="13"/>
      <c r="E5" s="13"/>
      <c r="F5" s="13"/>
      <c r="G5" s="13"/>
      <c r="H5" s="13"/>
      <c r="I5" s="13"/>
      <c r="J5" s="13"/>
      <c r="K5" s="13"/>
      <c r="L5" s="13"/>
      <c r="M5" s="13"/>
      <c r="N5" s="87"/>
      <c r="O5" s="87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96"/>
    </row>
    <row r="6" spans="2:62" ht="20.100000000000001" customHeight="1" x14ac:dyDescent="0.15">
      <c r="B6" s="717"/>
      <c r="C6" s="95"/>
      <c r="D6" s="13"/>
      <c r="E6" s="13"/>
      <c r="F6" s="13"/>
      <c r="G6" s="13"/>
      <c r="H6" s="13"/>
      <c r="I6" s="13"/>
      <c r="J6" s="13"/>
      <c r="K6" s="13"/>
      <c r="M6" s="13"/>
      <c r="N6" s="13"/>
      <c r="O6" s="2"/>
      <c r="P6" s="490" t="s">
        <v>437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2"/>
      <c r="AC6" s="720" t="s">
        <v>438</v>
      </c>
      <c r="AD6" s="721"/>
      <c r="AE6" s="13"/>
      <c r="AF6" s="13"/>
      <c r="AG6" s="13"/>
      <c r="AH6" s="13"/>
      <c r="AI6" s="13"/>
      <c r="AJ6" s="13"/>
      <c r="AK6" s="13"/>
      <c r="AL6" s="13"/>
      <c r="AM6" s="96"/>
    </row>
    <row r="7" spans="2:62" ht="20.100000000000001" customHeight="1" x14ac:dyDescent="0.15">
      <c r="B7" s="718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9"/>
    </row>
    <row r="8" spans="2:62" ht="20.100000000000001" customHeight="1" x14ac:dyDescent="0.15">
      <c r="B8" s="100" t="s">
        <v>312</v>
      </c>
      <c r="C8" s="454"/>
      <c r="D8" s="101"/>
      <c r="E8" s="101"/>
      <c r="F8" s="454"/>
      <c r="G8" s="101"/>
      <c r="H8" s="101"/>
      <c r="I8" s="454"/>
      <c r="J8" s="101"/>
      <c r="K8" s="101"/>
      <c r="L8" s="454"/>
      <c r="M8" s="101">
        <v>3.2</v>
      </c>
      <c r="N8" s="101"/>
      <c r="O8" s="454"/>
      <c r="P8" s="101"/>
      <c r="Q8" s="101"/>
      <c r="R8" s="454"/>
      <c r="S8" s="101"/>
      <c r="T8" s="101"/>
      <c r="U8" s="454"/>
      <c r="V8" s="101"/>
      <c r="W8" s="101"/>
      <c r="X8" s="454"/>
      <c r="Y8" s="101"/>
      <c r="Z8" s="101"/>
      <c r="AA8" s="454"/>
      <c r="AB8" s="101"/>
      <c r="AC8" s="101"/>
      <c r="AD8" s="454"/>
      <c r="AE8" s="101"/>
      <c r="AF8" s="101"/>
      <c r="AG8" s="454"/>
      <c r="AH8" s="101"/>
      <c r="AI8" s="101"/>
      <c r="AJ8" s="454"/>
      <c r="AK8" s="101"/>
      <c r="AL8" s="101"/>
      <c r="AM8" s="455">
        <f>SUM(C8:AL8)</f>
        <v>3.2</v>
      </c>
      <c r="AO8" s="426"/>
      <c r="AP8" s="426">
        <v>3.2</v>
      </c>
      <c r="AQ8" s="427">
        <v>3.2</v>
      </c>
    </row>
    <row r="9" spans="2:62" ht="20.100000000000001" customHeight="1" x14ac:dyDescent="0.15">
      <c r="B9" s="100" t="s">
        <v>313</v>
      </c>
      <c r="C9" s="454"/>
      <c r="D9" s="101"/>
      <c r="E9" s="101"/>
      <c r="F9" s="454"/>
      <c r="G9" s="101"/>
      <c r="H9" s="101"/>
      <c r="I9" s="454"/>
      <c r="J9" s="101"/>
      <c r="K9" s="101"/>
      <c r="L9" s="454"/>
      <c r="M9" s="101">
        <v>1.2</v>
      </c>
      <c r="N9" s="101">
        <v>5.3</v>
      </c>
      <c r="O9" s="454">
        <v>5.3</v>
      </c>
      <c r="P9" s="101">
        <v>2.2000000000000002</v>
      </c>
      <c r="Q9" s="101"/>
      <c r="R9" s="454"/>
      <c r="S9" s="101"/>
      <c r="T9" s="101"/>
      <c r="U9" s="454"/>
      <c r="V9" s="101"/>
      <c r="W9" s="101"/>
      <c r="X9" s="454"/>
      <c r="Y9" s="101"/>
      <c r="Z9" s="101"/>
      <c r="AA9" s="454"/>
      <c r="AB9" s="101"/>
      <c r="AC9" s="101"/>
      <c r="AD9" s="454"/>
      <c r="AE9" s="101"/>
      <c r="AF9" s="101"/>
      <c r="AG9" s="454"/>
      <c r="AH9" s="101"/>
      <c r="AI9" s="101"/>
      <c r="AJ9" s="454"/>
      <c r="AK9" s="101"/>
      <c r="AL9" s="101"/>
      <c r="AM9" s="455">
        <f t="shared" ref="AM9:AM33" si="0">SUM(C9:AL9)</f>
        <v>14</v>
      </c>
      <c r="AO9" s="426"/>
      <c r="AP9" s="426">
        <v>14</v>
      </c>
      <c r="AQ9" s="427">
        <v>14</v>
      </c>
    </row>
    <row r="10" spans="2:62" ht="20.100000000000001" customHeight="1" x14ac:dyDescent="0.15">
      <c r="B10" s="100" t="s">
        <v>314</v>
      </c>
      <c r="C10" s="454"/>
      <c r="D10" s="101"/>
      <c r="E10" s="101"/>
      <c r="F10" s="454"/>
      <c r="G10" s="101">
        <v>1.9</v>
      </c>
      <c r="H10" s="101">
        <v>1.9</v>
      </c>
      <c r="I10" s="454">
        <v>1.9</v>
      </c>
      <c r="J10" s="101">
        <v>1.9</v>
      </c>
      <c r="K10" s="101"/>
      <c r="L10" s="454"/>
      <c r="M10" s="101"/>
      <c r="N10" s="101"/>
      <c r="O10" s="454"/>
      <c r="P10" s="101"/>
      <c r="Q10" s="101"/>
      <c r="R10" s="454"/>
      <c r="S10" s="101"/>
      <c r="T10" s="101"/>
      <c r="U10" s="454"/>
      <c r="V10" s="101"/>
      <c r="W10" s="101"/>
      <c r="X10" s="454"/>
      <c r="Y10" s="101"/>
      <c r="Z10" s="101"/>
      <c r="AA10" s="454"/>
      <c r="AB10" s="101"/>
      <c r="AC10" s="101"/>
      <c r="AD10" s="454"/>
      <c r="AE10" s="101"/>
      <c r="AF10" s="101"/>
      <c r="AG10" s="454"/>
      <c r="AH10" s="101">
        <v>2.4</v>
      </c>
      <c r="AI10" s="101">
        <v>2.4</v>
      </c>
      <c r="AJ10" s="454">
        <v>2.2999999999999998</v>
      </c>
      <c r="AK10" s="101"/>
      <c r="AL10" s="101"/>
      <c r="AM10" s="455">
        <f t="shared" si="0"/>
        <v>14.7</v>
      </c>
      <c r="AO10" s="426">
        <v>14.7</v>
      </c>
      <c r="AP10" s="426"/>
      <c r="AQ10" s="427">
        <v>14.7</v>
      </c>
    </row>
    <row r="11" spans="2:62" ht="20.100000000000001" customHeight="1" x14ac:dyDescent="0.15">
      <c r="B11" s="100" t="s">
        <v>290</v>
      </c>
      <c r="C11" s="454"/>
      <c r="D11" s="101"/>
      <c r="E11" s="101"/>
      <c r="F11" s="454"/>
      <c r="G11" s="101"/>
      <c r="H11" s="101"/>
      <c r="I11" s="454"/>
      <c r="J11" s="101"/>
      <c r="K11" s="101"/>
      <c r="L11" s="454"/>
      <c r="M11" s="101">
        <v>2.5</v>
      </c>
      <c r="N11" s="101">
        <v>2.5</v>
      </c>
      <c r="O11" s="454"/>
      <c r="P11" s="101"/>
      <c r="Q11" s="101"/>
      <c r="R11" s="454"/>
      <c r="S11" s="101"/>
      <c r="T11" s="101"/>
      <c r="U11" s="454"/>
      <c r="V11" s="101"/>
      <c r="W11" s="101"/>
      <c r="X11" s="454"/>
      <c r="Y11" s="101"/>
      <c r="Z11" s="101"/>
      <c r="AA11" s="454"/>
      <c r="AB11" s="101"/>
      <c r="AC11" s="101"/>
      <c r="AD11" s="454"/>
      <c r="AE11" s="101"/>
      <c r="AF11" s="101"/>
      <c r="AG11" s="454"/>
      <c r="AH11" s="101"/>
      <c r="AI11" s="101"/>
      <c r="AJ11" s="454"/>
      <c r="AK11" s="101"/>
      <c r="AL11" s="101"/>
      <c r="AM11" s="455">
        <f t="shared" si="0"/>
        <v>5</v>
      </c>
      <c r="AO11" s="426">
        <v>5</v>
      </c>
      <c r="AP11" s="426"/>
      <c r="AQ11" s="427">
        <v>5</v>
      </c>
    </row>
    <row r="12" spans="2:62" ht="20.100000000000001" customHeight="1" x14ac:dyDescent="0.15">
      <c r="B12" s="100" t="s">
        <v>315</v>
      </c>
      <c r="C12" s="454"/>
      <c r="D12" s="101"/>
      <c r="E12" s="101"/>
      <c r="F12" s="454"/>
      <c r="G12" s="101"/>
      <c r="H12" s="101"/>
      <c r="I12" s="454"/>
      <c r="J12" s="101"/>
      <c r="K12" s="101"/>
      <c r="L12" s="454"/>
      <c r="M12" s="101"/>
      <c r="N12" s="101"/>
      <c r="O12" s="454"/>
      <c r="P12" s="101">
        <v>17.600000000000001</v>
      </c>
      <c r="Q12" s="101"/>
      <c r="R12" s="454"/>
      <c r="S12" s="101"/>
      <c r="T12" s="101"/>
      <c r="U12" s="454"/>
      <c r="V12" s="101"/>
      <c r="W12" s="101"/>
      <c r="X12" s="454"/>
      <c r="Y12" s="101"/>
      <c r="Z12" s="101"/>
      <c r="AA12" s="454"/>
      <c r="AB12" s="101"/>
      <c r="AC12" s="101"/>
      <c r="AD12" s="454"/>
      <c r="AE12" s="101"/>
      <c r="AF12" s="101"/>
      <c r="AG12" s="454"/>
      <c r="AH12" s="101"/>
      <c r="AI12" s="101"/>
      <c r="AJ12" s="454"/>
      <c r="AK12" s="101"/>
      <c r="AL12" s="101"/>
      <c r="AM12" s="455">
        <f t="shared" si="0"/>
        <v>17.600000000000001</v>
      </c>
      <c r="AO12" s="426">
        <v>4.4000000000000004</v>
      </c>
      <c r="AP12" s="426">
        <v>13.200000000000001</v>
      </c>
      <c r="AQ12" s="427">
        <v>17.600000000000001</v>
      </c>
    </row>
    <row r="13" spans="2:62" ht="20.100000000000001" customHeight="1" x14ac:dyDescent="0.15">
      <c r="B13" s="100" t="s">
        <v>316</v>
      </c>
      <c r="C13" s="454"/>
      <c r="D13" s="101"/>
      <c r="E13" s="101"/>
      <c r="F13" s="454"/>
      <c r="G13" s="101"/>
      <c r="H13" s="101"/>
      <c r="I13" s="454"/>
      <c r="J13" s="101"/>
      <c r="K13" s="101"/>
      <c r="L13" s="454"/>
      <c r="M13" s="101"/>
      <c r="N13" s="101"/>
      <c r="O13" s="454"/>
      <c r="P13" s="101"/>
      <c r="Q13" s="101"/>
      <c r="R13" s="454"/>
      <c r="S13" s="101"/>
      <c r="T13" s="101"/>
      <c r="U13" s="454"/>
      <c r="V13" s="101"/>
      <c r="W13" s="101"/>
      <c r="X13" s="454"/>
      <c r="Y13" s="101"/>
      <c r="Z13" s="101"/>
      <c r="AA13" s="454"/>
      <c r="AB13" s="101"/>
      <c r="AC13" s="101"/>
      <c r="AD13" s="454"/>
      <c r="AE13" s="101"/>
      <c r="AF13" s="101"/>
      <c r="AG13" s="454"/>
      <c r="AH13" s="101"/>
      <c r="AI13" s="101"/>
      <c r="AJ13" s="454"/>
      <c r="AK13" s="101"/>
      <c r="AL13" s="101"/>
      <c r="AM13" s="455">
        <f t="shared" si="0"/>
        <v>0</v>
      </c>
      <c r="AO13" s="426"/>
      <c r="AP13" s="426"/>
      <c r="AQ13" s="427">
        <v>0</v>
      </c>
    </row>
    <row r="14" spans="2:62" ht="20.100000000000001" customHeight="1" x14ac:dyDescent="0.15">
      <c r="B14" s="100" t="s">
        <v>317</v>
      </c>
      <c r="C14" s="454"/>
      <c r="D14" s="101"/>
      <c r="E14" s="101"/>
      <c r="F14" s="454"/>
      <c r="G14" s="101"/>
      <c r="H14" s="101"/>
      <c r="I14" s="454"/>
      <c r="J14" s="101"/>
      <c r="K14" s="101"/>
      <c r="L14" s="454"/>
      <c r="M14" s="101"/>
      <c r="N14" s="101"/>
      <c r="O14" s="454"/>
      <c r="P14" s="101"/>
      <c r="Q14" s="101"/>
      <c r="R14" s="454"/>
      <c r="S14" s="101"/>
      <c r="T14" s="101"/>
      <c r="U14" s="454"/>
      <c r="V14" s="101"/>
      <c r="W14" s="101"/>
      <c r="X14" s="454"/>
      <c r="Y14" s="101"/>
      <c r="Z14" s="101"/>
      <c r="AA14" s="454"/>
      <c r="AB14" s="101"/>
      <c r="AC14" s="101"/>
      <c r="AD14" s="454"/>
      <c r="AE14" s="101"/>
      <c r="AF14" s="101"/>
      <c r="AG14" s="454"/>
      <c r="AH14" s="101"/>
      <c r="AI14" s="101"/>
      <c r="AJ14" s="454"/>
      <c r="AK14" s="101"/>
      <c r="AL14" s="101"/>
      <c r="AM14" s="455">
        <f t="shared" si="0"/>
        <v>0</v>
      </c>
      <c r="AO14" s="426"/>
      <c r="AP14" s="426"/>
      <c r="AQ14" s="427">
        <v>0</v>
      </c>
    </row>
    <row r="15" spans="2:62" ht="20.100000000000001" customHeight="1" x14ac:dyDescent="0.15">
      <c r="B15" s="100" t="s">
        <v>318</v>
      </c>
      <c r="C15" s="454"/>
      <c r="D15" s="101"/>
      <c r="E15" s="101"/>
      <c r="F15" s="454"/>
      <c r="G15" s="101"/>
      <c r="H15" s="101"/>
      <c r="I15" s="454"/>
      <c r="J15" s="101"/>
      <c r="K15" s="101"/>
      <c r="L15" s="454"/>
      <c r="M15" s="101"/>
      <c r="N15" s="101"/>
      <c r="O15" s="454"/>
      <c r="P15" s="101"/>
      <c r="Q15" s="101"/>
      <c r="R15" s="454"/>
      <c r="S15" s="101"/>
      <c r="T15" s="101"/>
      <c r="U15" s="454"/>
      <c r="V15" s="101"/>
      <c r="W15" s="101">
        <v>3.4</v>
      </c>
      <c r="X15" s="454"/>
      <c r="Y15" s="101">
        <v>3.4</v>
      </c>
      <c r="Z15" s="101"/>
      <c r="AA15" s="454"/>
      <c r="AB15" s="101"/>
      <c r="AC15" s="101"/>
      <c r="AD15" s="454"/>
      <c r="AE15" s="101"/>
      <c r="AF15" s="101"/>
      <c r="AG15" s="454"/>
      <c r="AH15" s="101"/>
      <c r="AI15" s="101"/>
      <c r="AJ15" s="454"/>
      <c r="AK15" s="101"/>
      <c r="AL15" s="101"/>
      <c r="AM15" s="455">
        <f t="shared" si="0"/>
        <v>6.8</v>
      </c>
      <c r="AO15" s="426">
        <v>1.7</v>
      </c>
      <c r="AP15" s="426">
        <v>5.0999999999999996</v>
      </c>
      <c r="AQ15" s="427">
        <v>6.8</v>
      </c>
    </row>
    <row r="16" spans="2:62" ht="20.100000000000001" customHeight="1" x14ac:dyDescent="0.15">
      <c r="B16" s="100" t="s">
        <v>319</v>
      </c>
      <c r="C16" s="454"/>
      <c r="D16" s="101"/>
      <c r="E16" s="101"/>
      <c r="F16" s="454"/>
      <c r="G16" s="101"/>
      <c r="H16" s="101"/>
      <c r="I16" s="454"/>
      <c r="J16" s="101"/>
      <c r="K16" s="101"/>
      <c r="L16" s="454"/>
      <c r="M16" s="101"/>
      <c r="N16" s="101"/>
      <c r="O16" s="454"/>
      <c r="P16" s="101"/>
      <c r="Q16" s="101"/>
      <c r="R16" s="454"/>
      <c r="S16" s="101"/>
      <c r="T16" s="101"/>
      <c r="U16" s="454"/>
      <c r="V16" s="101"/>
      <c r="W16" s="101"/>
      <c r="X16" s="454"/>
      <c r="Y16" s="101"/>
      <c r="Z16" s="101"/>
      <c r="AA16" s="454"/>
      <c r="AB16" s="101"/>
      <c r="AC16" s="101">
        <v>10.3</v>
      </c>
      <c r="AD16" s="454">
        <v>10.4</v>
      </c>
      <c r="AE16" s="101"/>
      <c r="AF16" s="101"/>
      <c r="AG16" s="454"/>
      <c r="AH16" s="101"/>
      <c r="AI16" s="101"/>
      <c r="AJ16" s="454"/>
      <c r="AK16" s="101"/>
      <c r="AL16" s="101"/>
      <c r="AM16" s="455">
        <f t="shared" si="0"/>
        <v>20.700000000000003</v>
      </c>
      <c r="AO16" s="426">
        <v>6.9</v>
      </c>
      <c r="AP16" s="426">
        <v>13.8</v>
      </c>
      <c r="AQ16" s="427">
        <v>20.700000000000003</v>
      </c>
    </row>
    <row r="17" spans="2:43" ht="20.100000000000001" customHeight="1" x14ac:dyDescent="0.15">
      <c r="B17" s="100" t="s">
        <v>320</v>
      </c>
      <c r="C17" s="454"/>
      <c r="D17" s="101"/>
      <c r="E17" s="101"/>
      <c r="F17" s="454"/>
      <c r="G17" s="101"/>
      <c r="H17" s="101"/>
      <c r="I17" s="454"/>
      <c r="J17" s="101"/>
      <c r="K17" s="101"/>
      <c r="L17" s="454"/>
      <c r="M17" s="101"/>
      <c r="N17" s="101"/>
      <c r="O17" s="454"/>
      <c r="P17" s="101"/>
      <c r="Q17" s="101"/>
      <c r="R17" s="454"/>
      <c r="S17" s="101"/>
      <c r="T17" s="101"/>
      <c r="U17" s="454"/>
      <c r="V17" s="101"/>
      <c r="W17" s="101"/>
      <c r="X17" s="454"/>
      <c r="Y17" s="101"/>
      <c r="Z17" s="101"/>
      <c r="AA17" s="454"/>
      <c r="AB17" s="101"/>
      <c r="AC17" s="101">
        <v>4.7</v>
      </c>
      <c r="AD17" s="454">
        <v>4.8</v>
      </c>
      <c r="AE17" s="101"/>
      <c r="AF17" s="101"/>
      <c r="AG17" s="454"/>
      <c r="AH17" s="101"/>
      <c r="AI17" s="101"/>
      <c r="AJ17" s="454"/>
      <c r="AK17" s="101"/>
      <c r="AL17" s="101"/>
      <c r="AM17" s="455">
        <f t="shared" si="0"/>
        <v>9.5</v>
      </c>
      <c r="AO17" s="426"/>
      <c r="AP17" s="426">
        <v>9.5</v>
      </c>
      <c r="AQ17" s="427">
        <v>9.5</v>
      </c>
    </row>
    <row r="18" spans="2:43" ht="20.100000000000001" customHeight="1" x14ac:dyDescent="0.15">
      <c r="B18" s="100" t="s">
        <v>321</v>
      </c>
      <c r="C18" s="454"/>
      <c r="D18" s="101"/>
      <c r="E18" s="101"/>
      <c r="F18" s="454"/>
      <c r="G18" s="101"/>
      <c r="H18" s="101"/>
      <c r="I18" s="454"/>
      <c r="J18" s="101"/>
      <c r="K18" s="101"/>
      <c r="L18" s="454"/>
      <c r="M18" s="101"/>
      <c r="N18" s="101"/>
      <c r="O18" s="454"/>
      <c r="P18" s="101"/>
      <c r="Q18" s="101"/>
      <c r="R18" s="454"/>
      <c r="S18" s="101"/>
      <c r="T18" s="101"/>
      <c r="U18" s="454"/>
      <c r="V18" s="101"/>
      <c r="W18" s="101"/>
      <c r="X18" s="454"/>
      <c r="Y18" s="101"/>
      <c r="Z18" s="101"/>
      <c r="AA18" s="454"/>
      <c r="AB18" s="101"/>
      <c r="AC18" s="101"/>
      <c r="AD18" s="454"/>
      <c r="AE18" s="101"/>
      <c r="AF18" s="101"/>
      <c r="AG18" s="454">
        <v>1.2</v>
      </c>
      <c r="AH18" s="101">
        <v>1.2</v>
      </c>
      <c r="AI18" s="101"/>
      <c r="AJ18" s="454"/>
      <c r="AK18" s="101"/>
      <c r="AL18" s="101"/>
      <c r="AM18" s="455">
        <f t="shared" si="0"/>
        <v>2.4</v>
      </c>
      <c r="AO18" s="426">
        <v>1.2</v>
      </c>
      <c r="AP18" s="426">
        <v>1.2</v>
      </c>
      <c r="AQ18" s="427">
        <v>2.4</v>
      </c>
    </row>
    <row r="19" spans="2:43" ht="20.100000000000001" customHeight="1" x14ac:dyDescent="0.15">
      <c r="B19" s="100" t="s">
        <v>178</v>
      </c>
      <c r="C19" s="454"/>
      <c r="D19" s="101"/>
      <c r="E19" s="101"/>
      <c r="F19" s="454">
        <v>2</v>
      </c>
      <c r="G19" s="101"/>
      <c r="H19" s="101"/>
      <c r="I19" s="454"/>
      <c r="J19" s="101"/>
      <c r="K19" s="101"/>
      <c r="L19" s="454"/>
      <c r="M19" s="101"/>
      <c r="N19" s="101"/>
      <c r="O19" s="454"/>
      <c r="P19" s="101"/>
      <c r="Q19" s="101"/>
      <c r="R19" s="454"/>
      <c r="S19" s="101"/>
      <c r="T19" s="101"/>
      <c r="U19" s="454"/>
      <c r="V19" s="101"/>
      <c r="W19" s="101"/>
      <c r="X19" s="454"/>
      <c r="Y19" s="101"/>
      <c r="Z19" s="101"/>
      <c r="AA19" s="454"/>
      <c r="AB19" s="101"/>
      <c r="AC19" s="101"/>
      <c r="AD19" s="454"/>
      <c r="AE19" s="101"/>
      <c r="AF19" s="101"/>
      <c r="AG19" s="454"/>
      <c r="AH19" s="101"/>
      <c r="AI19" s="101"/>
      <c r="AJ19" s="454"/>
      <c r="AK19" s="101"/>
      <c r="AL19" s="101"/>
      <c r="AM19" s="455">
        <f t="shared" si="0"/>
        <v>2</v>
      </c>
      <c r="AO19" s="426"/>
      <c r="AP19" s="426">
        <v>2</v>
      </c>
      <c r="AQ19" s="427">
        <v>2</v>
      </c>
    </row>
    <row r="20" spans="2:43" ht="20.100000000000001" customHeight="1" x14ac:dyDescent="0.15">
      <c r="B20" s="100"/>
      <c r="C20" s="454"/>
      <c r="D20" s="101"/>
      <c r="E20" s="101"/>
      <c r="F20" s="454"/>
      <c r="G20" s="101"/>
      <c r="H20" s="101"/>
      <c r="I20" s="454"/>
      <c r="J20" s="101"/>
      <c r="K20" s="101"/>
      <c r="L20" s="454"/>
      <c r="M20" s="101"/>
      <c r="N20" s="101"/>
      <c r="O20" s="454"/>
      <c r="P20" s="101"/>
      <c r="Q20" s="101"/>
      <c r="R20" s="454"/>
      <c r="S20" s="101"/>
      <c r="T20" s="101"/>
      <c r="U20" s="454"/>
      <c r="V20" s="101"/>
      <c r="W20" s="101"/>
      <c r="X20" s="454"/>
      <c r="Y20" s="101"/>
      <c r="Z20" s="101"/>
      <c r="AA20" s="454"/>
      <c r="AB20" s="101"/>
      <c r="AC20" s="101"/>
      <c r="AD20" s="454"/>
      <c r="AE20" s="101"/>
      <c r="AF20" s="101"/>
      <c r="AG20" s="454"/>
      <c r="AH20" s="101"/>
      <c r="AI20" s="101"/>
      <c r="AJ20" s="454"/>
      <c r="AK20" s="101"/>
      <c r="AL20" s="101"/>
      <c r="AM20" s="455">
        <f t="shared" si="0"/>
        <v>0</v>
      </c>
      <c r="AO20" s="427"/>
      <c r="AP20" s="427"/>
      <c r="AQ20" s="427">
        <f t="shared" ref="AQ20:AQ33" si="1">SUM(AO20:AP20)</f>
        <v>0</v>
      </c>
    </row>
    <row r="21" spans="2:43" ht="20.100000000000001" customHeight="1" x14ac:dyDescent="0.15">
      <c r="B21" s="100"/>
      <c r="C21" s="454"/>
      <c r="D21" s="101"/>
      <c r="E21" s="101"/>
      <c r="F21" s="454"/>
      <c r="G21" s="101"/>
      <c r="H21" s="101"/>
      <c r="I21" s="454"/>
      <c r="J21" s="101"/>
      <c r="K21" s="101"/>
      <c r="L21" s="454"/>
      <c r="M21" s="101"/>
      <c r="N21" s="101"/>
      <c r="O21" s="454"/>
      <c r="P21" s="101"/>
      <c r="Q21" s="101"/>
      <c r="R21" s="454"/>
      <c r="S21" s="101"/>
      <c r="T21" s="101"/>
      <c r="U21" s="454"/>
      <c r="V21" s="101"/>
      <c r="W21" s="101"/>
      <c r="X21" s="454"/>
      <c r="Y21" s="101"/>
      <c r="Z21" s="101"/>
      <c r="AA21" s="454"/>
      <c r="AB21" s="101"/>
      <c r="AC21" s="101"/>
      <c r="AD21" s="454"/>
      <c r="AE21" s="101"/>
      <c r="AF21" s="101"/>
      <c r="AG21" s="454"/>
      <c r="AH21" s="101"/>
      <c r="AI21" s="101"/>
      <c r="AJ21" s="454"/>
      <c r="AK21" s="101"/>
      <c r="AL21" s="101"/>
      <c r="AM21" s="455">
        <f t="shared" si="0"/>
        <v>0</v>
      </c>
      <c r="AO21" s="427"/>
      <c r="AP21" s="427"/>
      <c r="AQ21" s="427">
        <f t="shared" si="1"/>
        <v>0</v>
      </c>
    </row>
    <row r="22" spans="2:43" ht="20.100000000000001" customHeight="1" x14ac:dyDescent="0.15">
      <c r="B22" s="100"/>
      <c r="C22" s="454"/>
      <c r="D22" s="101"/>
      <c r="E22" s="101"/>
      <c r="F22" s="454"/>
      <c r="G22" s="101"/>
      <c r="H22" s="101"/>
      <c r="I22" s="454"/>
      <c r="J22" s="101"/>
      <c r="K22" s="101"/>
      <c r="L22" s="454"/>
      <c r="M22" s="101"/>
      <c r="N22" s="101"/>
      <c r="O22" s="454"/>
      <c r="P22" s="101"/>
      <c r="Q22" s="101"/>
      <c r="R22" s="454"/>
      <c r="S22" s="101"/>
      <c r="T22" s="101"/>
      <c r="U22" s="454"/>
      <c r="V22" s="101"/>
      <c r="W22" s="101"/>
      <c r="X22" s="454"/>
      <c r="Y22" s="101"/>
      <c r="Z22" s="101"/>
      <c r="AA22" s="454"/>
      <c r="AB22" s="101"/>
      <c r="AC22" s="101"/>
      <c r="AD22" s="454"/>
      <c r="AE22" s="101"/>
      <c r="AF22" s="101"/>
      <c r="AG22" s="454"/>
      <c r="AH22" s="101"/>
      <c r="AI22" s="101"/>
      <c r="AJ22" s="454"/>
      <c r="AK22" s="101"/>
      <c r="AL22" s="101"/>
      <c r="AM22" s="455">
        <f t="shared" si="0"/>
        <v>0</v>
      </c>
      <c r="AO22" s="427"/>
      <c r="AP22" s="427"/>
      <c r="AQ22" s="427">
        <f t="shared" si="1"/>
        <v>0</v>
      </c>
    </row>
    <row r="23" spans="2:43" ht="20.100000000000001" customHeight="1" x14ac:dyDescent="0.15">
      <c r="B23" s="100"/>
      <c r="C23" s="454"/>
      <c r="D23" s="101"/>
      <c r="E23" s="101"/>
      <c r="F23" s="454"/>
      <c r="G23" s="101"/>
      <c r="H23" s="101"/>
      <c r="I23" s="454"/>
      <c r="J23" s="101"/>
      <c r="K23" s="101"/>
      <c r="L23" s="454"/>
      <c r="M23" s="101"/>
      <c r="N23" s="101"/>
      <c r="O23" s="454"/>
      <c r="P23" s="101"/>
      <c r="Q23" s="101"/>
      <c r="R23" s="454"/>
      <c r="S23" s="101"/>
      <c r="T23" s="101"/>
      <c r="U23" s="454"/>
      <c r="V23" s="101"/>
      <c r="W23" s="101"/>
      <c r="X23" s="454"/>
      <c r="Y23" s="101"/>
      <c r="Z23" s="101"/>
      <c r="AA23" s="454"/>
      <c r="AB23" s="101"/>
      <c r="AC23" s="101"/>
      <c r="AD23" s="454"/>
      <c r="AE23" s="101"/>
      <c r="AF23" s="101"/>
      <c r="AG23" s="454"/>
      <c r="AH23" s="101"/>
      <c r="AI23" s="101"/>
      <c r="AJ23" s="454"/>
      <c r="AK23" s="101"/>
      <c r="AL23" s="101"/>
      <c r="AM23" s="455">
        <f t="shared" si="0"/>
        <v>0</v>
      </c>
      <c r="AO23" s="427"/>
      <c r="AP23" s="427"/>
      <c r="AQ23" s="427">
        <f t="shared" si="1"/>
        <v>0</v>
      </c>
    </row>
    <row r="24" spans="2:43" ht="20.100000000000001" customHeight="1" x14ac:dyDescent="0.15">
      <c r="B24" s="100"/>
      <c r="C24" s="454"/>
      <c r="D24" s="101"/>
      <c r="E24" s="101"/>
      <c r="F24" s="454"/>
      <c r="G24" s="101"/>
      <c r="H24" s="101"/>
      <c r="I24" s="454"/>
      <c r="J24" s="101"/>
      <c r="K24" s="101"/>
      <c r="L24" s="454"/>
      <c r="M24" s="101"/>
      <c r="N24" s="101"/>
      <c r="O24" s="454"/>
      <c r="P24" s="101"/>
      <c r="Q24" s="101"/>
      <c r="R24" s="454"/>
      <c r="S24" s="101"/>
      <c r="T24" s="101"/>
      <c r="U24" s="454"/>
      <c r="V24" s="101"/>
      <c r="W24" s="101"/>
      <c r="X24" s="454"/>
      <c r="Y24" s="101"/>
      <c r="Z24" s="101"/>
      <c r="AA24" s="454"/>
      <c r="AB24" s="101"/>
      <c r="AC24" s="101"/>
      <c r="AD24" s="454"/>
      <c r="AE24" s="101"/>
      <c r="AF24" s="101"/>
      <c r="AG24" s="454"/>
      <c r="AH24" s="101"/>
      <c r="AI24" s="101"/>
      <c r="AJ24" s="454"/>
      <c r="AK24" s="101"/>
      <c r="AL24" s="101"/>
      <c r="AM24" s="455">
        <f t="shared" si="0"/>
        <v>0</v>
      </c>
      <c r="AO24" s="427"/>
      <c r="AP24" s="427"/>
      <c r="AQ24" s="427">
        <f t="shared" si="1"/>
        <v>0</v>
      </c>
    </row>
    <row r="25" spans="2:43" ht="20.100000000000001" customHeight="1" x14ac:dyDescent="0.15">
      <c r="B25" s="100"/>
      <c r="C25" s="454"/>
      <c r="D25" s="101"/>
      <c r="E25" s="101"/>
      <c r="F25" s="454"/>
      <c r="G25" s="101"/>
      <c r="H25" s="101"/>
      <c r="I25" s="454"/>
      <c r="J25" s="101"/>
      <c r="K25" s="101"/>
      <c r="L25" s="454"/>
      <c r="M25" s="101"/>
      <c r="N25" s="101"/>
      <c r="O25" s="454"/>
      <c r="P25" s="101"/>
      <c r="Q25" s="101"/>
      <c r="R25" s="454"/>
      <c r="S25" s="101"/>
      <c r="T25" s="101"/>
      <c r="U25" s="454"/>
      <c r="V25" s="101"/>
      <c r="W25" s="101"/>
      <c r="X25" s="454"/>
      <c r="Y25" s="101"/>
      <c r="Z25" s="101"/>
      <c r="AA25" s="454"/>
      <c r="AB25" s="101"/>
      <c r="AC25" s="101"/>
      <c r="AD25" s="454"/>
      <c r="AE25" s="101"/>
      <c r="AF25" s="101"/>
      <c r="AG25" s="454"/>
      <c r="AH25" s="101"/>
      <c r="AI25" s="101"/>
      <c r="AJ25" s="454"/>
      <c r="AK25" s="101"/>
      <c r="AL25" s="101"/>
      <c r="AM25" s="455">
        <f t="shared" si="0"/>
        <v>0</v>
      </c>
      <c r="AO25" s="427"/>
      <c r="AP25" s="427"/>
      <c r="AQ25" s="427">
        <f t="shared" si="1"/>
        <v>0</v>
      </c>
    </row>
    <row r="26" spans="2:43" ht="20.100000000000001" customHeight="1" x14ac:dyDescent="0.15">
      <c r="B26" s="100"/>
      <c r="C26" s="454"/>
      <c r="D26" s="101"/>
      <c r="E26" s="101"/>
      <c r="F26" s="454"/>
      <c r="G26" s="101"/>
      <c r="H26" s="101"/>
      <c r="I26" s="454"/>
      <c r="J26" s="101"/>
      <c r="K26" s="101"/>
      <c r="L26" s="454"/>
      <c r="M26" s="101"/>
      <c r="N26" s="101"/>
      <c r="O26" s="454"/>
      <c r="P26" s="101"/>
      <c r="Q26" s="101"/>
      <c r="R26" s="454"/>
      <c r="S26" s="101"/>
      <c r="T26" s="101"/>
      <c r="U26" s="454"/>
      <c r="V26" s="101"/>
      <c r="W26" s="101"/>
      <c r="X26" s="454"/>
      <c r="Y26" s="101"/>
      <c r="Z26" s="101"/>
      <c r="AA26" s="454"/>
      <c r="AB26" s="101"/>
      <c r="AC26" s="101"/>
      <c r="AD26" s="454"/>
      <c r="AE26" s="101"/>
      <c r="AF26" s="101"/>
      <c r="AG26" s="454"/>
      <c r="AH26" s="101"/>
      <c r="AI26" s="101"/>
      <c r="AJ26" s="454"/>
      <c r="AK26" s="101"/>
      <c r="AL26" s="101"/>
      <c r="AM26" s="455">
        <f t="shared" si="0"/>
        <v>0</v>
      </c>
      <c r="AO26" s="427"/>
      <c r="AP26" s="427"/>
      <c r="AQ26" s="427">
        <f t="shared" si="1"/>
        <v>0</v>
      </c>
    </row>
    <row r="27" spans="2:43" ht="20.100000000000001" customHeight="1" x14ac:dyDescent="0.15">
      <c r="B27" s="100"/>
      <c r="C27" s="454"/>
      <c r="D27" s="101"/>
      <c r="E27" s="101"/>
      <c r="F27" s="454"/>
      <c r="G27" s="101"/>
      <c r="H27" s="101"/>
      <c r="I27" s="454"/>
      <c r="J27" s="101"/>
      <c r="K27" s="101"/>
      <c r="L27" s="454"/>
      <c r="M27" s="101"/>
      <c r="N27" s="101"/>
      <c r="O27" s="454"/>
      <c r="P27" s="101"/>
      <c r="Q27" s="101"/>
      <c r="R27" s="454"/>
      <c r="S27" s="101"/>
      <c r="T27" s="101"/>
      <c r="U27" s="454"/>
      <c r="V27" s="101"/>
      <c r="W27" s="101"/>
      <c r="X27" s="454"/>
      <c r="Y27" s="101"/>
      <c r="Z27" s="101"/>
      <c r="AA27" s="454"/>
      <c r="AB27" s="101"/>
      <c r="AC27" s="101"/>
      <c r="AD27" s="454"/>
      <c r="AE27" s="101"/>
      <c r="AF27" s="101"/>
      <c r="AG27" s="454"/>
      <c r="AH27" s="101"/>
      <c r="AI27" s="101"/>
      <c r="AJ27" s="454"/>
      <c r="AK27" s="101"/>
      <c r="AL27" s="101"/>
      <c r="AM27" s="455">
        <f t="shared" si="0"/>
        <v>0</v>
      </c>
      <c r="AO27" s="427"/>
      <c r="AP27" s="427"/>
      <c r="AQ27" s="427">
        <f t="shared" si="1"/>
        <v>0</v>
      </c>
    </row>
    <row r="28" spans="2:43" ht="20.100000000000001" customHeight="1" x14ac:dyDescent="0.15">
      <c r="B28" s="100"/>
      <c r="C28" s="454"/>
      <c r="D28" s="101"/>
      <c r="E28" s="101"/>
      <c r="F28" s="454"/>
      <c r="G28" s="101"/>
      <c r="H28" s="101"/>
      <c r="I28" s="454"/>
      <c r="J28" s="101"/>
      <c r="K28" s="101"/>
      <c r="L28" s="454"/>
      <c r="M28" s="101"/>
      <c r="N28" s="101"/>
      <c r="O28" s="454"/>
      <c r="P28" s="101"/>
      <c r="Q28" s="101"/>
      <c r="R28" s="454"/>
      <c r="S28" s="101"/>
      <c r="T28" s="101"/>
      <c r="U28" s="454"/>
      <c r="V28" s="101"/>
      <c r="W28" s="101"/>
      <c r="X28" s="454"/>
      <c r="Y28" s="101"/>
      <c r="Z28" s="101"/>
      <c r="AA28" s="454"/>
      <c r="AB28" s="101"/>
      <c r="AC28" s="101"/>
      <c r="AD28" s="454"/>
      <c r="AE28" s="101"/>
      <c r="AF28" s="101"/>
      <c r="AG28" s="454"/>
      <c r="AH28" s="101"/>
      <c r="AI28" s="101"/>
      <c r="AJ28" s="454"/>
      <c r="AK28" s="101"/>
      <c r="AL28" s="101"/>
      <c r="AM28" s="455">
        <f t="shared" si="0"/>
        <v>0</v>
      </c>
      <c r="AO28" s="427"/>
      <c r="AP28" s="427"/>
      <c r="AQ28" s="427">
        <f t="shared" si="1"/>
        <v>0</v>
      </c>
    </row>
    <row r="29" spans="2:43" ht="20.100000000000001" customHeight="1" x14ac:dyDescent="0.15">
      <c r="B29" s="100"/>
      <c r="C29" s="454"/>
      <c r="D29" s="101"/>
      <c r="E29" s="101"/>
      <c r="F29" s="454"/>
      <c r="G29" s="101"/>
      <c r="H29" s="101"/>
      <c r="I29" s="454"/>
      <c r="J29" s="101"/>
      <c r="K29" s="101"/>
      <c r="L29" s="454"/>
      <c r="M29" s="101"/>
      <c r="N29" s="101"/>
      <c r="O29" s="454"/>
      <c r="P29" s="101"/>
      <c r="Q29" s="101"/>
      <c r="R29" s="454"/>
      <c r="S29" s="101"/>
      <c r="T29" s="101"/>
      <c r="U29" s="454"/>
      <c r="V29" s="101"/>
      <c r="W29" s="101"/>
      <c r="X29" s="454"/>
      <c r="Y29" s="101"/>
      <c r="Z29" s="101"/>
      <c r="AA29" s="454"/>
      <c r="AB29" s="101"/>
      <c r="AC29" s="101"/>
      <c r="AD29" s="454"/>
      <c r="AE29" s="101"/>
      <c r="AF29" s="101"/>
      <c r="AG29" s="454"/>
      <c r="AH29" s="101"/>
      <c r="AI29" s="101"/>
      <c r="AJ29" s="454"/>
      <c r="AK29" s="101"/>
      <c r="AL29" s="101"/>
      <c r="AM29" s="455">
        <f t="shared" si="0"/>
        <v>0</v>
      </c>
      <c r="AO29" s="427"/>
      <c r="AP29" s="427"/>
      <c r="AQ29" s="427">
        <f t="shared" si="1"/>
        <v>0</v>
      </c>
    </row>
    <row r="30" spans="2:43" ht="20.100000000000001" customHeight="1" x14ac:dyDescent="0.15">
      <c r="B30" s="100"/>
      <c r="C30" s="454"/>
      <c r="D30" s="101"/>
      <c r="E30" s="101"/>
      <c r="F30" s="454"/>
      <c r="G30" s="101"/>
      <c r="H30" s="101"/>
      <c r="I30" s="454"/>
      <c r="J30" s="101"/>
      <c r="K30" s="101"/>
      <c r="L30" s="454"/>
      <c r="M30" s="101"/>
      <c r="N30" s="101"/>
      <c r="O30" s="454"/>
      <c r="P30" s="101"/>
      <c r="Q30" s="101"/>
      <c r="R30" s="454"/>
      <c r="S30" s="101"/>
      <c r="T30" s="101"/>
      <c r="U30" s="454"/>
      <c r="V30" s="101"/>
      <c r="W30" s="101"/>
      <c r="X30" s="454"/>
      <c r="Y30" s="101"/>
      <c r="Z30" s="101"/>
      <c r="AA30" s="454"/>
      <c r="AB30" s="101"/>
      <c r="AC30" s="101"/>
      <c r="AD30" s="454"/>
      <c r="AE30" s="101"/>
      <c r="AF30" s="101"/>
      <c r="AG30" s="454"/>
      <c r="AH30" s="101"/>
      <c r="AI30" s="101"/>
      <c r="AJ30" s="454"/>
      <c r="AK30" s="101"/>
      <c r="AL30" s="101"/>
      <c r="AM30" s="455">
        <f t="shared" si="0"/>
        <v>0</v>
      </c>
      <c r="AO30" s="427"/>
      <c r="AP30" s="427"/>
      <c r="AQ30" s="427">
        <f t="shared" si="1"/>
        <v>0</v>
      </c>
    </row>
    <row r="31" spans="2:43" ht="20.100000000000001" customHeight="1" x14ac:dyDescent="0.15">
      <c r="B31" s="100"/>
      <c r="C31" s="454"/>
      <c r="D31" s="101"/>
      <c r="E31" s="101"/>
      <c r="F31" s="454"/>
      <c r="G31" s="101"/>
      <c r="H31" s="101"/>
      <c r="I31" s="454"/>
      <c r="J31" s="101"/>
      <c r="K31" s="101"/>
      <c r="L31" s="454"/>
      <c r="M31" s="101"/>
      <c r="N31" s="101"/>
      <c r="O31" s="454"/>
      <c r="P31" s="101"/>
      <c r="Q31" s="101"/>
      <c r="R31" s="454"/>
      <c r="S31" s="101"/>
      <c r="T31" s="101"/>
      <c r="U31" s="454"/>
      <c r="V31" s="101"/>
      <c r="W31" s="101"/>
      <c r="X31" s="454"/>
      <c r="Y31" s="101"/>
      <c r="Z31" s="101"/>
      <c r="AA31" s="454"/>
      <c r="AB31" s="101"/>
      <c r="AC31" s="101"/>
      <c r="AD31" s="454"/>
      <c r="AE31" s="101"/>
      <c r="AF31" s="101"/>
      <c r="AG31" s="454"/>
      <c r="AH31" s="101"/>
      <c r="AI31" s="101"/>
      <c r="AJ31" s="454"/>
      <c r="AK31" s="101"/>
      <c r="AL31" s="101"/>
      <c r="AM31" s="455">
        <f t="shared" si="0"/>
        <v>0</v>
      </c>
      <c r="AO31" s="427"/>
      <c r="AP31" s="427"/>
      <c r="AQ31" s="427">
        <f t="shared" si="1"/>
        <v>0</v>
      </c>
    </row>
    <row r="32" spans="2:43" ht="20.100000000000001" customHeight="1" x14ac:dyDescent="0.15">
      <c r="B32" s="100"/>
      <c r="C32" s="454"/>
      <c r="D32" s="101"/>
      <c r="E32" s="101"/>
      <c r="F32" s="454"/>
      <c r="G32" s="101"/>
      <c r="H32" s="101"/>
      <c r="I32" s="454"/>
      <c r="J32" s="101"/>
      <c r="K32" s="101"/>
      <c r="L32" s="454"/>
      <c r="M32" s="101"/>
      <c r="N32" s="101"/>
      <c r="O32" s="454"/>
      <c r="P32" s="101"/>
      <c r="Q32" s="101"/>
      <c r="R32" s="454"/>
      <c r="S32" s="101"/>
      <c r="T32" s="101"/>
      <c r="U32" s="454"/>
      <c r="V32" s="101"/>
      <c r="W32" s="101"/>
      <c r="X32" s="454"/>
      <c r="Y32" s="101"/>
      <c r="Z32" s="101"/>
      <c r="AA32" s="454"/>
      <c r="AB32" s="101"/>
      <c r="AC32" s="101"/>
      <c r="AD32" s="454"/>
      <c r="AE32" s="101"/>
      <c r="AF32" s="101"/>
      <c r="AG32" s="454"/>
      <c r="AH32" s="101"/>
      <c r="AI32" s="101"/>
      <c r="AJ32" s="454"/>
      <c r="AK32" s="101"/>
      <c r="AL32" s="101"/>
      <c r="AM32" s="455">
        <f t="shared" si="0"/>
        <v>0</v>
      </c>
      <c r="AO32" s="427"/>
      <c r="AP32" s="427"/>
      <c r="AQ32" s="427">
        <f t="shared" si="1"/>
        <v>0</v>
      </c>
    </row>
    <row r="33" spans="2:43" ht="20.100000000000001" customHeight="1" x14ac:dyDescent="0.15">
      <c r="B33" s="102" t="s">
        <v>134</v>
      </c>
      <c r="C33" s="454">
        <f t="shared" ref="C33:AL33" si="2">SUM(C8:C32)</f>
        <v>0</v>
      </c>
      <c r="D33" s="103">
        <f t="shared" si="2"/>
        <v>0</v>
      </c>
      <c r="E33" s="456">
        <f t="shared" si="2"/>
        <v>0</v>
      </c>
      <c r="F33" s="454">
        <f t="shared" si="2"/>
        <v>2</v>
      </c>
      <c r="G33" s="103">
        <f t="shared" si="2"/>
        <v>1.9</v>
      </c>
      <c r="H33" s="456">
        <f t="shared" si="2"/>
        <v>1.9</v>
      </c>
      <c r="I33" s="454">
        <f t="shared" si="2"/>
        <v>1.9</v>
      </c>
      <c r="J33" s="103">
        <f t="shared" si="2"/>
        <v>1.9</v>
      </c>
      <c r="K33" s="456">
        <f t="shared" si="2"/>
        <v>0</v>
      </c>
      <c r="L33" s="454">
        <f t="shared" si="2"/>
        <v>0</v>
      </c>
      <c r="M33" s="103">
        <f t="shared" si="2"/>
        <v>6.9</v>
      </c>
      <c r="N33" s="456">
        <f t="shared" si="2"/>
        <v>7.8</v>
      </c>
      <c r="O33" s="454">
        <f t="shared" si="2"/>
        <v>5.3</v>
      </c>
      <c r="P33" s="103">
        <f t="shared" si="2"/>
        <v>19.8</v>
      </c>
      <c r="Q33" s="456">
        <f t="shared" si="2"/>
        <v>0</v>
      </c>
      <c r="R33" s="454">
        <f t="shared" si="2"/>
        <v>0</v>
      </c>
      <c r="S33" s="103">
        <f t="shared" si="2"/>
        <v>0</v>
      </c>
      <c r="T33" s="456">
        <f t="shared" si="2"/>
        <v>0</v>
      </c>
      <c r="U33" s="454">
        <f t="shared" si="2"/>
        <v>0</v>
      </c>
      <c r="V33" s="103">
        <f t="shared" si="2"/>
        <v>0</v>
      </c>
      <c r="W33" s="456">
        <f t="shared" si="2"/>
        <v>3.4</v>
      </c>
      <c r="X33" s="454">
        <f t="shared" si="2"/>
        <v>0</v>
      </c>
      <c r="Y33" s="103">
        <f t="shared" si="2"/>
        <v>3.4</v>
      </c>
      <c r="Z33" s="456">
        <f t="shared" si="2"/>
        <v>0</v>
      </c>
      <c r="AA33" s="454">
        <f t="shared" si="2"/>
        <v>0</v>
      </c>
      <c r="AB33" s="103">
        <f t="shared" si="2"/>
        <v>0</v>
      </c>
      <c r="AC33" s="456">
        <f t="shared" si="2"/>
        <v>15</v>
      </c>
      <c r="AD33" s="454">
        <f t="shared" si="2"/>
        <v>15.2</v>
      </c>
      <c r="AE33" s="103">
        <f t="shared" si="2"/>
        <v>0</v>
      </c>
      <c r="AF33" s="456">
        <f t="shared" si="2"/>
        <v>0</v>
      </c>
      <c r="AG33" s="454">
        <f t="shared" si="2"/>
        <v>1.2</v>
      </c>
      <c r="AH33" s="103">
        <f t="shared" si="2"/>
        <v>3.5999999999999996</v>
      </c>
      <c r="AI33" s="456">
        <f t="shared" si="2"/>
        <v>2.4</v>
      </c>
      <c r="AJ33" s="454">
        <f t="shared" si="2"/>
        <v>2.2999999999999998</v>
      </c>
      <c r="AK33" s="103">
        <f t="shared" si="2"/>
        <v>0</v>
      </c>
      <c r="AL33" s="456">
        <f t="shared" si="2"/>
        <v>0</v>
      </c>
      <c r="AM33" s="455">
        <f t="shared" si="0"/>
        <v>95.9</v>
      </c>
      <c r="AO33" s="427"/>
      <c r="AP33" s="427"/>
      <c r="AQ33" s="427">
        <f t="shared" si="1"/>
        <v>0</v>
      </c>
    </row>
    <row r="34" spans="2:43" ht="20.100000000000001" customHeight="1" thickBot="1" x14ac:dyDescent="0.2">
      <c r="B34" s="104" t="s">
        <v>135</v>
      </c>
      <c r="C34" s="105"/>
      <c r="D34" s="106">
        <f>SUM(C33:E33)</f>
        <v>0</v>
      </c>
      <c r="E34" s="106"/>
      <c r="F34" s="105"/>
      <c r="G34" s="106">
        <f>SUM(F33:H33)</f>
        <v>5.8</v>
      </c>
      <c r="H34" s="106"/>
      <c r="I34" s="105"/>
      <c r="J34" s="106">
        <f>SUM(I33:K33)</f>
        <v>3.8</v>
      </c>
      <c r="K34" s="106"/>
      <c r="L34" s="105"/>
      <c r="M34" s="106">
        <f>SUM(L33:N33)</f>
        <v>14.7</v>
      </c>
      <c r="N34" s="106"/>
      <c r="O34" s="105"/>
      <c r="P34" s="106">
        <f>SUM(O33:Q33)</f>
        <v>25.1</v>
      </c>
      <c r="Q34" s="106"/>
      <c r="R34" s="105"/>
      <c r="S34" s="106">
        <f>SUM(R33:T33)</f>
        <v>0</v>
      </c>
      <c r="T34" s="106"/>
      <c r="U34" s="105"/>
      <c r="V34" s="106">
        <f>SUM(U33:W33)</f>
        <v>3.4</v>
      </c>
      <c r="W34" s="106"/>
      <c r="X34" s="105"/>
      <c r="Y34" s="106">
        <f>SUM(X33:Z33)</f>
        <v>3.4</v>
      </c>
      <c r="Z34" s="106"/>
      <c r="AA34" s="105"/>
      <c r="AB34" s="106">
        <f>SUM(AA33:AC33)</f>
        <v>15</v>
      </c>
      <c r="AC34" s="106"/>
      <c r="AD34" s="105"/>
      <c r="AE34" s="106">
        <f>SUM(AD33:AF33)</f>
        <v>15.2</v>
      </c>
      <c r="AF34" s="106"/>
      <c r="AG34" s="105"/>
      <c r="AH34" s="106">
        <f>SUM(AG33:AI33)</f>
        <v>7.1999999999999993</v>
      </c>
      <c r="AI34" s="106"/>
      <c r="AJ34" s="105"/>
      <c r="AK34" s="106">
        <f>SUM(AJ33:AL33)</f>
        <v>2.2999999999999998</v>
      </c>
      <c r="AL34" s="106"/>
      <c r="AM34" s="107">
        <f>SUM(AM8:AM32)</f>
        <v>95.9</v>
      </c>
      <c r="AO34" s="427">
        <f>SUM(AO8:AO32)</f>
        <v>33.900000000000006</v>
      </c>
      <c r="AP34" s="427">
        <f t="shared" ref="AP34" si="3">SUM(AP8:AP32)</f>
        <v>62</v>
      </c>
      <c r="AQ34" s="427">
        <f>SUM(AQ8:AQ33)</f>
        <v>95.9</v>
      </c>
    </row>
  </sheetData>
  <mergeCells count="17">
    <mergeCell ref="B5:B7"/>
    <mergeCell ref="R3:T3"/>
    <mergeCell ref="U3:W3"/>
    <mergeCell ref="X3:Z3"/>
    <mergeCell ref="AA3:AC3"/>
    <mergeCell ref="B3:B4"/>
    <mergeCell ref="C3:E3"/>
    <mergeCell ref="F3:H3"/>
    <mergeCell ref="I3:K3"/>
    <mergeCell ref="L3:N3"/>
    <mergeCell ref="O3:Q3"/>
    <mergeCell ref="AC6:AD6"/>
    <mergeCell ref="L2:M2"/>
    <mergeCell ref="AJ3:AL3"/>
    <mergeCell ref="AM3:AM4"/>
    <mergeCell ref="AD3:AF3"/>
    <mergeCell ref="AG3:AI3"/>
  </mergeCells>
  <phoneticPr fontId="4"/>
  <pageMargins left="0" right="0" top="0.78740157480314965" bottom="0" header="0.39370078740157483" footer="0.39370078740157483"/>
  <pageSetup paperSize="9" scale="58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13</vt:i4>
      </vt:variant>
    </vt:vector>
  </HeadingPairs>
  <TitlesOfParts>
    <vt:vector size="33" baseType="lpstr">
      <vt:lpstr>１　対象経営の概要，２　前提条件</vt:lpstr>
      <vt:lpstr>３－１　水稲（こいもみじ）標準技術</vt:lpstr>
      <vt:lpstr>３－２　水稲（コシヒカリ）標準技術</vt:lpstr>
      <vt:lpstr>３－３　水稲（食用米）標準技術</vt:lpstr>
      <vt:lpstr>３－４　水稲（飼料用米）標準技術</vt:lpstr>
      <vt:lpstr>４　経営収支</vt:lpstr>
      <vt:lpstr>５－１　水稲（こいもみじ）作業時間</vt:lpstr>
      <vt:lpstr>５－２　水稲（コシヒカリ）作業時間</vt:lpstr>
      <vt:lpstr>５－３　水稲（あきろまん）作業時間</vt:lpstr>
      <vt:lpstr>５－４　水稲（飼料用米）作業時間</vt:lpstr>
      <vt:lpstr>６　資本装備と減価償却</vt:lpstr>
      <vt:lpstr>７－１　水稲部門（こいもみじ）収支</vt:lpstr>
      <vt:lpstr>７－２　水稲部門（コシヒカリ）収支 </vt:lpstr>
      <vt:lpstr>７－３　水稲部門（あきろまん）収支</vt:lpstr>
      <vt:lpstr>７－４　水稲部門（飼料用米）収支</vt:lpstr>
      <vt:lpstr>８－１　水稲算出基礎（こいもみじ）</vt:lpstr>
      <vt:lpstr>８－２　水稲算出基礎（コシヒカリ） </vt:lpstr>
      <vt:lpstr>８－３　水稲算出基礎（あきろまん）</vt:lpstr>
      <vt:lpstr>８－４　水稲算出基礎（飼料用米）</vt:lpstr>
      <vt:lpstr>Sheet1</vt:lpstr>
      <vt:lpstr>'５－１　水稲（こいもみじ）作業時間'!Print_Area</vt:lpstr>
      <vt:lpstr>'５－２　水稲（コシヒカリ）作業時間'!Print_Area</vt:lpstr>
      <vt:lpstr>'５－３　水稲（あきろまん）作業時間'!Print_Area</vt:lpstr>
      <vt:lpstr>'５－４　水稲（飼料用米）作業時間'!Print_Area</vt:lpstr>
      <vt:lpstr>'６　資本装備と減価償却'!Print_Area</vt:lpstr>
      <vt:lpstr>'７－１　水稲部門（こいもみじ）収支'!Print_Area</vt:lpstr>
      <vt:lpstr>'７－２　水稲部門（コシヒカリ）収支 '!Print_Area</vt:lpstr>
      <vt:lpstr>'７－３　水稲部門（あきろまん）収支'!Print_Area</vt:lpstr>
      <vt:lpstr>'７－４　水稲部門（飼料用米）収支'!Print_Area</vt:lpstr>
      <vt:lpstr>'８－１　水稲算出基礎（こいもみじ）'!Print_Area</vt:lpstr>
      <vt:lpstr>'８－２　水稲算出基礎（コシヒカリ） '!Print_Area</vt:lpstr>
      <vt:lpstr>'８－３　水稲算出基礎（あきろまん）'!Print_Area</vt:lpstr>
      <vt:lpstr>'８－４　水稲算出基礎（飼料用米）'!Print_Area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2015-02-16T09:26:52Z</cp:lastPrinted>
  <dcterms:created xsi:type="dcterms:W3CDTF">2005-02-26T02:20:11Z</dcterms:created>
  <dcterms:modified xsi:type="dcterms:W3CDTF">2015-03-27T09:17:35Z</dcterms:modified>
</cp:coreProperties>
</file>