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80" windowWidth="24030" windowHeight="5025" activeTab="0"/>
  </bookViews>
  <sheets>
    <sheet name="１　対象経営の概要，２　前提条件" sheetId="1" r:id="rId1"/>
    <sheet name="３－１　水稲（食用米，加工用米）標準技術" sheetId="2" r:id="rId2"/>
    <sheet name="３－２　きく標準技術" sheetId="3" r:id="rId3"/>
    <sheet name="４　経営収支" sheetId="4" r:id="rId4"/>
    <sheet name="５－１　水稲（食用米，加工用米）作業時間" sheetId="5" r:id="rId5"/>
    <sheet name="５－２　きく作業時間" sheetId="6" r:id="rId6"/>
    <sheet name="６　固定資本装備と減価償却費" sheetId="7" r:id="rId7"/>
    <sheet name="７－１　水稲部門（コシヒカリ）収支" sheetId="8" r:id="rId8"/>
    <sheet name="７－２　水稲部門（こいもみじ）収支 " sheetId="9" r:id="rId9"/>
    <sheet name="７－３　水稲部門（加工用米）収支" sheetId="10" r:id="rId10"/>
    <sheet name="７－４　きく部門収支" sheetId="11" r:id="rId11"/>
    <sheet name="８－１　水稲算出基礎（コシヒカリ）" sheetId="12" r:id="rId12"/>
    <sheet name="８－２　水稲算出基礎（こいもみじ） " sheetId="13" r:id="rId13"/>
    <sheet name="８－３　水稲算出基礎（加工用米）" sheetId="14" r:id="rId14"/>
    <sheet name="８－４　きく算出基礎" sheetId="15" r:id="rId15"/>
    <sheet name="（参考）水稲資本装備" sheetId="16" r:id="rId16"/>
    <sheet name="（参考）きく資本装備" sheetId="17" r:id="rId17"/>
  </sheets>
  <definedNames>
    <definedName name="_1__123Graph_Aｸﾞﾗﾌ_1" localSheetId="12" hidden="1">#REF!</definedName>
    <definedName name="_1__123Graph_Aｸﾞﾗﾌ_1" localSheetId="13" hidden="1">#REF!</definedName>
    <definedName name="_1__123Graph_Aｸﾞﾗﾌ_1" hidden="1">#REF!</definedName>
    <definedName name="_2__123Graph_Bｸﾞﾗﾌ_1" localSheetId="12" hidden="1">#REF!</definedName>
    <definedName name="_2__123Graph_Bｸﾞﾗﾌ_1" localSheetId="13" hidden="1">#REF!</definedName>
    <definedName name="_2__123Graph_Bｸﾞﾗﾌ_1" hidden="1">#REF!</definedName>
    <definedName name="_3__123Graph_Cｸﾞﾗﾌ_1" localSheetId="12" hidden="1">#REF!</definedName>
    <definedName name="_3__123Graph_Cｸﾞﾗﾌ_1" localSheetId="13" hidden="1">#REF!</definedName>
    <definedName name="_3__123Graph_Cｸﾞﾗﾌ_1" hidden="1">#REF!</definedName>
    <definedName name="_4__123Graph_Dｸﾞﾗﾌ_1" localSheetId="12" hidden="1">#REF!</definedName>
    <definedName name="_4__123Graph_Dｸﾞﾗﾌ_1" localSheetId="13" hidden="1">#REF!</definedName>
    <definedName name="_4__123Graph_Dｸﾞﾗﾌ_1" hidden="1">#REF!</definedName>
    <definedName name="_5__123Graph_Eｸﾞﾗﾌ_1" localSheetId="12" hidden="1">#REF!</definedName>
    <definedName name="_5__123Graph_Eｸﾞﾗﾌ_1" localSheetId="13" hidden="1">#REF!</definedName>
    <definedName name="_5__123Graph_Eｸﾞﾗﾌ_1" hidden="1">#REF!</definedName>
    <definedName name="_6__123Graph_Fｸﾞﾗﾌ_1" localSheetId="12" hidden="1">#REF!</definedName>
    <definedName name="_6__123Graph_Fｸﾞﾗﾌ_1" localSheetId="13" hidden="1">#REF!</definedName>
    <definedName name="_6__123Graph_Fｸﾞﾗﾌ_1" hidden="1">#REF!</definedName>
    <definedName name="_a1" localSheetId="8" hidden="1">#REF!</definedName>
    <definedName name="_a1" localSheetId="12" hidden="1">#REF!</definedName>
    <definedName name="_a1" localSheetId="13" hidden="1">#REF!</definedName>
    <definedName name="_a1" hidden="1">#REF!</definedName>
    <definedName name="_a2" localSheetId="8" hidden="1">#REF!</definedName>
    <definedName name="_a2" localSheetId="12" hidden="1">#REF!</definedName>
    <definedName name="_a2" localSheetId="13" hidden="1">#REF!</definedName>
    <definedName name="_a2" hidden="1">#REF!</definedName>
    <definedName name="_a3" localSheetId="8" hidden="1">#REF!</definedName>
    <definedName name="_a3" localSheetId="12" hidden="1">#REF!</definedName>
    <definedName name="_a3" localSheetId="13" hidden="1">#REF!</definedName>
    <definedName name="_a3" hidden="1">#REF!</definedName>
    <definedName name="_a4" localSheetId="8" hidden="1">#REF!</definedName>
    <definedName name="_a4" localSheetId="12" hidden="1">#REF!</definedName>
    <definedName name="_a4" localSheetId="13" hidden="1">#REF!</definedName>
    <definedName name="_a4" hidden="1">#REF!</definedName>
    <definedName name="_a5" localSheetId="8" hidden="1">#REF!</definedName>
    <definedName name="_a5" localSheetId="12" hidden="1">#REF!</definedName>
    <definedName name="_a5" localSheetId="13" hidden="1">#REF!</definedName>
    <definedName name="_a5" hidden="1">#REF!</definedName>
    <definedName name="_a6" localSheetId="8" hidden="1">#REF!</definedName>
    <definedName name="_a6" localSheetId="12" hidden="1">#REF!</definedName>
    <definedName name="_a6" localSheetId="13" hidden="1">#REF!</definedName>
    <definedName name="_a6" hidden="1">#REF!</definedName>
    <definedName name="_a7" localSheetId="8" hidden="1">#REF!</definedName>
    <definedName name="_a7" localSheetId="12" hidden="1">#REF!</definedName>
    <definedName name="_a7" localSheetId="13" hidden="1">#REF!</definedName>
    <definedName name="_a7" hidden="1">#REF!</definedName>
    <definedName name="aaa" localSheetId="8" hidden="1">#REF!</definedName>
    <definedName name="aaa" localSheetId="12" hidden="1">#REF!</definedName>
    <definedName name="aaa" localSheetId="13" hidden="1">#REF!</definedName>
    <definedName name="aaa" hidden="1">#REF!</definedName>
    <definedName name="bbb" localSheetId="8" hidden="1">#REF!</definedName>
    <definedName name="bbb" localSheetId="12" hidden="1">#REF!</definedName>
    <definedName name="bbb" localSheetId="13" hidden="1">#REF!</definedName>
    <definedName name="bbb" hidden="1">#REF!</definedName>
    <definedName name="ccc" localSheetId="8" hidden="1">#REF!</definedName>
    <definedName name="ccc" localSheetId="12" hidden="1">#REF!</definedName>
    <definedName name="ccc" localSheetId="13" hidden="1">#REF!</definedName>
    <definedName name="ccc" hidden="1">#REF!</definedName>
    <definedName name="ddd" localSheetId="8" hidden="1">#REF!</definedName>
    <definedName name="ddd" localSheetId="12" hidden="1">#REF!</definedName>
    <definedName name="ddd" localSheetId="13" hidden="1">#REF!</definedName>
    <definedName name="ddd" hidden="1">#REF!</definedName>
    <definedName name="eee" localSheetId="8" hidden="1">#REF!</definedName>
    <definedName name="eee" localSheetId="12" hidden="1">#REF!</definedName>
    <definedName name="eee" localSheetId="13" hidden="1">#REF!</definedName>
    <definedName name="eee" hidden="1">#REF!</definedName>
    <definedName name="fff" localSheetId="8" hidden="1">#REF!</definedName>
    <definedName name="fff" localSheetId="12" hidden="1">#REF!</definedName>
    <definedName name="fff" localSheetId="13" hidden="1">#REF!</definedName>
    <definedName name="fff" hidden="1">#REF!</definedName>
    <definedName name="ggg" localSheetId="8" hidden="1">#REF!</definedName>
    <definedName name="ggg" localSheetId="12" hidden="1">#REF!</definedName>
    <definedName name="ggg" localSheetId="13" hidden="1">#REF!</definedName>
    <definedName name="ggg" hidden="1">#REF!</definedName>
    <definedName name="hhh" localSheetId="8" hidden="1">#REF!</definedName>
    <definedName name="hhh" localSheetId="12" hidden="1">#REF!</definedName>
    <definedName name="hhh" localSheetId="13" hidden="1">#REF!</definedName>
    <definedName name="hhh" hidden="1">#REF!</definedName>
    <definedName name="_xlnm.Print_Area" localSheetId="15">'（参考）水稲資本装備'!$A$1:$P$57</definedName>
    <definedName name="_xlnm.Print_Area" localSheetId="4">'５－１　水稲（食用米，加工用米）作業時間'!$A$1:$AM$34</definedName>
    <definedName name="_xlnm.Print_Area" localSheetId="5">'５－２　きく作業時間'!$A$1:$AO$24</definedName>
    <definedName name="_xlnm.Print_Area" localSheetId="6">'６　固定資本装備と減価償却費'!$1:$101</definedName>
    <definedName name="_xlnm.Print_Area" localSheetId="7">'７－１　水稲部門（コシヒカリ）収支'!$A$1:$S$45</definedName>
    <definedName name="_xlnm.Print_Area" localSheetId="8">'７－２　水稲部門（こいもみじ）収支 '!$A$1:$S$45</definedName>
    <definedName name="_xlnm.Print_Area" localSheetId="9">'７－３　水稲部門（加工用米）収支'!$A$1:$S$45</definedName>
    <definedName name="_xlnm.Print_Area" localSheetId="11">'８－１　水稲算出基礎（コシヒカリ）'!$A$1:$W$57</definedName>
    <definedName name="_xlnm.Print_Area" localSheetId="12">'８－２　水稲算出基礎（こいもみじ） '!$A$1:$W$57</definedName>
    <definedName name="_xlnm.Print_Area" localSheetId="13">'８－３　水稲算出基礎（加工用米）'!$A$1:$W$57</definedName>
    <definedName name="simizu" localSheetId="8" hidden="1">#REF!</definedName>
    <definedName name="simizu" localSheetId="12" hidden="1">#REF!</definedName>
    <definedName name="simizu" localSheetId="13" hidden="1">#REF!</definedName>
    <definedName name="simizu" hidden="1">#REF!</definedName>
    <definedName name="新" localSheetId="12" hidden="1">#REF!</definedName>
    <definedName name="新" localSheetId="13" hidden="1">#REF!</definedName>
    <definedName name="新" hidden="1">#REF!</definedName>
  </definedNames>
  <calcPr fullCalcOnLoad="1"/>
</workbook>
</file>

<file path=xl/comments16.xml><?xml version="1.0" encoding="utf-8"?>
<comments xmlns="http://schemas.openxmlformats.org/spreadsheetml/2006/main">
  <authors>
    <author>広島県</author>
  </authors>
  <commentList>
    <comment ref="C24" authorId="0">
      <text>
        <r>
          <rPr>
            <b/>
            <sz val="9"/>
            <rFont val="ＭＳ Ｐゴシック"/>
            <family val="3"/>
          </rPr>
          <t>ブロードキャスターもいりますか？</t>
        </r>
      </text>
    </comment>
  </commentList>
</comments>
</file>

<file path=xl/sharedStrings.xml><?xml version="1.0" encoding="utf-8"?>
<sst xmlns="http://schemas.openxmlformats.org/spreadsheetml/2006/main" count="2117" uniqueCount="758">
  <si>
    <t>交際費等 雑費</t>
  </si>
  <si>
    <t>雑損失</t>
  </si>
  <si>
    <t>固定資産税</t>
  </si>
  <si>
    <t>出荷資材費</t>
  </si>
  <si>
    <t>運賃</t>
  </si>
  <si>
    <t>内容</t>
  </si>
  <si>
    <t>小農具費</t>
  </si>
  <si>
    <t>賃料料金</t>
  </si>
  <si>
    <t>販売手数料</t>
  </si>
  <si>
    <t>（単位）</t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</si>
  <si>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</si>
  <si>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</si>
  <si>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</si>
  <si>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</si>
  <si>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</si>
  <si>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</si>
  <si>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</si>
  <si>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</si>
  <si>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</si>
  <si>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</si>
  <si>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</si>
  <si>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</si>
  <si>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</si>
  <si>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</si>
  <si>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</si>
  <si>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</si>
  <si>
    <t>数　　量</t>
  </si>
  <si>
    <t>金　額</t>
  </si>
  <si>
    <t>備　考</t>
  </si>
  <si>
    <t>　計</t>
  </si>
  <si>
    <t>殺菌剤</t>
  </si>
  <si>
    <t>殺虫剤</t>
  </si>
  <si>
    <t>除草剤</t>
  </si>
  <si>
    <t>燃料費の</t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</si>
  <si>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</si>
  <si>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</si>
  <si>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</si>
  <si>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</si>
  <si>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</si>
  <si>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</si>
  <si>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</si>
  <si>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</si>
  <si>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</si>
  <si>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</si>
  <si>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</si>
  <si>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</si>
  <si>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</si>
  <si>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</si>
  <si>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</si>
  <si>
    <t>軽油</t>
  </si>
  <si>
    <t>潤滑油</t>
  </si>
  <si>
    <t>混合</t>
  </si>
  <si>
    <t>灯油</t>
  </si>
  <si>
    <t>電気</t>
  </si>
  <si>
    <t>トラクター</t>
  </si>
  <si>
    <t>ドライブハロー</t>
  </si>
  <si>
    <t>コンバイン</t>
  </si>
  <si>
    <t>品種</t>
  </si>
  <si>
    <t>売上高</t>
  </si>
  <si>
    <t>種苗費</t>
  </si>
  <si>
    <t>肥料費</t>
  </si>
  <si>
    <t>農薬費</t>
  </si>
  <si>
    <t>諸材料費</t>
  </si>
  <si>
    <t>修繕費</t>
  </si>
  <si>
    <t>大動植物</t>
  </si>
  <si>
    <t>管理
委託料</t>
  </si>
  <si>
    <t>水管理</t>
  </si>
  <si>
    <t>支払地代</t>
  </si>
  <si>
    <t>販売費</t>
  </si>
  <si>
    <t>役員報酬</t>
  </si>
  <si>
    <t>会議費・旅費・研修費</t>
  </si>
  <si>
    <t>租税公課</t>
  </si>
  <si>
    <t>雑収入</t>
  </si>
  <si>
    <t>営業外
収益</t>
  </si>
  <si>
    <t>経営類型</t>
  </si>
  <si>
    <t>作型</t>
  </si>
  <si>
    <t>対象地域</t>
  </si>
  <si>
    <t>作　   物　   別　   作  　付   　規　   模</t>
  </si>
  <si>
    <t>経　営　耕　地　面　積</t>
  </si>
  <si>
    <t>対 象 作 目</t>
  </si>
  <si>
    <t>面    積</t>
  </si>
  <si>
    <t>そ の 他 の 作 物</t>
  </si>
  <si>
    <t>面   積</t>
  </si>
  <si>
    <t>田</t>
  </si>
  <si>
    <t>畑</t>
  </si>
  <si>
    <t>樹園地</t>
  </si>
  <si>
    <t>草  地</t>
  </si>
  <si>
    <t>（うち施設）</t>
  </si>
  <si>
    <t>凡例</t>
  </si>
  <si>
    <t>区分</t>
  </si>
  <si>
    <t>営業損益</t>
  </si>
  <si>
    <t>作業受託収入</t>
  </si>
  <si>
    <t>動力光熱費</t>
  </si>
  <si>
    <t>減価
償却費</t>
  </si>
  <si>
    <t>畦畔管理</t>
  </si>
  <si>
    <t>事務通信費</t>
  </si>
  <si>
    <t>土地改良費・水利費</t>
  </si>
  <si>
    <t>営業外損益</t>
  </si>
  <si>
    <t>営業外損益　計</t>
  </si>
  <si>
    <t>負担根拠</t>
  </si>
  <si>
    <t>本作目
負担割合</t>
  </si>
  <si>
    <t>（数値）</t>
  </si>
  <si>
    <t>　　合　　計</t>
  </si>
  <si>
    <t>台</t>
  </si>
  <si>
    <t>鉄骨　スレート</t>
  </si>
  <si>
    <t>㎡</t>
  </si>
  <si>
    <t>○：播種　△：仮植　×：定植</t>
  </si>
  <si>
    <t>４　経営収支</t>
  </si>
  <si>
    <t>７－１　経営収支（水稲部門，1ha当たり）</t>
  </si>
  <si>
    <t>３－１　標準技術（水稲）</t>
  </si>
  <si>
    <t>栽培様式</t>
  </si>
  <si>
    <t>技術内容</t>
  </si>
  <si>
    <t>作業時期</t>
  </si>
  <si>
    <t>技術上の
留意事項</t>
  </si>
  <si>
    <t>組作業人員(人）</t>
  </si>
  <si>
    <t>使用施設・機械</t>
  </si>
  <si>
    <t>作業・項目</t>
  </si>
  <si>
    <t>土地利用体系</t>
  </si>
  <si>
    <t>面　積</t>
  </si>
  <si>
    <t>１　対象経営の概要</t>
  </si>
  <si>
    <t>保有労働力</t>
  </si>
  <si>
    <t>作     　目</t>
  </si>
  <si>
    <t>収穫 ：</t>
  </si>
  <si>
    <t>２　前提条件</t>
  </si>
  <si>
    <t>オペレーター賃金</t>
  </si>
  <si>
    <t>補助労務賃金</t>
  </si>
  <si>
    <t>法定福利費　等</t>
  </si>
  <si>
    <t>法定福利費　等</t>
  </si>
  <si>
    <t>給料手当</t>
  </si>
  <si>
    <t>価格補てん金</t>
  </si>
  <si>
    <t>助成金・補助金・交付金</t>
  </si>
  <si>
    <t>共済掛金　等</t>
  </si>
  <si>
    <t>作　業　別</t>
  </si>
  <si>
    <t>作　　　型</t>
  </si>
  <si>
    <t>旬　別　計</t>
  </si>
  <si>
    <t>月　  　計</t>
  </si>
  <si>
    <t>５－１　作業別・旬別作業時間（水稲，1ha当たり）</t>
  </si>
  <si>
    <t>形式・構造　等</t>
  </si>
  <si>
    <t>区分</t>
  </si>
  <si>
    <t>取得価格</t>
  </si>
  <si>
    <t>補助率</t>
  </si>
  <si>
    <t>②（％）</t>
  </si>
  <si>
    <t>①（円）</t>
  </si>
  <si>
    <t>④ （％）</t>
  </si>
  <si>
    <t>残存割合</t>
  </si>
  <si>
    <t>⑥（％）</t>
  </si>
  <si>
    <t>⑧（年）</t>
  </si>
  <si>
    <t>大動植物</t>
  </si>
  <si>
    <t>③=①×（100-②）（円）</t>
  </si>
  <si>
    <t>⑤=③×④（円/ha）</t>
  </si>
  <si>
    <t>⑦＝⑤×⑥（円/ha）</t>
  </si>
  <si>
    <t>⑨＝（⑤－⑦）÷⑧（円/ha）</t>
  </si>
  <si>
    <t>コシヒカリ</t>
  </si>
  <si>
    <t>農薬名</t>
  </si>
  <si>
    <t>使用量</t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</si>
  <si>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</si>
  <si>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</si>
  <si>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</si>
  <si>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</si>
  <si>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</si>
  <si>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</si>
  <si>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</si>
  <si>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</si>
  <si>
    <t>本</t>
  </si>
  <si>
    <t>小計</t>
  </si>
  <si>
    <t>本作目
負担割合</t>
  </si>
  <si>
    <t>①（円）</t>
  </si>
  <si>
    <t>②（％）</t>
  </si>
  <si>
    <t>④ （％）</t>
  </si>
  <si>
    <t>⑤=③×④（円/ha）</t>
  </si>
  <si>
    <t>⑥（％）</t>
  </si>
  <si>
    <t>⑧（年）</t>
  </si>
  <si>
    <t>⑨＝（⑤－⑦）÷⑧（円/ha）</t>
  </si>
  <si>
    <t>㎡</t>
  </si>
  <si>
    <t>コシヒカリ</t>
  </si>
  <si>
    <t>（kg）</t>
  </si>
  <si>
    <t>軽油</t>
  </si>
  <si>
    <t>ガソリン</t>
  </si>
  <si>
    <t>燃料費の</t>
  </si>
  <si>
    <t>潤滑油</t>
  </si>
  <si>
    <t>混合</t>
  </si>
  <si>
    <t>灯油</t>
  </si>
  <si>
    <t>電気</t>
  </si>
  <si>
    <t>（ア）種苗名</t>
  </si>
  <si>
    <t>（イ）肥料名</t>
  </si>
  <si>
    <t>（ウ）農薬名</t>
  </si>
  <si>
    <t>（エ）燃料名</t>
  </si>
  <si>
    <t>生産雑費</t>
  </si>
  <si>
    <t>土づくり資材</t>
  </si>
  <si>
    <t>化成肥料</t>
  </si>
  <si>
    <t>有機物資材</t>
  </si>
  <si>
    <t>液肥</t>
  </si>
  <si>
    <t>その他</t>
  </si>
  <si>
    <t>殺虫剤</t>
  </si>
  <si>
    <t>肥料名</t>
  </si>
  <si>
    <t>1ha機械</t>
  </si>
  <si>
    <t>電気</t>
  </si>
  <si>
    <t>軽油</t>
  </si>
  <si>
    <t>作業名（使用機械）</t>
  </si>
  <si>
    <t>混合</t>
  </si>
  <si>
    <t>灯油</t>
  </si>
  <si>
    <t>資材名</t>
  </si>
  <si>
    <t>使用量</t>
  </si>
  <si>
    <t>単位</t>
  </si>
  <si>
    <t>単価</t>
  </si>
  <si>
    <t>使用期間（年）</t>
  </si>
  <si>
    <t>金額（1年あたり）</t>
  </si>
  <si>
    <t>枚</t>
  </si>
  <si>
    <t>農具名</t>
  </si>
  <si>
    <t>負担面積（ha）</t>
  </si>
  <si>
    <t>建物・施設</t>
  </si>
  <si>
    <t>機械・器具</t>
  </si>
  <si>
    <t>建物・施設</t>
  </si>
  <si>
    <t>機械・器具</t>
  </si>
  <si>
    <t>右表（粗収益の算出基礎）</t>
  </si>
  <si>
    <t>右表（ア）</t>
  </si>
  <si>
    <t>負担価格の</t>
  </si>
  <si>
    <t>販売費・
一般管理費</t>
  </si>
  <si>
    <t>右表（イ）　※８－１　水稲算出基礎シート参照</t>
  </si>
  <si>
    <t>右表（ウ）　※８－１　水稲算出基礎シート参照</t>
  </si>
  <si>
    <t>右表（エ）　※８－１　水稲算出基礎シート参照</t>
  </si>
  <si>
    <t>※８－１　水稲算出基礎シート参照</t>
  </si>
  <si>
    <t>※６　資本装備・償却費シート参照</t>
  </si>
  <si>
    <t>売上高　計　①</t>
  </si>
  <si>
    <t>売上総利益　③=①-②</t>
  </si>
  <si>
    <t>販売費・一般管理費　計　④</t>
  </si>
  <si>
    <t>売上原価</t>
  </si>
  <si>
    <t>売上原価　計　②</t>
  </si>
  <si>
    <t>営業利益　⑤=③-④　</t>
  </si>
  <si>
    <t>営業外収益　⑥</t>
  </si>
  <si>
    <t>営業外費用　⑦</t>
  </si>
  <si>
    <t>営業外損益　計　⑧=⑥-⑦</t>
  </si>
  <si>
    <t>経常利益　⑨=⑤+⑧</t>
  </si>
  <si>
    <t>販売費・一般管理費　計</t>
  </si>
  <si>
    <t>売上原価　計</t>
  </si>
  <si>
    <t>販売収入</t>
  </si>
  <si>
    <t>営業外
費用</t>
  </si>
  <si>
    <t>営業外</t>
  </si>
  <si>
    <t>（１）肥料費</t>
  </si>
  <si>
    <t>（３）動力光熱費</t>
  </si>
  <si>
    <t>農　　　　業　　　　経　　　　営　　　　費</t>
  </si>
  <si>
    <t>費　　　　用　　　　の　　　　算　　　　出</t>
  </si>
  <si>
    <t>粗　　　収　　　益　　　の　　　算　　　出</t>
  </si>
  <si>
    <t>売上原価の</t>
  </si>
  <si>
    <t>水稲共済</t>
  </si>
  <si>
    <t>区　分</t>
  </si>
  <si>
    <t>区分</t>
  </si>
  <si>
    <t>取得価格・評価額・負担額</t>
  </si>
  <si>
    <t>自動車重量税</t>
  </si>
  <si>
    <t>自動車税</t>
  </si>
  <si>
    <t>軽自動車税</t>
  </si>
  <si>
    <t>合　　計</t>
  </si>
  <si>
    <t>（７）共済掛金　等</t>
  </si>
  <si>
    <t>内　容</t>
  </si>
  <si>
    <t>共済掛金</t>
  </si>
  <si>
    <t>負担率</t>
  </si>
  <si>
    <t>評価額・負担額</t>
  </si>
  <si>
    <t>小計</t>
  </si>
  <si>
    <t>（４）租税公課</t>
  </si>
  <si>
    <t>（５）諸材料費（使用可能期間を想定して算出）</t>
  </si>
  <si>
    <t>（６）小農具費（使用可能期間を想定して算出）</t>
  </si>
  <si>
    <t>軽トラック</t>
  </si>
  <si>
    <t>保険料</t>
  </si>
  <si>
    <t>個</t>
  </si>
  <si>
    <t>本</t>
  </si>
  <si>
    <t>小　計</t>
  </si>
  <si>
    <t>m</t>
  </si>
  <si>
    <t>ガソリン</t>
  </si>
  <si>
    <t>個</t>
  </si>
  <si>
    <t>小　計</t>
  </si>
  <si>
    <t>単価</t>
  </si>
  <si>
    <t>（２）農薬費</t>
  </si>
  <si>
    <t>小　計</t>
  </si>
  <si>
    <t>金額</t>
  </si>
  <si>
    <t>普通トラック</t>
  </si>
  <si>
    <t>普通トラック</t>
  </si>
  <si>
    <t>自賠責保険</t>
  </si>
  <si>
    <t>普通トラック</t>
  </si>
  <si>
    <t>任意保険</t>
  </si>
  <si>
    <t>毎年更新</t>
  </si>
  <si>
    <t>作目：</t>
  </si>
  <si>
    <t>作型：</t>
  </si>
  <si>
    <t>水稲</t>
  </si>
  <si>
    <t>普通</t>
  </si>
  <si>
    <t>６　固定資本装備と減価償却費（1ha当たり・1年当たり）</t>
  </si>
  <si>
    <t>（参考）　固定資本装備と減価償却費（水稲，1ha当たり・1年当たり）</t>
  </si>
  <si>
    <t>数量</t>
  </si>
  <si>
    <t>販売量</t>
  </si>
  <si>
    <t>販売量</t>
  </si>
  <si>
    <t>重油</t>
  </si>
  <si>
    <t>重油</t>
  </si>
  <si>
    <t>労務費Ⅰ</t>
  </si>
  <si>
    <t>労務費Ⅱ</t>
  </si>
  <si>
    <t>営業外費用Ⅰ</t>
  </si>
  <si>
    <t>備　　　　　　　　　　　　　　　　　　　　考</t>
  </si>
  <si>
    <t>区　　　　　　　　　　　　　　　　　　　　分</t>
  </si>
  <si>
    <t>合　　　　計</t>
  </si>
  <si>
    <t>水稲(加工用米）</t>
  </si>
  <si>
    <t>水稲(食用米）</t>
  </si>
  <si>
    <t>育苗ハウス</t>
  </si>
  <si>
    <t>台</t>
  </si>
  <si>
    <t>乗用田植機</t>
  </si>
  <si>
    <r>
      <t>2.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m幅</t>
    </r>
  </si>
  <si>
    <r>
      <t>2.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m幅</t>
    </r>
  </si>
  <si>
    <t>ミネラルＧ</t>
  </si>
  <si>
    <t>１種類</t>
  </si>
  <si>
    <t>フレコン</t>
  </si>
  <si>
    <t>トラクター</t>
  </si>
  <si>
    <t>台</t>
  </si>
  <si>
    <t>乗用管理機</t>
  </si>
  <si>
    <t>㎏</t>
  </si>
  <si>
    <t>催芽機</t>
  </si>
  <si>
    <t>播種覆土一連機械</t>
  </si>
  <si>
    <t>育苗器</t>
  </si>
  <si>
    <t>育苗箱洗浄機</t>
  </si>
  <si>
    <t>育苗培土</t>
  </si>
  <si>
    <t>代かき</t>
  </si>
  <si>
    <t>散布巾10ｍ</t>
  </si>
  <si>
    <t>ｍｌ</t>
  </si>
  <si>
    <t>㎏</t>
  </si>
  <si>
    <t>㎏</t>
  </si>
  <si>
    <t>㎏</t>
  </si>
  <si>
    <t>耕起作業（トラクター）</t>
  </si>
  <si>
    <t>代かき作業（トラクター）</t>
  </si>
  <si>
    <t>田植作業（田植機）</t>
  </si>
  <si>
    <t>ℓ・kw／時</t>
  </si>
  <si>
    <t>収穫作業（コンバイン）</t>
  </si>
  <si>
    <t>乾燥作業（乾燥機）</t>
  </si>
  <si>
    <t>防除作業（管理ビーグル）</t>
  </si>
  <si>
    <t>調製作業（籾摺機）</t>
  </si>
  <si>
    <t>育苗作業（育苗関連機器）</t>
  </si>
  <si>
    <t>改良資材散布（トラクター，ｺﾝﾎﾟｷｬｽﾀｰ）</t>
  </si>
  <si>
    <t>ｍｌ</t>
  </si>
  <si>
    <t>ﾊﾞｯｸﾎｰ</t>
  </si>
  <si>
    <t>乾燥調製施設</t>
  </si>
  <si>
    <t>農機具庫</t>
  </si>
  <si>
    <t>鎌</t>
  </si>
  <si>
    <t>鍬</t>
  </si>
  <si>
    <t>鎌，鍬</t>
  </si>
  <si>
    <t>農機具共済</t>
  </si>
  <si>
    <t>建物共済</t>
  </si>
  <si>
    <t>トラクター，田植機，コンバインの３種6台100万円補償で試算</t>
  </si>
  <si>
    <t>施設２件300万円補償＠19.1円/万円</t>
  </si>
  <si>
    <t>種子予措</t>
  </si>
  <si>
    <t>育苗管理</t>
  </si>
  <si>
    <t>耕起</t>
  </si>
  <si>
    <t>田植</t>
  </si>
  <si>
    <t>除草</t>
  </si>
  <si>
    <t>追肥</t>
  </si>
  <si>
    <t>防除</t>
  </si>
  <si>
    <t>刈取，脱穀</t>
  </si>
  <si>
    <t>乾燥調製出荷</t>
  </si>
  <si>
    <t>改良資材散布</t>
  </si>
  <si>
    <t>46psキャビン付（ﾛｰﾀﾘｰ）</t>
  </si>
  <si>
    <t>32ｐｓ（ﾛｰﾀﾘｰ）</t>
  </si>
  <si>
    <t>１種類</t>
  </si>
  <si>
    <t>混合剤</t>
  </si>
  <si>
    <t>3種類</t>
  </si>
  <si>
    <t>殺虫剤</t>
  </si>
  <si>
    <t>2種類</t>
  </si>
  <si>
    <t>6作業</t>
  </si>
  <si>
    <t>1作業</t>
  </si>
  <si>
    <t>3作業</t>
  </si>
  <si>
    <t>ha</t>
  </si>
  <si>
    <t>ha</t>
  </si>
  <si>
    <t>営業利益</t>
  </si>
  <si>
    <t>右表（イ）　※８－２　水稲算出基礎シート参照</t>
  </si>
  <si>
    <t>右表（ウ）　※８－２　水稲算出基礎シート参照</t>
  </si>
  <si>
    <t>右表（エ）　※８－２　水稲算出基礎シート参照</t>
  </si>
  <si>
    <t>右表（イ）　※８－３　○○算出基礎シート参照</t>
  </si>
  <si>
    <t>右表（ウ）　※８－３　○○算出基礎シート参照</t>
  </si>
  <si>
    <t>右表（エ）　※８－３　○○算出基礎シート参照</t>
  </si>
  <si>
    <t>水稲（食用米）</t>
  </si>
  <si>
    <t>水稲（加工用米）</t>
  </si>
  <si>
    <t>円/10a</t>
  </si>
  <si>
    <t>オペ労賃</t>
  </si>
  <si>
    <t>補助労務賃金</t>
  </si>
  <si>
    <t>オペ</t>
  </si>
  <si>
    <t>補助</t>
  </si>
  <si>
    <t>合計</t>
  </si>
  <si>
    <t>食用米（普通コシヒカリ）</t>
  </si>
  <si>
    <t>米袋</t>
  </si>
  <si>
    <t>検査手数料</t>
  </si>
  <si>
    <t>米の直接支払交付金</t>
  </si>
  <si>
    <t>込み</t>
  </si>
  <si>
    <t>部門面積</t>
  </si>
  <si>
    <t>倒伏しやすい品種</t>
  </si>
  <si>
    <t>倒伏しにくい品種</t>
  </si>
  <si>
    <t>加工多収</t>
  </si>
  <si>
    <t>米粉飼料</t>
  </si>
  <si>
    <t>ＷＣＳ</t>
  </si>
  <si>
    <t>大豆</t>
  </si>
  <si>
    <t>麦</t>
  </si>
  <si>
    <t>○○</t>
  </si>
  <si>
    <t>１ha当り償却額</t>
  </si>
  <si>
    <t>全品種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</si>
  <si>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</si>
  <si>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一式</t>
  </si>
  <si>
    <t>4条刈</t>
  </si>
  <si>
    <t>対象</t>
  </si>
  <si>
    <t>集落法人</t>
  </si>
  <si>
    <t>北部</t>
  </si>
  <si>
    <t>30ha（借地30ha）</t>
  </si>
  <si>
    <t>組織経営体構成員　</t>
  </si>
  <si>
    <t>ほ場整備完了水田　平均30ａ規模</t>
  </si>
  <si>
    <t>食用米（こいもみじ）</t>
  </si>
  <si>
    <t>こいもみじ</t>
  </si>
  <si>
    <t>t</t>
  </si>
  <si>
    <t>処理量200㎏</t>
  </si>
  <si>
    <t>750枚</t>
  </si>
  <si>
    <t>高圧洗車機</t>
  </si>
  <si>
    <t>H24農林水産統計</t>
  </si>
  <si>
    <t>JB早生一番</t>
  </si>
  <si>
    <t>式</t>
  </si>
  <si>
    <t>乾燥調製プラント</t>
  </si>
  <si>
    <t>車両関連</t>
  </si>
  <si>
    <t>コンポキャスター</t>
  </si>
  <si>
    <t>催芽機，播種プラント，育苗器等</t>
  </si>
  <si>
    <t>式</t>
  </si>
  <si>
    <t>育苗関連機械</t>
  </si>
  <si>
    <t>こいもみじ</t>
  </si>
  <si>
    <t>○</t>
  </si>
  <si>
    <t>○</t>
  </si>
  <si>
    <t>×</t>
  </si>
  <si>
    <t>×</t>
  </si>
  <si>
    <t>水稲20ha</t>
  </si>
  <si>
    <t>車両</t>
  </si>
  <si>
    <t>高圧洗車機等</t>
  </si>
  <si>
    <t>　　合　　計</t>
  </si>
  <si>
    <t>フォークリフトを108,000円×3ヶ月リース</t>
  </si>
  <si>
    <t>普通　　（北部）</t>
  </si>
  <si>
    <t>育苗</t>
  </si>
  <si>
    <t>収穫・調製</t>
  </si>
  <si>
    <t>塩水選-種子消毒-浸種-催芽（鳩胸）
土入れ（床土）-は種-床土の消毒-覆土-育苗器で加温
出芽-緑化-硬化</t>
  </si>
  <si>
    <t>活着するまで深水管理
初期生育期から最高分げつ期まで間断かんがい
無効分げつ期頃中干し
幼穂形成期以降間断かんがい
出穂後２５日から３０日頃落水</t>
  </si>
  <si>
    <t>いもち病
紋枯病
セジロウンカ
トビイロウンカ
カメムシ類
等病害虫防除</t>
  </si>
  <si>
    <t>コンバインによる収穫
乾燥機による生籾乾燥
籾摺り、石抜き、色彩選別機による調製</t>
  </si>
  <si>
    <t>5月上旬～5月下旬</t>
  </si>
  <si>
    <t>6月下旬～8月下旬</t>
  </si>
  <si>
    <t>田植機（肥料、箱施用剤、除草剤散布機付）</t>
  </si>
  <si>
    <t>コンバイン
乾燥機
籾摺り
石抜き
色彩選別機</t>
  </si>
  <si>
    <t>土づくり肥料</t>
  </si>
  <si>
    <t>殺虫剤，殺菌剤
　または殺虫殺菌剤（混合剤）</t>
  </si>
  <si>
    <t>土づくり・本田準備</t>
  </si>
  <si>
    <t>3月下旬～5月中旬</t>
  </si>
  <si>
    <t>3月下旬～5月下旬</t>
  </si>
  <si>
    <t>9月中旬～10月上旬</t>
  </si>
  <si>
    <t>フォークリフトは3ヵ月間リースする。</t>
  </si>
  <si>
    <t>稚苗疎植移植体系</t>
  </si>
  <si>
    <t>大型機械化体系（主要機械は他法人と共同利用）
畦畔管理作業，水管理作業は，構成員へ委託する</t>
  </si>
  <si>
    <t>その他</t>
  </si>
  <si>
    <t>水稲（食用米）</t>
  </si>
  <si>
    <t>8条側条施肥機付き</t>
  </si>
  <si>
    <t>水稲（コシヒカリ）</t>
  </si>
  <si>
    <t>７－２　経営収支（水稲部門，1ha当たり）</t>
  </si>
  <si>
    <t>水稲（こいもみじ）</t>
  </si>
  <si>
    <t>７－３　経営収支（水稲部門，1ha当たり）</t>
  </si>
  <si>
    <t>８－１　経費の算出基礎（水稲（コシヒカリ），1ha当たり）</t>
  </si>
  <si>
    <t>８－２　経費の算出基礎（水稲（こいもみじ），1ha当たり）</t>
  </si>
  <si>
    <t>８－３　経費の算出基礎（水稲（加工用米），1ha当たり）</t>
  </si>
  <si>
    <t>トラクター，田植機，コンバインは他法人と共同利用する。</t>
  </si>
  <si>
    <t>2ｔﾄﾗｯｸ・中古</t>
  </si>
  <si>
    <t>全期間</t>
  </si>
  <si>
    <t>シート他</t>
  </si>
  <si>
    <t>3年間</t>
  </si>
  <si>
    <t>加工用米（こいもみじ）</t>
  </si>
  <si>
    <t>こいもみじ</t>
  </si>
  <si>
    <r>
      <t>水稲20</t>
    </r>
    <r>
      <rPr>
        <sz val="11"/>
        <color indexed="8"/>
        <rFont val="ＭＳ Ｐゴシック"/>
        <family val="3"/>
      </rPr>
      <t>ha＋加工用米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ha＋きく１ha</t>
    </r>
  </si>
  <si>
    <t>水田利用（水稲との輪作）</t>
  </si>
  <si>
    <t>小菊</t>
  </si>
  <si>
    <t>個選共販</t>
  </si>
  <si>
    <t>２　前提条件（きく）</t>
  </si>
  <si>
    <t>ha</t>
  </si>
  <si>
    <t>きく（小菊）</t>
  </si>
  <si>
    <t>きく</t>
  </si>
  <si>
    <t>きく</t>
  </si>
  <si>
    <t>露地７～10月出荷</t>
  </si>
  <si>
    <t>圃場準備</t>
  </si>
  <si>
    <t>定植</t>
  </si>
  <si>
    <t>摘芯</t>
  </si>
  <si>
    <t>整枝</t>
  </si>
  <si>
    <t>収穫</t>
  </si>
  <si>
    <t>調整･出荷</t>
  </si>
  <si>
    <t>病害虫防除</t>
  </si>
  <si>
    <t>親株管理</t>
  </si>
  <si>
    <t>育苗　　　　　　　　（挿芽～）</t>
  </si>
  <si>
    <t>定植前</t>
  </si>
  <si>
    <t>挿し芽２～３週間後（４～６月）</t>
  </si>
  <si>
    <t>定植の約１週間後</t>
  </si>
  <si>
    <t>草丈20～30㎝の頃　　</t>
  </si>
  <si>
    <t>開花前</t>
  </si>
  <si>
    <t>収穫後</t>
  </si>
  <si>
    <t>親株･定植～収穫前</t>
  </si>
  <si>
    <t>収穫後～採穂</t>
  </si>
  <si>
    <t>定植２～３週間前</t>
  </si>
  <si>
    <t>機械時間（10 a当たり）</t>
  </si>
  <si>
    <t>人力時間（10 a当たり）</t>
  </si>
  <si>
    <t>1～7人</t>
  </si>
  <si>
    <t>使用資材
（10a当たり）</t>
  </si>
  <si>
    <t>殺菌剤・殺虫剤</t>
  </si>
  <si>
    <t>露地7～10月出荷</t>
  </si>
  <si>
    <t>（１）10a当たり</t>
  </si>
  <si>
    <t>↓：挿し芽　◎：定植　×：摘芯　■：収穫</t>
  </si>
  <si>
    <t>圃場準備</t>
  </si>
  <si>
    <t>摘芯・整枝</t>
  </si>
  <si>
    <t>畦畔管理</t>
  </si>
  <si>
    <t>調整出荷</t>
  </si>
  <si>
    <t>片づけ</t>
  </si>
  <si>
    <t>きく</t>
  </si>
  <si>
    <t>本作目
負担割合</t>
  </si>
  <si>
    <t>①（円）</t>
  </si>
  <si>
    <t>②（％）</t>
  </si>
  <si>
    <t>④ （％）</t>
  </si>
  <si>
    <t>⑤=③×④（円/ha）</t>
  </si>
  <si>
    <t>⑥（％）</t>
  </si>
  <si>
    <t>⑧（年）</t>
  </si>
  <si>
    <t>⑨＝（⑤－⑦）÷⑧（円/ha）</t>
  </si>
  <si>
    <t>作業場</t>
  </si>
  <si>
    <t>鉄骨スレート</t>
  </si>
  <si>
    <t>㎡</t>
  </si>
  <si>
    <t>資材・農機具庫</t>
  </si>
  <si>
    <t>パイプハウス</t>
  </si>
  <si>
    <t>鉄パイプ，　６×３３m</t>
  </si>
  <si>
    <t>㎡</t>
  </si>
  <si>
    <t>鉄パイプ，　６×４１m</t>
  </si>
  <si>
    <t>トラクター（+ロータリー）</t>
  </si>
  <si>
    <t>台</t>
  </si>
  <si>
    <t>軽トラック</t>
  </si>
  <si>
    <t>4WD　　　</t>
  </si>
  <si>
    <t>汎用管理機（+ロータリー）</t>
  </si>
  <si>
    <t>アタッチメント：平高畝整形機</t>
  </si>
  <si>
    <t>動力噴霧機</t>
  </si>
  <si>
    <t>自走式・ラジコン</t>
  </si>
  <si>
    <t>キク重量選別機</t>
  </si>
  <si>
    <t>下葉取り付</t>
  </si>
  <si>
    <t>花き結束機</t>
  </si>
  <si>
    <t>自動紐掛機</t>
  </si>
  <si>
    <t>きく乾燥機</t>
  </si>
  <si>
    <t>プレハブ冷蔵庫</t>
  </si>
  <si>
    <t>3坪（０℃～）</t>
  </si>
  <si>
    <t>杭打機</t>
  </si>
  <si>
    <t>動力運搬車</t>
  </si>
  <si>
    <t>　　合　　計</t>
  </si>
  <si>
    <t>露地７～10月出荷</t>
  </si>
  <si>
    <t>きく1ha</t>
  </si>
  <si>
    <t>参考　固定資本装備と減価償却費（1ha当たり・1年当たり）</t>
  </si>
  <si>
    <t>32ps（ロータリー）</t>
  </si>
  <si>
    <t>きく1ha</t>
  </si>
  <si>
    <t>鉄パイプ</t>
  </si>
  <si>
    <t>きく親株ハウス</t>
  </si>
  <si>
    <t>普通トラック</t>
  </si>
  <si>
    <t>軽トラック</t>
  </si>
  <si>
    <t>台</t>
  </si>
  <si>
    <t>（ロータリー）平高畝整形機</t>
  </si>
  <si>
    <t>きく重量選別機</t>
  </si>
  <si>
    <t>花き結束機</t>
  </si>
  <si>
    <t>きく乾燥機</t>
  </si>
  <si>
    <t>プレハブ冷蔵庫</t>
  </si>
  <si>
    <t>杭打機</t>
  </si>
  <si>
    <t>動力運搬車</t>
  </si>
  <si>
    <t>下葉取付</t>
  </si>
  <si>
    <t>自動紐掛機</t>
  </si>
  <si>
    <t>３坪（０℃～）</t>
  </si>
  <si>
    <t>汎用管理機</t>
  </si>
  <si>
    <t>きく1ha</t>
  </si>
  <si>
    <t>きく作業場</t>
  </si>
  <si>
    <t>鉄骨　スレート</t>
  </si>
  <si>
    <t>月</t>
  </si>
  <si>
    <t>７－４　経営収支（きく部門，10a当たり）</t>
  </si>
  <si>
    <t>小菊</t>
  </si>
  <si>
    <t>5年間で32品種/1ha導入時の10a･1年分の金額</t>
  </si>
  <si>
    <t>１０a機械</t>
  </si>
  <si>
    <t>単価</t>
  </si>
  <si>
    <t>堆肥</t>
  </si>
  <si>
    <t>t</t>
  </si>
  <si>
    <t>ℓ・kw／１０a</t>
  </si>
  <si>
    <t>マルチ(黒)</t>
  </si>
  <si>
    <t>200ｍ</t>
  </si>
  <si>
    <t>耕起･整地(ﾄﾗｸﾀｰ)</t>
  </si>
  <si>
    <t>マルチ(白黒)</t>
  </si>
  <si>
    <t>200ｍ</t>
  </si>
  <si>
    <t>木杭(畝端支柱)</t>
  </si>
  <si>
    <t>１本</t>
  </si>
  <si>
    <t>粒状苦土石灰</t>
  </si>
  <si>
    <t>袋</t>
  </si>
  <si>
    <t>支柱</t>
  </si>
  <si>
    <t>粒状BMようりん</t>
  </si>
  <si>
    <t>袋</t>
  </si>
  <si>
    <t>フラワーネット</t>
  </si>
  <si>
    <t>100ｍ</t>
  </si>
  <si>
    <t>小　計</t>
  </si>
  <si>
    <t>ネット補強紐</t>
  </si>
  <si>
    <t>1300ｍ</t>
  </si>
  <si>
    <t>ガソリン</t>
  </si>
  <si>
    <t>防除(動力噴霧機)</t>
  </si>
  <si>
    <t>セル成型トレイ</t>
  </si>
  <si>
    <t>１枚</t>
  </si>
  <si>
    <t>袋</t>
  </si>
  <si>
    <t>収穫出荷(軽ﾄﾗｯｸ･運搬車)</t>
  </si>
  <si>
    <t>防霜トンネルフィルム</t>
  </si>
  <si>
    <t>100ｍ</t>
  </si>
  <si>
    <t>堆肥･施肥(軽ﾄﾗｯｸ･運搬車)</t>
  </si>
  <si>
    <t>防霜小トンネル支柱</t>
  </si>
  <si>
    <t>1本</t>
  </si>
  <si>
    <t>畝立(管理機)</t>
  </si>
  <si>
    <t>育苗用土</t>
  </si>
  <si>
    <t>85ℓ</t>
  </si>
  <si>
    <t>クロス</t>
  </si>
  <si>
    <t>畦畔管理（草刈機）</t>
  </si>
  <si>
    <t>育苗ハウス張替ビニル</t>
  </si>
  <si>
    <t>育苗トンネルフィルム</t>
  </si>
  <si>
    <t>100ｍ</t>
  </si>
  <si>
    <t>育苗ﾄﾝﾈﾙ支柱</t>
  </si>
  <si>
    <t>小　計</t>
  </si>
  <si>
    <t>育苗ﾄﾝﾈﾙ寒冷紗</t>
  </si>
  <si>
    <t>10m</t>
  </si>
  <si>
    <t>小　計</t>
  </si>
  <si>
    <t>負担面積（a）</t>
  </si>
  <si>
    <t>草刈機</t>
  </si>
  <si>
    <t>収穫カマ</t>
  </si>
  <si>
    <t>（２）農薬費</t>
  </si>
  <si>
    <t>水揚げ用バケツ</t>
  </si>
  <si>
    <t>個</t>
  </si>
  <si>
    <t>小　計</t>
  </si>
  <si>
    <t>背負式動力噴霧器</t>
  </si>
  <si>
    <t>選花機</t>
  </si>
  <si>
    <t>温床ﾏｯﾄ(7月ｷｸ育苗)</t>
  </si>
  <si>
    <t>結束機</t>
  </si>
  <si>
    <t>収穫台車</t>
  </si>
  <si>
    <t>冷蔵庫</t>
  </si>
  <si>
    <t>ｶﾞｽﾊﾞｰﾅｰ(収穫ｶﾏ殺菌用）</t>
  </si>
  <si>
    <t>防除ﾏｽｸ</t>
  </si>
  <si>
    <t>ﾏｽｸﾌｨﾙﾀｰ</t>
  </si>
  <si>
    <t>防除ﾏｽｸﾊﾞｯﾃﾘｰ</t>
  </si>
  <si>
    <t>金額</t>
  </si>
  <si>
    <t>嚢</t>
  </si>
  <si>
    <t>作業場</t>
  </si>
  <si>
    <t>園芸施設共済</t>
  </si>
  <si>
    <t>展着剤等</t>
  </si>
  <si>
    <t>消費税</t>
  </si>
  <si>
    <t>展着剤等</t>
  </si>
  <si>
    <t>8種類</t>
  </si>
  <si>
    <t>14種類</t>
  </si>
  <si>
    <t>6種類</t>
  </si>
  <si>
    <t>※８－４　きく算出基礎シート参照</t>
  </si>
  <si>
    <t>出荷箱（245箱×210円），結束紐，荷造りテープ</t>
  </si>
  <si>
    <t>出荷本数×2.1円+８％</t>
  </si>
  <si>
    <t>販売額×14.5％</t>
  </si>
  <si>
    <t>きく</t>
  </si>
  <si>
    <t>動力噴霧機　等</t>
  </si>
  <si>
    <t>きく</t>
  </si>
  <si>
    <t>脇芽取り･摘蕾　　（輪菊のみ実施）</t>
  </si>
  <si>
    <t>作　業　別</t>
  </si>
  <si>
    <t>作　　　型</t>
  </si>
  <si>
    <t>↓</t>
  </si>
  <si>
    <t>◎</t>
  </si>
  <si>
    <t>×</t>
  </si>
  <si>
    <t>　　■■■■■</t>
  </si>
  <si>
    <t>　■■■■■</t>
  </si>
  <si>
    <t>　　↓</t>
  </si>
  <si>
    <t>◎　×</t>
  </si>
  <si>
    <t>　　　　■■■■■■</t>
  </si>
  <si>
    <t>■■■■■■</t>
  </si>
  <si>
    <t>摘芽･摘蕾</t>
  </si>
  <si>
    <t>旬　別　計</t>
  </si>
  <si>
    <t>月　  　計</t>
  </si>
  <si>
    <t>一般作業</t>
  </si>
  <si>
    <t>加工用米9ha</t>
  </si>
  <si>
    <t>きく1ha</t>
  </si>
  <si>
    <t>機械時間（1ha当たり）</t>
  </si>
  <si>
    <t>人力時間（1ha当たり）</t>
  </si>
  <si>
    <t>使用資材
（1ha当たり）</t>
  </si>
  <si>
    <t>種籾　　　30ｋｇ
種子消毒剤
土壌消毒剤
育苗培土</t>
  </si>
  <si>
    <t>トラクター
コンポキャスター</t>
  </si>
  <si>
    <t>圃場（事前に堆肥，土壌改良資材を混和）に基肥施用後耕起畝立（畝幅140㎝，畝高30㎝程度）　　　　　　　　　畝が充分湿っている状態でﾏﾙﾁ被覆
支柱（目安２ｍ間隔）とﾌﾗﾜｰﾈｯﾄを設置</t>
  </si>
  <si>
    <t>ﾌﾗﾜｰﾈｯﾄの桝目を目安にして,ﾏﾙﾁにｽﾘｯﾄ状の切込を入れ(植穴をあけ)定植（株間10㎝，2条/畝）
定植後，すぐに植穴にしっかり灌水</t>
  </si>
  <si>
    <t>定植後，根が活着したころ成長点を摘む</t>
  </si>
  <si>
    <t xml:space="preserve">摘芯後，伸長してきた側枝を３～４本/株に整理
下葉とり
</t>
  </si>
  <si>
    <t>収穫適期（目安：蕾着色期～花弁展開前）に収穫</t>
  </si>
  <si>
    <t>規格に従い，選花，結束，箱詰め後出荷</t>
  </si>
  <si>
    <t>予防散布を中心として定期的に農薬散布
病徴や害虫の早期発見
初発の徹底防除</t>
  </si>
  <si>
    <t>かぎ挿し，切下株の伏込みにより伸びてきた冬至芽を随時摘芯,挿し芽して穂木を確保</t>
  </si>
  <si>
    <t>ｾﾙﾄﾚｲに育苗用土を詰め,予め充分灌水
挿し芽後充分灌水
育苗期間中，こまめに温度，日射，水分管理　　　　</t>
  </si>
  <si>
    <t>トラクター　　　　　　　管理機
杭打機
軽トラックまたは動力運搬車</t>
  </si>
  <si>
    <t>軽トラックまたは動力運搬車</t>
  </si>
  <si>
    <t>調整作業場　　　　
選花機　　　　　　　
結束機　　　　　　　　
きく乾燥機　　　　　
冷蔵庫　　　　　　　
軽トラック</t>
  </si>
  <si>
    <t>動力噴霧機　　　　
軽トラックまたは動力運搬車</t>
  </si>
  <si>
    <t>育苗ハウス
背負式動噴
動力噴霧機</t>
  </si>
  <si>
    <t>堆肥　　    　2～3ｔ　　　　　　　　　基肥 N成分約20kg　　　　　　　　マルチ     約700m　　　　　　　　支柱　     約650本　　　　　　　    　　ﾌﾗﾜｰﾈｯﾄ  約700m　　　　　　　　　ﾈｯﾄ留板    約70枚　</t>
  </si>
  <si>
    <t>防霜小ﾄﾝﾈﾙ　　　　（～8月ｷｸ）　　　</t>
  </si>
  <si>
    <t>出荷箱　約210箱　　　　　　　　結束紐　　　　　　　　
ガムテープ</t>
  </si>
  <si>
    <t>保温小ﾄﾝﾈﾙ
（親株ﾋﾞﾆﾙﾊｳｽ）</t>
  </si>
  <si>
    <t>ｾﾙ成型ﾄﾚｲ 約40枚 　 
育苗用土 　約100ℓ　　
水稲育苗箱約40枚
発根促進剤
保温小ﾄﾝﾈﾙ
寒冷紗</t>
  </si>
  <si>
    <t>適度な土壌水分状態のときに耕起
春の耕起が難しい作型では，秋に耕起，施肥，ﾏﾙﾁ被覆</t>
  </si>
  <si>
    <t>定植作業前後に苗の根の乾燥に注意</t>
  </si>
  <si>
    <t>摘み残しがないよう注意
温度の低い時間帯に行うと日中よりも作業が容易
品種，出荷計画により開花抑制剤を使用</t>
  </si>
  <si>
    <t>徒長茎，弱小茎を除去し生育を揃える</t>
  </si>
  <si>
    <t>収穫適期は品種特性に合わせて調整　　　　　　　　　　　収穫鎌は品種ごとに換えるかこまめに消毒</t>
  </si>
  <si>
    <t>雨や夜露で濡れた状態で収穫したものは乾燥　　　　　　　　　　
水揚げを確実に実施</t>
  </si>
  <si>
    <t>病害虫防除基準に準じた防除　</t>
  </si>
  <si>
    <t>発根まで強日照による芽やけ，低日照による徒長，灌水過多による腐敗･徒長に注意
育苗時期によっては温床で発根促進</t>
  </si>
  <si>
    <t>病害虫のない株か　ら親株を確保　　　　　　　　　親株管理時の病害　虫防除
積雪地で育苗ﾊｳｽの雪害対策（耐　雪ﾊｳｽ，補強支柱の設置等）</t>
  </si>
  <si>
    <t>塩水選、種子消毒の実施
適正な温度管理
は種量の適正化</t>
  </si>
  <si>
    <t>土づくりの実施
田面の均平化</t>
  </si>
  <si>
    <t>適期田植
適正な栽植密度</t>
  </si>
  <si>
    <t>適正な水管理
使用薬量を均一に散布</t>
  </si>
  <si>
    <t>間断かんがい、中干しの実施
適期落水の実施</t>
  </si>
  <si>
    <t>適期防除</t>
  </si>
  <si>
    <t>適期刈取
適正な乾燥調製</t>
  </si>
  <si>
    <t>肥料：基肥一発型緩効性肥料350kg～500kg
箱施用剤
除草剤</t>
  </si>
  <si>
    <r>
      <t>h</t>
    </r>
    <r>
      <rPr>
        <sz val="11"/>
        <rFont val="ＭＳ Ｐゴシック"/>
        <family val="3"/>
      </rPr>
      <t>a</t>
    </r>
  </si>
  <si>
    <t>品種の組み合わせで，機械の効率的利用を図る</t>
  </si>
  <si>
    <t>土づくり肥料を散布して耕起
入水後代かき</t>
  </si>
  <si>
    <t>田植機（肥料、箱施用剤、除草剤散布機付）で移植</t>
  </si>
  <si>
    <t>雑草が多い場合は、水稲生育期に除草剤を散布</t>
  </si>
  <si>
    <t>米の直接支払直接支払</t>
  </si>
  <si>
    <t>３-２　標準技術（きく）</t>
  </si>
  <si>
    <t>５-２　作業別・旬別作業時間（きく）</t>
  </si>
  <si>
    <t>右表（イ）　※８－３　水稲算出基礎シート参照</t>
  </si>
  <si>
    <t>右表（ウ）　※８－３　水稲算出基礎シート参照</t>
  </si>
  <si>
    <t>右表（エ）　※８－３　水稲算出基礎シート参照</t>
  </si>
  <si>
    <t>※８－３　水稲算出基礎シート参照</t>
  </si>
  <si>
    <t>自家育苗　　　　　　　　　　　　　　　　　　　　　　　　　　　　　　　　　　　　　　　　　　　　　　　　　　　　　　　　　露地（季咲中心）栽培</t>
  </si>
  <si>
    <t>経営開始時，規模拡大時に費用（種苗費，諸材料費）を多く要する　　　　　　　　　　　　　　　　　　　　　　水稲との輪作による連作障害対策を行なう　　　　　　　　　　　　　　　　　　　　　　　　　　　　　　　　　　　　　病害虫防除の徹底　　　　　　　　　　　　　　　　　　　　　　　　　　　　　　　　　　　　　　　　　　　　　　　　　　　　　各栽培管理の適期実施</t>
  </si>
  <si>
    <t>水稲：系統利用（一部構成員へ販売）
加工用米：系統利用（複数年契約）</t>
  </si>
  <si>
    <t>水稲：普通
きく：露地</t>
  </si>
  <si>
    <t>８-４　経費の算出基礎（きく，10a当たり）</t>
  </si>
  <si>
    <t>Ａ</t>
  </si>
  <si>
    <t>Ａ</t>
  </si>
  <si>
    <t>Ａ</t>
  </si>
  <si>
    <t>Ｂ</t>
  </si>
  <si>
    <t>Ｂ</t>
  </si>
  <si>
    <t>Ｃ</t>
  </si>
  <si>
    <t>Ｃ</t>
  </si>
  <si>
    <t>Ｄ</t>
  </si>
  <si>
    <t>Ｄ</t>
  </si>
  <si>
    <t>Ｅ</t>
  </si>
  <si>
    <t>Ｅ</t>
  </si>
  <si>
    <t>Ｆ</t>
  </si>
  <si>
    <t>Ｆ</t>
  </si>
  <si>
    <t>Ｇ</t>
  </si>
  <si>
    <t>Ｇ</t>
  </si>
  <si>
    <t>Ｈ</t>
  </si>
  <si>
    <t>Ｈ</t>
  </si>
  <si>
    <t>Ｉ</t>
  </si>
  <si>
    <t>Ｊ</t>
  </si>
  <si>
    <t>Ｋ</t>
  </si>
  <si>
    <t>Ｌ</t>
  </si>
  <si>
    <t>Ｍ</t>
  </si>
  <si>
    <t>Ｎ</t>
  </si>
  <si>
    <t>Ｂ</t>
  </si>
  <si>
    <t>土壌改良資材</t>
  </si>
  <si>
    <t>緩効性肥料</t>
  </si>
  <si>
    <t>種子消毒殺菌剤</t>
  </si>
  <si>
    <t>育苗用殺菌剤</t>
  </si>
  <si>
    <t>一発剤</t>
  </si>
  <si>
    <t>箱施用剤</t>
  </si>
  <si>
    <t>殺虫殺菌剤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</si>
</sst>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m/d"/>
    <numFmt numFmtId="186" formatCode="0_);[Red]\(0\)"/>
    <numFmt numFmtId="187" formatCode="0.0"/>
    <numFmt numFmtId="188" formatCode="0.00_ "/>
    <numFmt numFmtId="189" formatCode="#,##0.00_ "/>
    <numFmt numFmtId="190" formatCode="0.000"/>
    <numFmt numFmtId="191" formatCode="#,##0_ "/>
    <numFmt numFmtId="192" formatCode="#,##0.0_ "/>
    <numFmt numFmtId="193" formatCode="0_ "/>
    <numFmt numFmtId="194" formatCode="m/d;@"/>
    <numFmt numFmtId="195" formatCode="0.0000"/>
    <numFmt numFmtId="196" formatCode="0.0_ "/>
    <numFmt numFmtId="197" formatCode="0&quot;台&quot;"/>
    <numFmt numFmtId="198" formatCode="#,##0.00_);[Red]\(#,##0.00\)"/>
    <numFmt numFmtId="199" formatCode="&quot;水&quot;&quot;稲&quot;#,##0.0&quot;ha&quot;"/>
    <numFmt numFmtId="200" formatCode="&quot;大豆&quot;#,##0.0&quot;ha&quot;"/>
    <numFmt numFmtId="201" formatCode="&quot;麦&quot;#,##0.0&quot;ha&quot;"/>
    <numFmt numFmtId="202" formatCode="0&quot;円/時&quot;"/>
    <numFmt numFmtId="203" formatCode="0&quot;円/袋&quot;"/>
    <numFmt numFmtId="204" formatCode="0&quot;円/10a&quot;"/>
    <numFmt numFmtId="205" formatCode="&quot;大&quot;&quot;豆&quot;#,##0.0&quot;ha&quot;"/>
    <numFmt numFmtId="206" formatCode="0.0_);\(0.0\)"/>
    <numFmt numFmtId="207" formatCode="#,##0.0_ ;[Red]\-#,##0.0\ "/>
    <numFmt numFmtId="208" formatCode="#,##0.00;&quot;▲ &quot;#,##0.00"/>
    <numFmt numFmtId="209" formatCode="0.00_);[Red]\(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C0C0"/>
        <bgColor indexed="64"/>
      </patternFill>
    </fill>
  </fills>
  <borders count="2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tted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dotted">
        <color indexed="8"/>
      </right>
      <top/>
      <bottom/>
    </border>
    <border>
      <left style="dotted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 style="thin"/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>
        <color indexed="8"/>
      </right>
      <top/>
      <bottom style="thin"/>
    </border>
    <border>
      <left/>
      <right style="medium">
        <color indexed="8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>
        <color indexed="8"/>
      </right>
      <top style="thin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/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double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double">
        <color indexed="8"/>
      </bottom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/>
    </border>
    <border>
      <left style="medium"/>
      <right/>
      <top/>
      <bottom style="double">
        <color indexed="8"/>
      </bottom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37" fontId="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27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179" fontId="0" fillId="0" borderId="13" xfId="0" applyNumberFormat="1" applyFont="1" applyFill="1" applyBorder="1" applyAlignment="1">
      <alignment vertical="center" shrinkToFit="1"/>
    </xf>
    <xf numFmtId="9" fontId="0" fillId="0" borderId="11" xfId="0" applyNumberFormat="1" applyFont="1" applyFill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8" fontId="0" fillId="0" borderId="0" xfId="5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181" fontId="0" fillId="0" borderId="17" xfId="0" applyNumberFormat="1" applyFont="1" applyBorder="1" applyAlignment="1">
      <alignment horizontal="right" vertical="center"/>
    </xf>
    <xf numFmtId="38" fontId="0" fillId="0" borderId="18" xfId="5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1" fontId="0" fillId="0" borderId="20" xfId="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 shrinkToFit="1"/>
    </xf>
    <xf numFmtId="181" fontId="0" fillId="33" borderId="20" xfId="0" applyNumberFormat="1" applyFont="1" applyFill="1" applyBorder="1" applyAlignment="1">
      <alignment horizontal="right" vertical="center"/>
    </xf>
    <xf numFmtId="181" fontId="0" fillId="33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181" fontId="0" fillId="34" borderId="2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181" fontId="0" fillId="34" borderId="24" xfId="0" applyNumberFormat="1" applyFont="1" applyFill="1" applyBorder="1" applyAlignment="1">
      <alignment horizontal="right" vertical="center"/>
    </xf>
    <xf numFmtId="38" fontId="0" fillId="0" borderId="25" xfId="50" applyFont="1" applyBorder="1" applyAlignment="1">
      <alignment vertical="center" shrinkToFit="1"/>
    </xf>
    <xf numFmtId="181" fontId="0" fillId="33" borderId="26" xfId="50" applyNumberFormat="1" applyFont="1" applyFill="1" applyBorder="1" applyAlignment="1">
      <alignment horizontal="right" vertical="center"/>
    </xf>
    <xf numFmtId="38" fontId="0" fillId="0" borderId="27" xfId="50" applyFont="1" applyBorder="1" applyAlignment="1">
      <alignment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81" fontId="0" fillId="0" borderId="14" xfId="50" applyNumberFormat="1" applyFont="1" applyBorder="1" applyAlignment="1">
      <alignment horizontal="right" vertical="center"/>
    </xf>
    <xf numFmtId="181" fontId="0" fillId="0" borderId="23" xfId="50" applyNumberFormat="1" applyFont="1" applyBorder="1" applyAlignment="1">
      <alignment horizontal="right" vertical="center"/>
    </xf>
    <xf numFmtId="38" fontId="0" fillId="0" borderId="30" xfId="50" applyFont="1" applyBorder="1" applyAlignment="1">
      <alignment vertical="center" shrinkToFi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32" xfId="50" applyFont="1" applyBorder="1" applyAlignment="1">
      <alignment vertical="center" shrinkToFit="1"/>
    </xf>
    <xf numFmtId="181" fontId="0" fillId="34" borderId="33" xfId="50" applyNumberFormat="1" applyFont="1" applyFill="1" applyBorder="1" applyAlignment="1">
      <alignment horizontal="right" vertical="center"/>
    </xf>
    <xf numFmtId="181" fontId="0" fillId="33" borderId="34" xfId="50" applyNumberFormat="1" applyFont="1" applyFill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36" xfId="0" applyNumberFormat="1" applyFont="1" applyBorder="1" applyAlignment="1">
      <alignment horizontal="center" vertical="center" shrinkToFit="1"/>
    </xf>
    <xf numFmtId="179" fontId="0" fillId="0" borderId="36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79" fontId="0" fillId="0" borderId="11" xfId="0" applyNumberFormat="1" applyFont="1" applyBorder="1" applyAlignment="1">
      <alignment horizontal="center" vertical="center" shrinkToFit="1"/>
    </xf>
    <xf numFmtId="182" fontId="0" fillId="0" borderId="11" xfId="42" applyNumberFormat="1" applyFont="1" applyBorder="1" applyAlignment="1">
      <alignment vertical="center" shrinkToFit="1"/>
    </xf>
    <xf numFmtId="9" fontId="0" fillId="0" borderId="11" xfId="0" applyNumberFormat="1" applyFont="1" applyBorder="1" applyAlignment="1">
      <alignment vertical="center" shrinkToFit="1"/>
    </xf>
    <xf numFmtId="176" fontId="0" fillId="35" borderId="11" xfId="0" applyNumberFormat="1" applyFont="1" applyFill="1" applyBorder="1" applyAlignment="1">
      <alignment vertical="center" shrinkToFit="1"/>
    </xf>
    <xf numFmtId="179" fontId="0" fillId="35" borderId="11" xfId="0" applyNumberFormat="1" applyFont="1" applyFill="1" applyBorder="1" applyAlignment="1">
      <alignment vertical="center" shrinkToFit="1"/>
    </xf>
    <xf numFmtId="9" fontId="0" fillId="0" borderId="11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9" fontId="0" fillId="0" borderId="11" xfId="42" applyFont="1" applyBorder="1" applyAlignment="1">
      <alignment vertical="center" shrinkToFit="1"/>
    </xf>
    <xf numFmtId="176" fontId="0" fillId="35" borderId="37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horizontal="left" vertical="center" indent="1"/>
    </xf>
    <xf numFmtId="179" fontId="0" fillId="0" borderId="11" xfId="0" applyNumberFormat="1" applyFont="1" applyBorder="1" applyAlignment="1">
      <alignment vertical="center" shrinkToFit="1"/>
    </xf>
    <xf numFmtId="179" fontId="0" fillId="0" borderId="39" xfId="0" applyNumberFormat="1" applyFont="1" applyBorder="1" applyAlignment="1">
      <alignment vertical="center" shrinkToFit="1"/>
    </xf>
    <xf numFmtId="179" fontId="0" fillId="0" borderId="44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/>
    </xf>
    <xf numFmtId="179" fontId="0" fillId="0" borderId="38" xfId="0" applyNumberFormat="1" applyFont="1" applyBorder="1" applyAlignment="1">
      <alignment vertical="center" shrinkToFit="1"/>
    </xf>
    <xf numFmtId="179" fontId="0" fillId="0" borderId="40" xfId="0" applyNumberFormat="1" applyFont="1" applyBorder="1" applyAlignment="1">
      <alignment vertical="center" shrinkToFit="1"/>
    </xf>
    <xf numFmtId="176" fontId="0" fillId="0" borderId="45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vertical="center" shrinkToFit="1"/>
    </xf>
    <xf numFmtId="179" fontId="0" fillId="0" borderId="35" xfId="0" applyNumberFormat="1" applyFont="1" applyBorder="1" applyAlignment="1">
      <alignment vertical="center" shrinkToFit="1"/>
    </xf>
    <xf numFmtId="179" fontId="0" fillId="0" borderId="46" xfId="0" applyNumberFormat="1" applyFont="1" applyBorder="1" applyAlignment="1">
      <alignment vertical="center" shrinkToFit="1"/>
    </xf>
    <xf numFmtId="0" fontId="0" fillId="0" borderId="0" xfId="66" applyFont="1" applyBorder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1" fillId="0" borderId="47" xfId="66" applyFont="1" applyBorder="1" applyAlignment="1">
      <alignment horizontal="center" vertical="center" wrapText="1"/>
      <protection/>
    </xf>
    <xf numFmtId="0" fontId="7" fillId="0" borderId="0" xfId="66" applyFont="1" applyAlignment="1">
      <alignment horizontal="justify" vertical="center"/>
      <protection/>
    </xf>
    <xf numFmtId="0" fontId="0" fillId="0" borderId="0" xfId="0" applyFont="1" applyAlignment="1">
      <alignment vertical="center"/>
    </xf>
    <xf numFmtId="0" fontId="1" fillId="0" borderId="48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" fillId="0" borderId="0" xfId="66" applyFont="1" applyAlignment="1">
      <alignment horizontal="justify" vertical="center"/>
      <protection/>
    </xf>
    <xf numFmtId="0" fontId="0" fillId="0" borderId="49" xfId="66" applyFont="1" applyBorder="1" applyAlignment="1">
      <alignment horizontal="center" vertical="center" wrapText="1"/>
      <protection/>
    </xf>
    <xf numFmtId="0" fontId="0" fillId="0" borderId="50" xfId="66" applyFont="1" applyBorder="1" applyAlignment="1">
      <alignment horizontal="center" vertical="center" wrapText="1"/>
      <protection/>
    </xf>
    <xf numFmtId="0" fontId="0" fillId="0" borderId="51" xfId="66" applyFont="1" applyBorder="1" applyAlignment="1">
      <alignment horizontal="center" vertical="center" wrapText="1"/>
      <protection/>
    </xf>
    <xf numFmtId="0" fontId="0" fillId="0" borderId="52" xfId="66" applyFont="1" applyBorder="1" applyAlignment="1">
      <alignment horizontal="center" vertical="center" wrapText="1"/>
      <protection/>
    </xf>
    <xf numFmtId="0" fontId="0" fillId="0" borderId="53" xfId="66" applyFont="1" applyBorder="1" applyAlignment="1">
      <alignment horizontal="center" vertical="center" wrapText="1"/>
      <protection/>
    </xf>
    <xf numFmtId="0" fontId="0" fillId="0" borderId="54" xfId="66" applyFont="1" applyBorder="1" applyAlignment="1">
      <alignment horizontal="center" vertical="center" wrapText="1"/>
      <protection/>
    </xf>
    <xf numFmtId="0" fontId="0" fillId="0" borderId="55" xfId="66" applyFont="1" applyBorder="1" applyAlignment="1">
      <alignment horizontal="center" vertical="center" wrapText="1"/>
      <protection/>
    </xf>
    <xf numFmtId="0" fontId="0" fillId="0" borderId="56" xfId="66" applyFont="1" applyBorder="1" applyAlignment="1">
      <alignment horizontal="center" vertical="center" wrapText="1"/>
      <protection/>
    </xf>
    <xf numFmtId="0" fontId="0" fillId="0" borderId="57" xfId="66" applyFont="1" applyBorder="1" applyAlignment="1">
      <alignment horizontal="center" vertical="center" wrapText="1"/>
      <protection/>
    </xf>
    <xf numFmtId="0" fontId="0" fillId="0" borderId="58" xfId="66" applyFont="1" applyBorder="1" applyAlignment="1">
      <alignment horizontal="center" vertical="center" wrapText="1"/>
      <protection/>
    </xf>
    <xf numFmtId="0" fontId="0" fillId="0" borderId="59" xfId="66" applyFont="1" applyBorder="1" applyAlignment="1">
      <alignment horizontal="center" vertical="center" wrapText="1"/>
      <protection/>
    </xf>
    <xf numFmtId="0" fontId="0" fillId="0" borderId="37" xfId="66" applyFont="1" applyBorder="1" applyAlignment="1">
      <alignment horizontal="center" vertical="center" wrapText="1"/>
      <protection/>
    </xf>
    <xf numFmtId="0" fontId="0" fillId="0" borderId="0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center" vertical="center" wrapText="1"/>
      <protection/>
    </xf>
    <xf numFmtId="0" fontId="0" fillId="0" borderId="40" xfId="66" applyFont="1" applyBorder="1" applyAlignment="1">
      <alignment horizontal="center" vertical="center" wrapText="1"/>
      <protection/>
    </xf>
    <xf numFmtId="0" fontId="0" fillId="0" borderId="60" xfId="66" applyFont="1" applyBorder="1" applyAlignment="1">
      <alignment horizontal="center" vertical="center" wrapText="1"/>
      <protection/>
    </xf>
    <xf numFmtId="0" fontId="0" fillId="0" borderId="61" xfId="66" applyFont="1" applyBorder="1" applyAlignment="1">
      <alignment horizontal="center" vertical="center" wrapText="1"/>
      <protection/>
    </xf>
    <xf numFmtId="0" fontId="0" fillId="0" borderId="62" xfId="66" applyFont="1" applyBorder="1" applyAlignment="1">
      <alignment horizontal="center" vertical="center" wrapText="1"/>
      <protection/>
    </xf>
    <xf numFmtId="0" fontId="0" fillId="0" borderId="42" xfId="66" applyFont="1" applyBorder="1" applyAlignment="1">
      <alignment horizontal="center" vertical="center" wrapText="1"/>
      <protection/>
    </xf>
    <xf numFmtId="0" fontId="1" fillId="0" borderId="0" xfId="66" applyFont="1" applyBorder="1" applyAlignment="1">
      <alignment vertical="center" wrapText="1"/>
      <protection/>
    </xf>
    <xf numFmtId="0" fontId="1" fillId="0" borderId="41" xfId="66" applyFont="1" applyBorder="1" applyAlignment="1">
      <alignment vertical="center" wrapText="1"/>
      <protection/>
    </xf>
    <xf numFmtId="0" fontId="0" fillId="0" borderId="0" xfId="66" applyFont="1" applyAlignment="1">
      <alignment vertical="center" wrapText="1"/>
      <protection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9" xfId="0" applyNumberFormat="1" applyFont="1" applyFill="1" applyBorder="1" applyAlignment="1">
      <alignment horizontal="left" vertical="center"/>
    </xf>
    <xf numFmtId="177" fontId="0" fillId="0" borderId="0" xfId="67" applyNumberFormat="1" applyFont="1" applyBorder="1" applyAlignment="1">
      <alignment vertical="center"/>
      <protection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 shrinkToFit="1"/>
    </xf>
    <xf numFmtId="177" fontId="0" fillId="0" borderId="54" xfId="0" applyNumberFormat="1" applyFont="1" applyBorder="1" applyAlignment="1">
      <alignment vertical="center" shrinkToFit="1"/>
    </xf>
    <xf numFmtId="176" fontId="0" fillId="0" borderId="63" xfId="0" applyNumberFormat="1" applyFont="1" applyBorder="1" applyAlignment="1">
      <alignment horizontal="center" vertical="center" shrinkToFit="1"/>
    </xf>
    <xf numFmtId="176" fontId="0" fillId="0" borderId="64" xfId="0" applyNumberFormat="1" applyFont="1" applyBorder="1" applyAlignment="1">
      <alignment vertical="center" shrinkToFit="1"/>
    </xf>
    <xf numFmtId="176" fontId="0" fillId="0" borderId="44" xfId="0" applyNumberFormat="1" applyFont="1" applyBorder="1" applyAlignment="1">
      <alignment vertical="center" shrinkToFit="1"/>
    </xf>
    <xf numFmtId="176" fontId="0" fillId="35" borderId="65" xfId="0" applyNumberFormat="1" applyFont="1" applyFill="1" applyBorder="1" applyAlignment="1">
      <alignment vertical="center" shrinkToFit="1"/>
    </xf>
    <xf numFmtId="176" fontId="0" fillId="35" borderId="66" xfId="0" applyNumberFormat="1" applyFont="1" applyFill="1" applyBorder="1" applyAlignment="1">
      <alignment vertical="center" shrinkToFit="1"/>
    </xf>
    <xf numFmtId="176" fontId="0" fillId="35" borderId="67" xfId="0" applyNumberFormat="1" applyFont="1" applyFill="1" applyBorder="1" applyAlignment="1">
      <alignment horizontal="center" vertical="center" shrinkToFit="1"/>
    </xf>
    <xf numFmtId="176" fontId="0" fillId="35" borderId="67" xfId="0" applyNumberFormat="1" applyFont="1" applyFill="1" applyBorder="1" applyAlignment="1">
      <alignment vertical="center" shrinkToFit="1"/>
    </xf>
    <xf numFmtId="176" fontId="0" fillId="35" borderId="68" xfId="0" applyNumberFormat="1" applyFont="1" applyFill="1" applyBorder="1" applyAlignment="1">
      <alignment vertical="center" shrinkToFit="1"/>
    </xf>
    <xf numFmtId="176" fontId="0" fillId="35" borderId="13" xfId="0" applyNumberFormat="1" applyFont="1" applyFill="1" applyBorder="1" applyAlignment="1">
      <alignment horizontal="center" vertical="center" shrinkToFit="1"/>
    </xf>
    <xf numFmtId="176" fontId="0" fillId="35" borderId="13" xfId="0" applyNumberFormat="1" applyFont="1" applyFill="1" applyBorder="1" applyAlignment="1">
      <alignment vertical="center" shrinkToFit="1"/>
    </xf>
    <xf numFmtId="176" fontId="0" fillId="35" borderId="46" xfId="0" applyNumberFormat="1" applyFont="1" applyFill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47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9" fontId="0" fillId="0" borderId="14" xfId="0" applyNumberFormat="1" applyFont="1" applyBorder="1" applyAlignment="1">
      <alignment horizontal="center" vertical="center" shrinkToFit="1"/>
    </xf>
    <xf numFmtId="176" fontId="0" fillId="35" borderId="69" xfId="0" applyNumberFormat="1" applyFont="1" applyFill="1" applyBorder="1" applyAlignment="1">
      <alignment vertical="center" shrinkToFit="1"/>
    </xf>
    <xf numFmtId="179" fontId="0" fillId="0" borderId="34" xfId="0" applyNumberFormat="1" applyFont="1" applyBorder="1" applyAlignment="1">
      <alignment horizontal="center" vertical="center" shrinkToFit="1"/>
    </xf>
    <xf numFmtId="183" fontId="0" fillId="0" borderId="11" xfId="0" applyNumberFormat="1" applyFont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64" xfId="0" applyNumberFormat="1" applyFont="1" applyBorder="1" applyAlignment="1">
      <alignment vertical="center" shrinkToFit="1"/>
    </xf>
    <xf numFmtId="177" fontId="0" fillId="35" borderId="70" xfId="0" applyNumberFormat="1" applyFont="1" applyFill="1" applyBorder="1" applyAlignment="1">
      <alignment vertical="center" shrinkToFit="1"/>
    </xf>
    <xf numFmtId="177" fontId="0" fillId="35" borderId="71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vertical="center" shrinkToFit="1"/>
    </xf>
    <xf numFmtId="177" fontId="0" fillId="35" borderId="72" xfId="0" applyNumberFormat="1" applyFont="1" applyFill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81" fontId="0" fillId="0" borderId="19" xfId="50" applyNumberFormat="1" applyFont="1" applyFill="1" applyBorder="1" applyAlignment="1">
      <alignment vertical="center"/>
    </xf>
    <xf numFmtId="181" fontId="0" fillId="0" borderId="23" xfId="5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1" fontId="0" fillId="0" borderId="73" xfId="5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9" fontId="0" fillId="0" borderId="55" xfId="0" applyNumberFormat="1" applyFont="1" applyFill="1" applyBorder="1" applyAlignment="1">
      <alignment vertical="center"/>
    </xf>
    <xf numFmtId="177" fontId="0" fillId="0" borderId="74" xfId="0" applyNumberFormat="1" applyFont="1" applyFill="1" applyBorder="1" applyAlignment="1">
      <alignment vertical="center"/>
    </xf>
    <xf numFmtId="177" fontId="0" fillId="0" borderId="75" xfId="0" applyNumberFormat="1" applyFont="1" applyFill="1" applyBorder="1" applyAlignment="1">
      <alignment horizontal="center" vertical="center"/>
    </xf>
    <xf numFmtId="177" fontId="0" fillId="0" borderId="76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vertical="center"/>
    </xf>
    <xf numFmtId="177" fontId="0" fillId="0" borderId="77" xfId="0" applyNumberFormat="1" applyFont="1" applyFill="1" applyBorder="1" applyAlignment="1">
      <alignment horizontal="center" vertical="center" shrinkToFit="1"/>
    </xf>
    <xf numFmtId="177" fontId="0" fillId="0" borderId="75" xfId="0" applyNumberFormat="1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vertical="center" shrinkToFit="1"/>
    </xf>
    <xf numFmtId="177" fontId="0" fillId="0" borderId="43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177" fontId="0" fillId="0" borderId="43" xfId="0" applyNumberFormat="1" applyFont="1" applyFill="1" applyBorder="1" applyAlignment="1">
      <alignment vertical="center" shrinkToFit="1"/>
    </xf>
    <xf numFmtId="177" fontId="0" fillId="0" borderId="11" xfId="0" applyNumberFormat="1" applyFont="1" applyFill="1" applyBorder="1" applyAlignment="1">
      <alignment vertical="center" shrinkToFit="1"/>
    </xf>
    <xf numFmtId="177" fontId="0" fillId="0" borderId="40" xfId="0" applyNumberFormat="1" applyFont="1" applyFill="1" applyBorder="1" applyAlignment="1">
      <alignment vertical="center" shrinkToFit="1"/>
    </xf>
    <xf numFmtId="177" fontId="0" fillId="0" borderId="37" xfId="0" applyNumberFormat="1" applyFont="1" applyFill="1" applyBorder="1" applyAlignment="1">
      <alignment vertical="center" shrinkToFit="1"/>
    </xf>
    <xf numFmtId="177" fontId="0" fillId="0" borderId="78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56" xfId="0" applyNumberFormat="1" applyFont="1" applyFill="1" applyBorder="1" applyAlignment="1">
      <alignment vertical="center" shrinkToFit="1"/>
    </xf>
    <xf numFmtId="177" fontId="0" fillId="0" borderId="59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11" xfId="67" applyNumberFormat="1" applyFont="1" applyFill="1" applyBorder="1" applyAlignment="1">
      <alignment vertical="center"/>
      <protection/>
    </xf>
    <xf numFmtId="0" fontId="0" fillId="0" borderId="55" xfId="67" applyFont="1" applyFill="1" applyBorder="1" applyAlignment="1">
      <alignment vertical="center" shrinkToFit="1"/>
      <protection/>
    </xf>
    <xf numFmtId="0" fontId="0" fillId="0" borderId="59" xfId="67" applyFont="1" applyFill="1" applyBorder="1" applyAlignment="1">
      <alignment vertical="center" shrinkToFit="1"/>
      <protection/>
    </xf>
    <xf numFmtId="178" fontId="0" fillId="0" borderId="59" xfId="0" applyNumberFormat="1" applyFont="1" applyFill="1" applyBorder="1" applyAlignment="1">
      <alignment horizontal="left" vertical="center"/>
    </xf>
    <xf numFmtId="0" fontId="0" fillId="0" borderId="55" xfId="67" applyFont="1" applyFill="1" applyBorder="1" applyAlignment="1">
      <alignment vertical="center"/>
      <protection/>
    </xf>
    <xf numFmtId="0" fontId="0" fillId="0" borderId="59" xfId="67" applyFont="1" applyFill="1" applyBorder="1" applyAlignment="1">
      <alignment vertical="center"/>
      <protection/>
    </xf>
    <xf numFmtId="177" fontId="0" fillId="0" borderId="55" xfId="67" applyNumberFormat="1" applyFont="1" applyFill="1" applyBorder="1" applyAlignment="1">
      <alignment vertical="center"/>
      <protection/>
    </xf>
    <xf numFmtId="177" fontId="0" fillId="0" borderId="59" xfId="67" applyNumberFormat="1" applyFont="1" applyFill="1" applyBorder="1" applyAlignment="1">
      <alignment vertical="center"/>
      <protection/>
    </xf>
    <xf numFmtId="178" fontId="0" fillId="0" borderId="55" xfId="0" applyNumberFormat="1" applyFont="1" applyFill="1" applyBorder="1" applyAlignment="1">
      <alignment horizontal="left" vertical="center"/>
    </xf>
    <xf numFmtId="177" fontId="0" fillId="0" borderId="55" xfId="67" applyNumberFormat="1" applyFont="1" applyFill="1" applyBorder="1" applyAlignment="1">
      <alignment vertical="center" shrinkToFit="1"/>
      <protection/>
    </xf>
    <xf numFmtId="178" fontId="0" fillId="0" borderId="40" xfId="0" applyNumberFormat="1" applyFont="1" applyFill="1" applyBorder="1" applyAlignment="1">
      <alignment horizontal="left" vertical="center"/>
    </xf>
    <xf numFmtId="177" fontId="0" fillId="0" borderId="40" xfId="67" applyNumberFormat="1" applyFont="1" applyFill="1" applyBorder="1" applyAlignment="1">
      <alignment vertical="center" shrinkToFit="1"/>
      <protection/>
    </xf>
    <xf numFmtId="178" fontId="0" fillId="0" borderId="42" xfId="0" applyNumberFormat="1" applyFont="1" applyFill="1" applyBorder="1" applyAlignment="1">
      <alignment horizontal="left" vertical="center"/>
    </xf>
    <xf numFmtId="177" fontId="0" fillId="0" borderId="11" xfId="67" applyNumberFormat="1" applyFont="1" applyFill="1" applyBorder="1" applyAlignment="1">
      <alignment vertical="center" shrinkToFit="1"/>
      <protection/>
    </xf>
    <xf numFmtId="182" fontId="0" fillId="0" borderId="55" xfId="0" applyNumberFormat="1" applyFont="1" applyFill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7" fontId="0" fillId="0" borderId="79" xfId="67" applyNumberFormat="1" applyFont="1" applyBorder="1" applyAlignment="1">
      <alignment horizontal="center" vertical="center" shrinkToFit="1"/>
      <protection/>
    </xf>
    <xf numFmtId="177" fontId="0" fillId="0" borderId="14" xfId="67" applyNumberFormat="1" applyFont="1" applyBorder="1" applyAlignment="1">
      <alignment horizontal="center" vertical="center" shrinkToFit="1"/>
      <protection/>
    </xf>
    <xf numFmtId="176" fontId="0" fillId="35" borderId="80" xfId="0" applyNumberFormat="1" applyFont="1" applyFill="1" applyBorder="1" applyAlignment="1">
      <alignment horizontal="center" vertical="center" shrinkToFit="1"/>
    </xf>
    <xf numFmtId="177" fontId="0" fillId="35" borderId="80" xfId="0" applyNumberFormat="1" applyFont="1" applyFill="1" applyBorder="1" applyAlignment="1">
      <alignment vertical="center" shrinkToFit="1"/>
    </xf>
    <xf numFmtId="177" fontId="0" fillId="0" borderId="81" xfId="67" applyNumberFormat="1" applyFont="1" applyBorder="1" applyAlignment="1">
      <alignment vertical="center" shrinkToFit="1"/>
      <protection/>
    </xf>
    <xf numFmtId="176" fontId="0" fillId="0" borderId="81" xfId="0" applyNumberFormat="1" applyFont="1" applyBorder="1" applyAlignment="1">
      <alignment vertical="center"/>
    </xf>
    <xf numFmtId="177" fontId="0" fillId="0" borderId="23" xfId="67" applyNumberFormat="1" applyFont="1" applyBorder="1" applyAlignment="1">
      <alignment vertical="center" shrinkToFit="1"/>
      <protection/>
    </xf>
    <xf numFmtId="177" fontId="0" fillId="0" borderId="23" xfId="67" applyNumberFormat="1" applyFont="1" applyFill="1" applyBorder="1" applyAlignment="1">
      <alignment vertical="center" shrinkToFit="1"/>
      <protection/>
    </xf>
    <xf numFmtId="176" fontId="0" fillId="35" borderId="82" xfId="0" applyNumberFormat="1" applyFont="1" applyFill="1" applyBorder="1" applyAlignment="1">
      <alignment horizontal="center" vertical="center" shrinkToFit="1"/>
    </xf>
    <xf numFmtId="177" fontId="0" fillId="35" borderId="82" xfId="0" applyNumberFormat="1" applyFont="1" applyFill="1" applyBorder="1" applyAlignment="1">
      <alignment vertical="center" shrinkToFit="1"/>
    </xf>
    <xf numFmtId="176" fontId="0" fillId="35" borderId="83" xfId="0" applyNumberFormat="1" applyFont="1" applyFill="1" applyBorder="1" applyAlignment="1">
      <alignment vertical="center" shrinkToFit="1"/>
    </xf>
    <xf numFmtId="176" fontId="0" fillId="35" borderId="32" xfId="0" applyNumberFormat="1" applyFont="1" applyFill="1" applyBorder="1" applyAlignment="1">
      <alignment vertical="center" shrinkToFit="1"/>
    </xf>
    <xf numFmtId="177" fontId="0" fillId="0" borderId="17" xfId="67" applyNumberFormat="1" applyFont="1" applyBorder="1" applyAlignment="1">
      <alignment horizontal="center" vertical="center" shrinkToFit="1"/>
      <protection/>
    </xf>
    <xf numFmtId="176" fontId="0" fillId="0" borderId="21" xfId="0" applyNumberFormat="1" applyFont="1" applyBorder="1" applyAlignment="1">
      <alignment vertical="center"/>
    </xf>
    <xf numFmtId="177" fontId="0" fillId="35" borderId="80" xfId="67" applyNumberFormat="1" applyFont="1" applyFill="1" applyBorder="1" applyAlignment="1">
      <alignment horizontal="center" vertical="center" shrinkToFit="1"/>
      <protection/>
    </xf>
    <xf numFmtId="177" fontId="0" fillId="35" borderId="80" xfId="67" applyNumberFormat="1" applyFont="1" applyFill="1" applyBorder="1" applyAlignment="1">
      <alignment vertical="center" shrinkToFit="1"/>
      <protection/>
    </xf>
    <xf numFmtId="176" fontId="0" fillId="0" borderId="23" xfId="67" applyNumberFormat="1" applyFont="1" applyFill="1" applyBorder="1" applyAlignment="1">
      <alignment vertical="center" shrinkToFit="1"/>
      <protection/>
    </xf>
    <xf numFmtId="176" fontId="0" fillId="0" borderId="84" xfId="0" applyNumberFormat="1" applyFont="1" applyBorder="1" applyAlignment="1">
      <alignment vertical="center" shrinkToFit="1"/>
    </xf>
    <xf numFmtId="177" fontId="0" fillId="0" borderId="84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7" fontId="0" fillId="0" borderId="63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35" borderId="70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9" fontId="0" fillId="0" borderId="23" xfId="67" applyNumberFormat="1" applyFont="1" applyFill="1" applyBorder="1" applyAlignment="1">
      <alignment vertical="center" shrinkToFit="1"/>
      <protection/>
    </xf>
    <xf numFmtId="9" fontId="0" fillId="0" borderId="81" xfId="67" applyNumberFormat="1" applyFont="1" applyFill="1" applyBorder="1" applyAlignment="1">
      <alignment vertical="center" shrinkToFit="1"/>
      <protection/>
    </xf>
    <xf numFmtId="3" fontId="0" fillId="0" borderId="23" xfId="68" applyNumberFormat="1" applyFont="1" applyFill="1" applyBorder="1" applyAlignment="1">
      <alignment vertical="center" shrinkToFit="1"/>
      <protection/>
    </xf>
    <xf numFmtId="176" fontId="0" fillId="0" borderId="21" xfId="0" applyNumberFormat="1" applyFont="1" applyBorder="1" applyAlignment="1">
      <alignment vertical="center" shrinkToFit="1"/>
    </xf>
    <xf numFmtId="177" fontId="0" fillId="35" borderId="82" xfId="67" applyNumberFormat="1" applyFont="1" applyFill="1" applyBorder="1" applyAlignment="1">
      <alignment horizontal="center" vertical="center" shrinkToFit="1"/>
      <protection/>
    </xf>
    <xf numFmtId="177" fontId="0" fillId="35" borderId="82" xfId="67" applyNumberFormat="1" applyFont="1" applyFill="1" applyBorder="1" applyAlignment="1">
      <alignment vertical="center" shrinkToFit="1"/>
      <protection/>
    </xf>
    <xf numFmtId="177" fontId="0" fillId="0" borderId="55" xfId="0" applyNumberFormat="1" applyFont="1" applyFill="1" applyBorder="1" applyAlignment="1">
      <alignment vertical="center" shrinkToFit="1"/>
    </xf>
    <xf numFmtId="177" fontId="0" fillId="0" borderId="59" xfId="0" applyNumberFormat="1" applyFont="1" applyFill="1" applyBorder="1" applyAlignment="1">
      <alignment vertical="center" shrinkToFit="1"/>
    </xf>
    <xf numFmtId="181" fontId="0" fillId="0" borderId="34" xfId="0" applyNumberFormat="1" applyFont="1" applyBorder="1" applyAlignment="1">
      <alignment horizontal="right" vertical="center"/>
    </xf>
    <xf numFmtId="181" fontId="0" fillId="33" borderId="89" xfId="50" applyNumberFormat="1" applyFont="1" applyFill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 vertical="center"/>
      <protection/>
    </xf>
    <xf numFmtId="176" fontId="0" fillId="0" borderId="10" xfId="0" applyNumberFormat="1" applyFont="1" applyBorder="1" applyAlignment="1">
      <alignment vertical="center" shrinkToFit="1"/>
    </xf>
    <xf numFmtId="176" fontId="0" fillId="0" borderId="45" xfId="0" applyNumberFormat="1" applyFont="1" applyBorder="1" applyAlignment="1">
      <alignment horizontal="center" vertical="center" shrinkToFit="1"/>
    </xf>
    <xf numFmtId="176" fontId="4" fillId="0" borderId="44" xfId="0" applyNumberFormat="1" applyFont="1" applyBorder="1" applyAlignment="1">
      <alignment horizontal="center" vertical="center" wrapText="1" shrinkToFit="1"/>
    </xf>
    <xf numFmtId="176" fontId="0" fillId="0" borderId="46" xfId="0" applyNumberFormat="1" applyFont="1" applyFill="1" applyBorder="1" applyAlignment="1">
      <alignment vertical="center" shrinkToFit="1"/>
    </xf>
    <xf numFmtId="176" fontId="0" fillId="0" borderId="90" xfId="0" applyNumberFormat="1" applyFont="1" applyBorder="1" applyAlignment="1">
      <alignment horizontal="center" vertical="center" shrinkToFit="1"/>
    </xf>
    <xf numFmtId="176" fontId="0" fillId="0" borderId="44" xfId="0" applyNumberFormat="1" applyFont="1" applyBorder="1" applyAlignment="1">
      <alignment horizontal="center" vertical="center" shrinkToFit="1"/>
    </xf>
    <xf numFmtId="176" fontId="0" fillId="35" borderId="44" xfId="0" applyNumberFormat="1" applyFont="1" applyFill="1" applyBorder="1" applyAlignment="1">
      <alignment vertical="center" shrinkToFit="1"/>
    </xf>
    <xf numFmtId="184" fontId="0" fillId="0" borderId="91" xfId="66" applyNumberFormat="1" applyFont="1" applyBorder="1" applyAlignment="1">
      <alignment vertical="center" wrapText="1"/>
      <protection/>
    </xf>
    <xf numFmtId="0" fontId="1" fillId="0" borderId="55" xfId="66" applyFont="1" applyBorder="1" applyAlignment="1">
      <alignment vertical="center" wrapText="1"/>
      <protection/>
    </xf>
    <xf numFmtId="0" fontId="1" fillId="0" borderId="56" xfId="66" applyFont="1" applyBorder="1" applyAlignment="1">
      <alignment vertical="center" wrapText="1"/>
      <protection/>
    </xf>
    <xf numFmtId="0" fontId="0" fillId="0" borderId="55" xfId="66" applyFont="1" applyBorder="1" applyAlignment="1">
      <alignment vertical="center" wrapText="1"/>
      <protection/>
    </xf>
    <xf numFmtId="0" fontId="0" fillId="0" borderId="56" xfId="66" applyFont="1" applyBorder="1" applyAlignment="1">
      <alignment vertical="center" wrapText="1"/>
      <protection/>
    </xf>
    <xf numFmtId="0" fontId="1" fillId="0" borderId="54" xfId="66" applyFont="1" applyBorder="1" applyAlignment="1">
      <alignment horizontal="left" vertical="center"/>
      <protection/>
    </xf>
    <xf numFmtId="0" fontId="1" fillId="0" borderId="54" xfId="66" applyFont="1" applyBorder="1" applyAlignment="1">
      <alignment vertical="center"/>
      <protection/>
    </xf>
    <xf numFmtId="0" fontId="0" fillId="0" borderId="54" xfId="66" applyFont="1" applyBorder="1" applyAlignment="1">
      <alignment vertical="center"/>
      <protection/>
    </xf>
    <xf numFmtId="181" fontId="0" fillId="0" borderId="92" xfId="0" applyNumberFormat="1" applyFont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center" vertical="center" shrinkToFit="1"/>
    </xf>
    <xf numFmtId="199" fontId="0" fillId="0" borderId="11" xfId="0" applyNumberFormat="1" applyFont="1" applyBorder="1" applyAlignment="1">
      <alignment vertical="center" shrinkToFit="1"/>
    </xf>
    <xf numFmtId="200" fontId="0" fillId="0" borderId="11" xfId="0" applyNumberFormat="1" applyFont="1" applyBorder="1" applyAlignment="1">
      <alignment vertical="center" shrinkToFit="1"/>
    </xf>
    <xf numFmtId="201" fontId="0" fillId="0" borderId="11" xfId="0" applyNumberFormat="1" applyFont="1" applyBorder="1" applyAlignment="1">
      <alignment vertical="center" shrinkToFit="1"/>
    </xf>
    <xf numFmtId="183" fontId="0" fillId="0" borderId="11" xfId="0" applyNumberFormat="1" applyFont="1" applyFill="1" applyBorder="1" applyAlignment="1">
      <alignment vertical="center" shrinkToFit="1"/>
    </xf>
    <xf numFmtId="38" fontId="0" fillId="0" borderId="11" xfId="50" applyFont="1" applyFill="1" applyBorder="1" applyAlignment="1">
      <alignment vertical="center" shrinkToFit="1"/>
    </xf>
    <xf numFmtId="184" fontId="0" fillId="0" borderId="93" xfId="0" applyNumberFormat="1" applyFont="1" applyBorder="1" applyAlignment="1">
      <alignment horizontal="center" vertical="center"/>
    </xf>
    <xf numFmtId="203" fontId="0" fillId="0" borderId="42" xfId="0" applyNumberFormat="1" applyFont="1" applyFill="1" applyBorder="1" applyAlignment="1">
      <alignment vertical="center"/>
    </xf>
    <xf numFmtId="203" fontId="0" fillId="0" borderId="59" xfId="0" applyNumberFormat="1" applyFont="1" applyFill="1" applyBorder="1" applyAlignment="1">
      <alignment vertical="center"/>
    </xf>
    <xf numFmtId="177" fontId="0" fillId="0" borderId="94" xfId="0" applyNumberFormat="1" applyFont="1" applyFill="1" applyBorder="1" applyAlignment="1">
      <alignment vertical="center" shrinkToFit="1"/>
    </xf>
    <xf numFmtId="177" fontId="0" fillId="0" borderId="95" xfId="0" applyNumberFormat="1" applyFont="1" applyFill="1" applyBorder="1" applyAlignment="1">
      <alignment vertical="center" shrinkToFit="1"/>
    </xf>
    <xf numFmtId="184" fontId="1" fillId="0" borderId="96" xfId="66" applyNumberFormat="1" applyFont="1" applyFill="1" applyBorder="1" applyAlignment="1">
      <alignment vertical="center" wrapText="1"/>
      <protection/>
    </xf>
    <xf numFmtId="184" fontId="1" fillId="0" borderId="10" xfId="66" applyNumberFormat="1" applyFont="1" applyFill="1" applyBorder="1" applyAlignment="1">
      <alignment vertical="center" wrapText="1"/>
      <protection/>
    </xf>
    <xf numFmtId="176" fontId="0" fillId="0" borderId="36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0" fillId="0" borderId="36" xfId="0" applyNumberFormat="1" applyFill="1" applyBorder="1" applyAlignment="1">
      <alignment horizontal="center" vertical="center" shrinkToFit="1"/>
    </xf>
    <xf numFmtId="179" fontId="0" fillId="0" borderId="23" xfId="0" applyNumberFormat="1" applyFont="1" applyBorder="1" applyAlignment="1">
      <alignment vertical="center"/>
    </xf>
    <xf numFmtId="0" fontId="1" fillId="0" borderId="9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0" fillId="0" borderId="11" xfId="66" applyFont="1" applyBorder="1" applyAlignment="1">
      <alignment horizontal="center" vertical="center" wrapText="1"/>
      <protection/>
    </xf>
    <xf numFmtId="0" fontId="0" fillId="0" borderId="58" xfId="66" applyFont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82" fontId="0" fillId="0" borderId="10" xfId="42" applyNumberFormat="1" applyFont="1" applyFill="1" applyBorder="1" applyAlignment="1">
      <alignment vertical="center" shrinkToFit="1"/>
    </xf>
    <xf numFmtId="182" fontId="0" fillId="0" borderId="11" xfId="42" applyNumberFormat="1" applyFont="1" applyFill="1" applyBorder="1" applyAlignment="1">
      <alignment vertical="center" shrinkToFit="1"/>
    </xf>
    <xf numFmtId="9" fontId="0" fillId="0" borderId="10" xfId="0" applyNumberFormat="1" applyFont="1" applyFill="1" applyBorder="1" applyAlignment="1">
      <alignment vertical="center" shrinkToFit="1"/>
    </xf>
    <xf numFmtId="199" fontId="0" fillId="0" borderId="11" xfId="0" applyNumberFormat="1" applyFont="1" applyFill="1" applyBorder="1" applyAlignment="1">
      <alignment vertical="center" shrinkToFit="1"/>
    </xf>
    <xf numFmtId="176" fontId="0" fillId="0" borderId="44" xfId="0" applyNumberFormat="1" applyFont="1" applyFill="1" applyBorder="1" applyAlignment="1">
      <alignment vertical="center" shrinkToFit="1"/>
    </xf>
    <xf numFmtId="179" fontId="0" fillId="35" borderId="37" xfId="0" applyNumberFormat="1" applyFont="1" applyFill="1" applyBorder="1" applyAlignment="1">
      <alignment vertical="center" shrinkToFit="1"/>
    </xf>
    <xf numFmtId="176" fontId="0" fillId="35" borderId="99" xfId="0" applyNumberFormat="1" applyFont="1" applyFill="1" applyBorder="1" applyAlignment="1">
      <alignment vertical="center" shrinkToFit="1"/>
    </xf>
    <xf numFmtId="0" fontId="0" fillId="0" borderId="100" xfId="0" applyBorder="1" applyAlignment="1">
      <alignment horizontal="center" vertical="center" textRotation="255" shrinkToFit="1"/>
    </xf>
    <xf numFmtId="0" fontId="0" fillId="0" borderId="101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102" xfId="0" applyNumberFormat="1" applyFont="1" applyFill="1" applyBorder="1" applyAlignment="1">
      <alignment vertical="center" shrinkToFit="1"/>
    </xf>
    <xf numFmtId="176" fontId="0" fillId="0" borderId="103" xfId="0" applyNumberFormat="1" applyFont="1" applyFill="1" applyBorder="1" applyAlignment="1">
      <alignment vertical="center" shrinkToFit="1"/>
    </xf>
    <xf numFmtId="182" fontId="0" fillId="0" borderId="103" xfId="42" applyNumberFormat="1" applyFont="1" applyFill="1" applyBorder="1" applyAlignment="1">
      <alignment vertical="center" shrinkToFit="1"/>
    </xf>
    <xf numFmtId="176" fontId="0" fillId="0" borderId="104" xfId="0" applyNumberFormat="1" applyFont="1" applyFill="1" applyBorder="1" applyAlignment="1">
      <alignment vertical="center" shrinkToFit="1"/>
    </xf>
    <xf numFmtId="179" fontId="0" fillId="0" borderId="104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33" xfId="0" applyNumberFormat="1" applyFont="1" applyFill="1" applyBorder="1" applyAlignment="1">
      <alignment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0" fontId="0" fillId="0" borderId="0" xfId="66" applyFont="1" applyAlignment="1">
      <alignment vertical="center"/>
      <protection/>
    </xf>
    <xf numFmtId="0" fontId="1" fillId="0" borderId="47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206" fontId="0" fillId="0" borderId="10" xfId="66" applyNumberFormat="1" applyFont="1" applyFill="1" applyBorder="1" applyAlignment="1">
      <alignment horizontal="center" vertical="center" wrapText="1"/>
      <protection/>
    </xf>
    <xf numFmtId="182" fontId="0" fillId="35" borderId="11" xfId="42" applyNumberFormat="1" applyFont="1" applyFill="1" applyBorder="1" applyAlignment="1">
      <alignment vertical="center" shrinkToFit="1"/>
    </xf>
    <xf numFmtId="9" fontId="0" fillId="35" borderId="11" xfId="0" applyNumberFormat="1" applyFont="1" applyFill="1" applyBorder="1" applyAlignment="1">
      <alignment vertical="center" shrinkToFit="1"/>
    </xf>
    <xf numFmtId="176" fontId="0" fillId="35" borderId="64" xfId="0" applyNumberFormat="1" applyFont="1" applyFill="1" applyBorder="1" applyAlignment="1">
      <alignment vertical="center" shrinkToFit="1"/>
    </xf>
    <xf numFmtId="0" fontId="0" fillId="0" borderId="10" xfId="66" applyFont="1" applyBorder="1" applyAlignment="1">
      <alignment horizontal="center" vertical="center" wrapText="1"/>
      <protection/>
    </xf>
    <xf numFmtId="0" fontId="1" fillId="0" borderId="54" xfId="66" applyFont="1" applyBorder="1" applyAlignment="1">
      <alignment vertical="center"/>
      <protection/>
    </xf>
    <xf numFmtId="0" fontId="0" fillId="0" borderId="55" xfId="66" applyFont="1" applyBorder="1" applyAlignment="1">
      <alignment horizontal="center" vertical="center" wrapText="1"/>
      <protection/>
    </xf>
    <xf numFmtId="0" fontId="0" fillId="0" borderId="54" xfId="66" applyFont="1" applyBorder="1" applyAlignment="1">
      <alignment horizontal="center" vertical="center" wrapText="1"/>
      <protection/>
    </xf>
    <xf numFmtId="0" fontId="16" fillId="0" borderId="10" xfId="66" applyFont="1" applyBorder="1" applyAlignment="1">
      <alignment horizontal="left" vertical="top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16" fillId="0" borderId="10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vertical="top" wrapText="1"/>
      <protection/>
    </xf>
    <xf numFmtId="0" fontId="16" fillId="0" borderId="10" xfId="66" applyFont="1" applyBorder="1" applyAlignment="1">
      <alignment vertical="top" wrapText="1"/>
      <protection/>
    </xf>
    <xf numFmtId="0" fontId="1" fillId="0" borderId="10" xfId="66" applyFont="1" applyBorder="1" applyAlignment="1">
      <alignment horizontal="center" vertical="center"/>
      <protection/>
    </xf>
    <xf numFmtId="0" fontId="1" fillId="0" borderId="64" xfId="66" applyFont="1" applyBorder="1" applyAlignment="1">
      <alignment horizontal="center" vertical="center" wrapText="1"/>
      <protection/>
    </xf>
    <xf numFmtId="0" fontId="17" fillId="0" borderId="10" xfId="66" applyFont="1" applyBorder="1" applyAlignment="1">
      <alignment horizontal="left" vertical="top" wrapText="1"/>
      <protection/>
    </xf>
    <xf numFmtId="0" fontId="5" fillId="0" borderId="10" xfId="66" applyFont="1" applyBorder="1" applyAlignment="1">
      <alignment horizontal="left" vertical="top" wrapText="1"/>
      <protection/>
    </xf>
    <xf numFmtId="0" fontId="16" fillId="0" borderId="71" xfId="66" applyFont="1" applyBorder="1" applyAlignment="1">
      <alignment horizontal="left" vertical="top" wrapText="1"/>
      <protection/>
    </xf>
    <xf numFmtId="0" fontId="5" fillId="0" borderId="71" xfId="66" applyFont="1" applyBorder="1" applyAlignment="1">
      <alignment horizontal="left" vertical="top" wrapText="1"/>
      <protection/>
    </xf>
    <xf numFmtId="0" fontId="5" fillId="0" borderId="69" xfId="66" applyFont="1" applyBorder="1" applyAlignment="1">
      <alignment horizontal="left" vertical="top" wrapText="1"/>
      <protection/>
    </xf>
    <xf numFmtId="176" fontId="0" fillId="0" borderId="0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right" vertical="center"/>
    </xf>
    <xf numFmtId="179" fontId="0" fillId="0" borderId="54" xfId="0" applyNumberFormat="1" applyFont="1" applyBorder="1" applyAlignment="1">
      <alignment vertical="center" shrinkToFit="1"/>
    </xf>
    <xf numFmtId="179" fontId="0" fillId="0" borderId="105" xfId="0" applyNumberFormat="1" applyFont="1" applyBorder="1" applyAlignment="1">
      <alignment vertical="center" shrinkToFit="1"/>
    </xf>
    <xf numFmtId="179" fontId="0" fillId="0" borderId="64" xfId="0" applyNumberFormat="1" applyFont="1" applyBorder="1" applyAlignment="1">
      <alignment vertical="center" shrinkToFit="1"/>
    </xf>
    <xf numFmtId="0" fontId="0" fillId="0" borderId="0" xfId="66" applyFont="1" applyAlignment="1">
      <alignment horizontal="right" vertical="center"/>
      <protection/>
    </xf>
    <xf numFmtId="9" fontId="0" fillId="0" borderId="10" xfId="0" applyNumberFormat="1" applyFont="1" applyBorder="1" applyAlignment="1">
      <alignment vertical="center" shrinkToFit="1"/>
    </xf>
    <xf numFmtId="182" fontId="0" fillId="0" borderId="10" xfId="42" applyNumberFormat="1" applyFont="1" applyBorder="1" applyAlignment="1">
      <alignment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76" fontId="0" fillId="35" borderId="11" xfId="0" applyNumberFormat="1" applyFont="1" applyFill="1" applyBorder="1" applyAlignment="1">
      <alignment horizontal="center" vertical="center" shrinkToFit="1"/>
    </xf>
    <xf numFmtId="176" fontId="0" fillId="35" borderId="11" xfId="0" applyNumberFormat="1" applyFont="1" applyFill="1" applyBorder="1" applyAlignment="1">
      <alignment horizontal="left" vertical="center" shrinkToFit="1"/>
    </xf>
    <xf numFmtId="176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shrinkToFit="1"/>
    </xf>
    <xf numFmtId="176" fontId="0" fillId="35" borderId="10" xfId="0" applyNumberFormat="1" applyFont="1" applyFill="1" applyBorder="1" applyAlignment="1">
      <alignment vertical="center" shrinkToFit="1"/>
    </xf>
    <xf numFmtId="176" fontId="0" fillId="35" borderId="10" xfId="0" applyNumberFormat="1" applyFont="1" applyFill="1" applyBorder="1" applyAlignment="1">
      <alignment horizontal="left" vertical="center" shrinkToFit="1"/>
    </xf>
    <xf numFmtId="179" fontId="0" fillId="35" borderId="10" xfId="0" applyNumberFormat="1" applyFont="1" applyFill="1" applyBorder="1" applyAlignment="1">
      <alignment vertical="center" shrinkToFit="1"/>
    </xf>
    <xf numFmtId="9" fontId="0" fillId="0" borderId="10" xfId="42" applyFont="1" applyBorder="1" applyAlignment="1">
      <alignment vertical="center" shrinkToFit="1"/>
    </xf>
    <xf numFmtId="176" fontId="0" fillId="0" borderId="106" xfId="0" applyNumberFormat="1" applyFont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9" fontId="0" fillId="0" borderId="13" xfId="0" applyNumberFormat="1" applyFont="1" applyFill="1" applyBorder="1" applyAlignment="1">
      <alignment vertical="center" shrinkToFit="1"/>
    </xf>
    <xf numFmtId="176" fontId="0" fillId="0" borderId="46" xfId="0" applyNumberFormat="1" applyFont="1" applyFill="1" applyBorder="1" applyAlignment="1">
      <alignment vertical="center" shrinkToFit="1"/>
    </xf>
    <xf numFmtId="182" fontId="0" fillId="36" borderId="11" xfId="42" applyNumberFormat="1" applyFont="1" applyFill="1" applyBorder="1" applyAlignment="1">
      <alignment vertical="center" shrinkToFit="1"/>
    </xf>
    <xf numFmtId="20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vertical="center" shrinkToFit="1"/>
    </xf>
    <xf numFmtId="176" fontId="0" fillId="37" borderId="65" xfId="0" applyNumberFormat="1" applyFont="1" applyFill="1" applyBorder="1" applyAlignment="1">
      <alignment horizontal="center" vertical="center" shrinkToFit="1"/>
    </xf>
    <xf numFmtId="183" fontId="0" fillId="37" borderId="65" xfId="0" applyNumberFormat="1" applyFont="1" applyFill="1" applyBorder="1" applyAlignment="1">
      <alignment vertical="center" shrinkToFit="1"/>
    </xf>
    <xf numFmtId="176" fontId="0" fillId="37" borderId="66" xfId="0" applyNumberFormat="1" applyFont="1" applyFill="1" applyBorder="1" applyAlignment="1">
      <alignment vertical="center" shrinkToFit="1"/>
    </xf>
    <xf numFmtId="183" fontId="0" fillId="37" borderId="107" xfId="0" applyNumberFormat="1" applyFont="1" applyFill="1" applyBorder="1" applyAlignment="1">
      <alignment vertical="center" shrinkToFit="1"/>
    </xf>
    <xf numFmtId="183" fontId="0" fillId="37" borderId="108" xfId="0" applyNumberFormat="1" applyFont="1" applyFill="1" applyBorder="1" applyAlignment="1">
      <alignment vertical="center" shrinkToFit="1"/>
    </xf>
    <xf numFmtId="177" fontId="0" fillId="0" borderId="109" xfId="0" applyNumberFormat="1" applyBorder="1" applyAlignment="1">
      <alignment horizontal="center" vertical="center" shrinkToFit="1"/>
    </xf>
    <xf numFmtId="176" fontId="0" fillId="37" borderId="13" xfId="0" applyNumberFormat="1" applyFont="1" applyFill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209" fontId="0" fillId="0" borderId="11" xfId="0" applyNumberFormat="1" applyFont="1" applyBorder="1" applyAlignment="1">
      <alignment vertical="center" shrinkToFit="1"/>
    </xf>
    <xf numFmtId="176" fontId="0" fillId="37" borderId="72" xfId="0" applyNumberFormat="1" applyFont="1" applyFill="1" applyBorder="1" applyAlignment="1">
      <alignment horizontal="center" vertical="center" shrinkToFit="1"/>
    </xf>
    <xf numFmtId="183" fontId="0" fillId="37" borderId="72" xfId="0" applyNumberFormat="1" applyFont="1" applyFill="1" applyBorder="1" applyAlignment="1">
      <alignment vertical="center" shrinkToFit="1"/>
    </xf>
    <xf numFmtId="183" fontId="0" fillId="37" borderId="71" xfId="0" applyNumberFormat="1" applyFont="1" applyFill="1" applyBorder="1" applyAlignment="1">
      <alignment vertical="center" shrinkToFit="1"/>
    </xf>
    <xf numFmtId="183" fontId="0" fillId="37" borderId="110" xfId="0" applyNumberFormat="1" applyFont="1" applyFill="1" applyBorder="1" applyAlignment="1">
      <alignment vertical="center" shrinkToFit="1"/>
    </xf>
    <xf numFmtId="176" fontId="0" fillId="37" borderId="69" xfId="0" applyNumberFormat="1" applyFont="1" applyFill="1" applyBorder="1" applyAlignment="1">
      <alignment vertical="center" shrinkToFit="1"/>
    </xf>
    <xf numFmtId="177" fontId="0" fillId="0" borderId="0" xfId="67" applyNumberFormat="1" applyFont="1" applyFill="1" applyBorder="1" applyAlignment="1">
      <alignment vertical="center"/>
      <protection/>
    </xf>
    <xf numFmtId="177" fontId="0" fillId="0" borderId="14" xfId="0" applyNumberFormat="1" applyBorder="1" applyAlignment="1">
      <alignment horizontal="center" vertical="center" shrinkToFit="1"/>
    </xf>
    <xf numFmtId="179" fontId="0" fillId="35" borderId="65" xfId="0" applyNumberFormat="1" applyFont="1" applyFill="1" applyBorder="1" applyAlignment="1">
      <alignment vertical="center" shrinkToFit="1"/>
    </xf>
    <xf numFmtId="176" fontId="0" fillId="0" borderId="54" xfId="0" applyNumberFormat="1" applyFont="1" applyFill="1" applyBorder="1" applyAlignment="1">
      <alignment horizontal="center" vertical="center" shrinkToFit="1"/>
    </xf>
    <xf numFmtId="176" fontId="0" fillId="0" borderId="64" xfId="0" applyNumberFormat="1" applyFont="1" applyFill="1" applyBorder="1" applyAlignment="1">
      <alignment vertical="center" shrinkToFit="1"/>
    </xf>
    <xf numFmtId="177" fontId="0" fillId="0" borderId="17" xfId="0" applyNumberFormat="1" applyBorder="1" applyAlignment="1">
      <alignment horizontal="center" vertical="center" shrinkToFit="1"/>
    </xf>
    <xf numFmtId="176" fontId="0" fillId="0" borderId="54" xfId="0" applyNumberFormat="1" applyFont="1" applyFill="1" applyBorder="1" applyAlignment="1">
      <alignment vertical="center" shrinkToFit="1"/>
    </xf>
    <xf numFmtId="179" fontId="0" fillId="0" borderId="54" xfId="0" applyNumberFormat="1" applyFont="1" applyFill="1" applyBorder="1" applyAlignment="1">
      <alignment vertical="center" shrinkToFit="1"/>
    </xf>
    <xf numFmtId="176" fontId="0" fillId="37" borderId="83" xfId="0" applyNumberFormat="1" applyFont="1" applyFill="1" applyBorder="1" applyAlignment="1">
      <alignment vertical="center"/>
    </xf>
    <xf numFmtId="179" fontId="0" fillId="35" borderId="67" xfId="0" applyNumberFormat="1" applyFont="1" applyFill="1" applyBorder="1" applyAlignment="1">
      <alignment vertical="center" shrinkToFit="1"/>
    </xf>
    <xf numFmtId="176" fontId="0" fillId="0" borderId="81" xfId="67" applyNumberFormat="1" applyFont="1" applyFill="1" applyBorder="1" applyAlignment="1">
      <alignment vertical="center" shrinkToFit="1"/>
      <protection/>
    </xf>
    <xf numFmtId="176" fontId="0" fillId="37" borderId="32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 shrinkToFit="1"/>
    </xf>
    <xf numFmtId="0" fontId="17" fillId="0" borderId="10" xfId="66" applyFont="1" applyBorder="1" applyAlignment="1">
      <alignment horizontal="center" vertical="center" wrapText="1"/>
      <protection/>
    </xf>
    <xf numFmtId="176" fontId="0" fillId="0" borderId="111" xfId="0" applyNumberFormat="1" applyFont="1" applyBorder="1" applyAlignment="1">
      <alignment horizontal="center" vertical="center"/>
    </xf>
    <xf numFmtId="176" fontId="0" fillId="0" borderId="99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96" xfId="0" applyNumberFormat="1" applyFont="1" applyFill="1" applyBorder="1" applyAlignment="1">
      <alignment vertical="center" shrinkToFit="1"/>
    </xf>
    <xf numFmtId="177" fontId="0" fillId="0" borderId="112" xfId="0" applyNumberFormat="1" applyFont="1" applyFill="1" applyBorder="1" applyAlignment="1">
      <alignment horizontal="center" vertical="center"/>
    </xf>
    <xf numFmtId="0" fontId="0" fillId="0" borderId="113" xfId="66" applyFont="1" applyFill="1" applyBorder="1" applyAlignment="1">
      <alignment vertical="center" wrapText="1"/>
      <protection/>
    </xf>
    <xf numFmtId="0" fontId="0" fillId="0" borderId="0" xfId="66" applyFont="1" applyFill="1" applyBorder="1" applyAlignment="1">
      <alignment vertical="center" wrapText="1"/>
      <protection/>
    </xf>
    <xf numFmtId="0" fontId="0" fillId="0" borderId="114" xfId="66" applyFont="1" applyFill="1" applyBorder="1" applyAlignment="1">
      <alignment vertical="center" wrapText="1"/>
      <protection/>
    </xf>
    <xf numFmtId="0" fontId="0" fillId="0" borderId="0" xfId="66" applyFont="1" applyFill="1" applyAlignment="1">
      <alignment vertical="center"/>
      <protection/>
    </xf>
    <xf numFmtId="0" fontId="0" fillId="0" borderId="115" xfId="66" applyFont="1" applyFill="1" applyBorder="1" applyAlignment="1">
      <alignment vertical="center" wrapText="1"/>
      <protection/>
    </xf>
    <xf numFmtId="0" fontId="0" fillId="0" borderId="115" xfId="66" applyFont="1" applyFill="1" applyBorder="1" applyAlignment="1">
      <alignment vertical="center" wrapText="1"/>
      <protection/>
    </xf>
    <xf numFmtId="0" fontId="0" fillId="0" borderId="116" xfId="66" applyFont="1" applyFill="1" applyBorder="1" applyAlignment="1">
      <alignment vertical="center" wrapText="1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Alignment="1">
      <alignment horizontal="right" vertical="center"/>
      <protection/>
    </xf>
    <xf numFmtId="0" fontId="0" fillId="0" borderId="10" xfId="66" applyFont="1" applyFill="1" applyBorder="1" applyAlignment="1">
      <alignment horizontal="center" vertical="center" shrinkToFit="1"/>
      <protection/>
    </xf>
    <xf numFmtId="0" fontId="0" fillId="0" borderId="10" xfId="66" applyFont="1" applyFill="1" applyBorder="1" applyAlignment="1">
      <alignment horizontal="left" vertical="center" wrapText="1"/>
      <protection/>
    </xf>
    <xf numFmtId="0" fontId="10" fillId="0" borderId="10" xfId="66" applyFont="1" applyFill="1" applyBorder="1" applyAlignment="1">
      <alignment horizontal="left" vertical="center" wrapText="1"/>
      <protection/>
    </xf>
    <xf numFmtId="0" fontId="0" fillId="0" borderId="64" xfId="66" applyFont="1" applyFill="1" applyBorder="1" applyAlignment="1">
      <alignment horizontal="left" vertical="center" wrapText="1"/>
      <protection/>
    </xf>
    <xf numFmtId="0" fontId="0" fillId="0" borderId="71" xfId="66" applyFont="1" applyFill="1" applyBorder="1" applyAlignment="1">
      <alignment horizontal="left" vertical="center" wrapText="1"/>
      <protection/>
    </xf>
    <xf numFmtId="0" fontId="0" fillId="0" borderId="69" xfId="66" applyFont="1" applyFill="1" applyBorder="1" applyAlignment="1">
      <alignment horizontal="left" vertical="center" wrapText="1"/>
      <protection/>
    </xf>
    <xf numFmtId="0" fontId="0" fillId="0" borderId="47" xfId="66" applyFont="1" applyFill="1" applyBorder="1" applyAlignment="1">
      <alignment horizontal="center" vertical="center" wrapText="1"/>
      <protection/>
    </xf>
    <xf numFmtId="0" fontId="0" fillId="0" borderId="47" xfId="66" applyFont="1" applyFill="1" applyBorder="1" applyAlignment="1">
      <alignment horizontal="center" vertical="center" shrinkToFit="1"/>
      <protection/>
    </xf>
    <xf numFmtId="0" fontId="0" fillId="0" borderId="63" xfId="66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vertical="center" wrapText="1"/>
      <protection/>
    </xf>
    <xf numFmtId="0" fontId="0" fillId="0" borderId="64" xfId="66" applyFont="1" applyFill="1" applyBorder="1" applyAlignment="1">
      <alignment vertical="center" wrapText="1"/>
      <protection/>
    </xf>
    <xf numFmtId="0" fontId="0" fillId="0" borderId="64" xfId="66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18" fillId="0" borderId="0" xfId="66" applyFont="1" applyFill="1" applyAlignment="1">
      <alignment horizontal="justify" vertical="center"/>
      <protection/>
    </xf>
    <xf numFmtId="0" fontId="0" fillId="0" borderId="47" xfId="66" applyFont="1" applyFill="1" applyBorder="1" applyAlignment="1">
      <alignment horizontal="center" vertical="center" wrapText="1"/>
      <protection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9" fontId="0" fillId="0" borderId="36" xfId="0" applyNumberFormat="1" applyFont="1" applyFill="1" applyBorder="1" applyAlignment="1">
      <alignment horizontal="center" vertical="center" shrinkToFit="1"/>
    </xf>
    <xf numFmtId="176" fontId="0" fillId="0" borderId="9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right"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left" vertical="center" shrinkToFit="1"/>
    </xf>
    <xf numFmtId="179" fontId="0" fillId="0" borderId="11" xfId="0" applyNumberFormat="1" applyFont="1" applyFill="1" applyBorder="1" applyAlignment="1">
      <alignment vertical="center" shrinkToFit="1"/>
    </xf>
    <xf numFmtId="176" fontId="0" fillId="0" borderId="96" xfId="0" applyNumberFormat="1" applyFont="1" applyFill="1" applyBorder="1" applyAlignment="1">
      <alignment vertical="center" shrinkToFit="1"/>
    </xf>
    <xf numFmtId="176" fontId="13" fillId="0" borderId="10" xfId="0" applyNumberFormat="1" applyFont="1" applyFill="1" applyBorder="1" applyAlignment="1">
      <alignment vertical="center" shrinkToFit="1"/>
    </xf>
    <xf numFmtId="179" fontId="0" fillId="0" borderId="10" xfId="0" applyNumberFormat="1" applyFont="1" applyFill="1" applyBorder="1" applyAlignment="1">
      <alignment vertical="center" shrinkToFit="1"/>
    </xf>
    <xf numFmtId="9" fontId="0" fillId="0" borderId="10" xfId="42" applyFont="1" applyFill="1" applyBorder="1" applyAlignment="1">
      <alignment vertical="center" shrinkToFit="1"/>
    </xf>
    <xf numFmtId="9" fontId="0" fillId="0" borderId="11" xfId="42" applyFon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37" xfId="0" applyNumberFormat="1" applyFont="1" applyFill="1" applyBorder="1" applyAlignment="1">
      <alignment vertical="center" shrinkToFit="1"/>
    </xf>
    <xf numFmtId="176" fontId="0" fillId="0" borderId="106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09" xfId="0" applyNumberFormat="1" applyFont="1" applyFill="1" applyBorder="1" applyAlignment="1">
      <alignment horizontal="center" vertical="center" shrinkToFit="1"/>
    </xf>
    <xf numFmtId="177" fontId="0" fillId="0" borderId="109" xfId="0" applyNumberFormat="1" applyFont="1" applyFill="1" applyBorder="1" applyAlignment="1">
      <alignment vertical="center"/>
    </xf>
    <xf numFmtId="177" fontId="0" fillId="0" borderId="112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0" fillId="0" borderId="37" xfId="0" applyNumberFormat="1" applyFont="1" applyFill="1" applyBorder="1" applyAlignment="1">
      <alignment horizontal="center" vertical="center" shrinkToFit="1"/>
    </xf>
    <xf numFmtId="177" fontId="0" fillId="0" borderId="65" xfId="0" applyNumberFormat="1" applyFont="1" applyFill="1" applyBorder="1" applyAlignment="1">
      <alignment vertical="center" shrinkToFit="1"/>
    </xf>
    <xf numFmtId="178" fontId="0" fillId="0" borderId="65" xfId="0" applyNumberFormat="1" applyFont="1" applyFill="1" applyBorder="1" applyAlignment="1">
      <alignment vertical="center" shrinkToFit="1"/>
    </xf>
    <xf numFmtId="182" fontId="0" fillId="0" borderId="40" xfId="0" applyNumberFormat="1" applyFont="1" applyFill="1" applyBorder="1" applyAlignment="1">
      <alignment vertical="center"/>
    </xf>
    <xf numFmtId="177" fontId="0" fillId="0" borderId="67" xfId="0" applyNumberFormat="1" applyFont="1" applyFill="1" applyBorder="1" applyAlignment="1">
      <alignment vertical="center"/>
    </xf>
    <xf numFmtId="177" fontId="0" fillId="0" borderId="117" xfId="0" applyNumberFormat="1" applyFont="1" applyFill="1" applyBorder="1" applyAlignment="1">
      <alignment vertical="center"/>
    </xf>
    <xf numFmtId="202" fontId="0" fillId="0" borderId="42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0" xfId="67" applyNumberFormat="1" applyFont="1" applyFill="1" applyAlignment="1">
      <alignment vertical="center"/>
      <protection/>
    </xf>
    <xf numFmtId="177" fontId="0" fillId="0" borderId="118" xfId="0" applyNumberFormat="1" applyFont="1" applyFill="1" applyBorder="1" applyAlignment="1">
      <alignment vertical="center" shrinkToFit="1"/>
    </xf>
    <xf numFmtId="177" fontId="0" fillId="0" borderId="118" xfId="67" applyNumberFormat="1" applyFont="1" applyFill="1" applyBorder="1" applyAlignment="1">
      <alignment vertical="center"/>
      <protection/>
    </xf>
    <xf numFmtId="177" fontId="0" fillId="0" borderId="119" xfId="67" applyNumberFormat="1" applyFont="1" applyFill="1" applyBorder="1" applyAlignment="1">
      <alignment horizontal="right" vertical="center"/>
      <protection/>
    </xf>
    <xf numFmtId="177" fontId="0" fillId="0" borderId="119" xfId="67" applyNumberFormat="1" applyFont="1" applyFill="1" applyBorder="1" applyAlignment="1">
      <alignment horizontal="left" vertical="center" shrinkToFit="1"/>
      <protection/>
    </xf>
    <xf numFmtId="177" fontId="0" fillId="0" borderId="120" xfId="0" applyNumberFormat="1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122" xfId="0" applyFont="1" applyFill="1" applyBorder="1" applyAlignment="1">
      <alignment vertical="center"/>
    </xf>
    <xf numFmtId="177" fontId="0" fillId="0" borderId="114" xfId="67" applyNumberFormat="1" applyFont="1" applyFill="1" applyBorder="1" applyAlignment="1">
      <alignment vertical="center"/>
      <protection/>
    </xf>
    <xf numFmtId="204" fontId="0" fillId="0" borderId="123" xfId="67" applyNumberFormat="1" applyFont="1" applyFill="1" applyBorder="1" applyAlignment="1">
      <alignment vertical="center"/>
      <protection/>
    </xf>
    <xf numFmtId="177" fontId="0" fillId="0" borderId="98" xfId="67" applyNumberFormat="1" applyFont="1" applyFill="1" applyBorder="1" applyAlignment="1">
      <alignment vertical="center"/>
      <protection/>
    </xf>
    <xf numFmtId="177" fontId="0" fillId="0" borderId="124" xfId="67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shrinkToFit="1"/>
    </xf>
    <xf numFmtId="181" fontId="0" fillId="0" borderId="125" xfId="50" applyNumberFormat="1" applyFont="1" applyFill="1" applyBorder="1" applyAlignment="1">
      <alignment vertical="center"/>
    </xf>
    <xf numFmtId="177" fontId="0" fillId="0" borderId="126" xfId="67" applyNumberFormat="1" applyFont="1" applyFill="1" applyBorder="1" applyAlignment="1">
      <alignment vertical="center"/>
      <protection/>
    </xf>
    <xf numFmtId="177" fontId="0" fillId="0" borderId="127" xfId="67" applyNumberFormat="1" applyFont="1" applyFill="1" applyBorder="1" applyAlignment="1">
      <alignment vertical="center"/>
      <protection/>
    </xf>
    <xf numFmtId="177" fontId="0" fillId="0" borderId="100" xfId="0" applyNumberFormat="1" applyFont="1" applyFill="1" applyBorder="1" applyAlignment="1">
      <alignment vertical="center" shrinkToFit="1"/>
    </xf>
    <xf numFmtId="177" fontId="0" fillId="0" borderId="77" xfId="0" applyNumberFormat="1" applyFont="1" applyFill="1" applyBorder="1" applyAlignment="1">
      <alignment vertical="center" shrinkToFit="1"/>
    </xf>
    <xf numFmtId="177" fontId="0" fillId="0" borderId="75" xfId="0" applyNumberFormat="1" applyFont="1" applyFill="1" applyBorder="1" applyAlignment="1">
      <alignment vertical="center"/>
    </xf>
    <xf numFmtId="181" fontId="0" fillId="0" borderId="33" xfId="50" applyNumberFormat="1" applyFont="1" applyFill="1" applyBorder="1" applyAlignment="1">
      <alignment vertical="center"/>
    </xf>
    <xf numFmtId="177" fontId="0" fillId="0" borderId="128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84" xfId="0" applyNumberFormat="1" applyFont="1" applyFill="1" applyBorder="1" applyAlignment="1">
      <alignment vertical="center" shrinkToFit="1"/>
    </xf>
    <xf numFmtId="176" fontId="0" fillId="0" borderId="63" xfId="0" applyNumberFormat="1" applyFont="1" applyFill="1" applyBorder="1" applyAlignment="1">
      <alignment horizontal="center" vertical="center" shrinkToFit="1"/>
    </xf>
    <xf numFmtId="179" fontId="0" fillId="0" borderId="14" xfId="0" applyNumberFormat="1" applyFont="1" applyFill="1" applyBorder="1" applyAlignment="1">
      <alignment horizontal="center" vertical="center" shrinkToFit="1"/>
    </xf>
    <xf numFmtId="177" fontId="0" fillId="0" borderId="84" xfId="0" applyNumberFormat="1" applyFont="1" applyFill="1" applyBorder="1" applyAlignment="1">
      <alignment horizontal="center" vertical="center" shrinkToFit="1"/>
    </xf>
    <xf numFmtId="177" fontId="0" fillId="0" borderId="47" xfId="0" applyNumberFormat="1" applyFont="1" applyFill="1" applyBorder="1" applyAlignment="1">
      <alignment horizontal="center" vertical="center" shrinkToFit="1"/>
    </xf>
    <xf numFmtId="177" fontId="0" fillId="0" borderId="63" xfId="0" applyNumberFormat="1" applyFont="1" applyFill="1" applyBorder="1" applyAlignment="1">
      <alignment horizontal="center" vertical="center" shrinkToFit="1"/>
    </xf>
    <xf numFmtId="179" fontId="0" fillId="0" borderId="34" xfId="0" applyNumberFormat="1" applyFont="1" applyFill="1" applyBorder="1" applyAlignment="1">
      <alignment horizontal="center"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54" xfId="0" applyNumberFormat="1" applyFont="1" applyFill="1" applyBorder="1" applyAlignment="1">
      <alignment horizontal="center" vertical="center" shrinkToFit="1"/>
    </xf>
    <xf numFmtId="177" fontId="0" fillId="0" borderId="56" xfId="0" applyNumberFormat="1" applyFont="1" applyFill="1" applyBorder="1" applyAlignment="1">
      <alignment horizontal="center" vertical="center" shrinkToFit="1"/>
    </xf>
    <xf numFmtId="177" fontId="0" fillId="0" borderId="64" xfId="0" applyNumberFormat="1" applyFont="1" applyFill="1" applyBorder="1" applyAlignment="1">
      <alignment vertical="center" shrinkToFit="1"/>
    </xf>
    <xf numFmtId="176" fontId="0" fillId="0" borderId="44" xfId="0" applyNumberFormat="1" applyFont="1" applyFill="1" applyBorder="1" applyAlignment="1">
      <alignment vertical="center" shrinkToFit="1"/>
    </xf>
    <xf numFmtId="176" fontId="0" fillId="0" borderId="129" xfId="0" applyNumberFormat="1" applyFont="1" applyFill="1" applyBorder="1" applyAlignment="1">
      <alignment vertical="center" shrinkToFit="1"/>
    </xf>
    <xf numFmtId="176" fontId="0" fillId="0" borderId="65" xfId="0" applyNumberFormat="1" applyFont="1" applyFill="1" applyBorder="1" applyAlignment="1">
      <alignment vertical="center" shrinkToFit="1"/>
    </xf>
    <xf numFmtId="176" fontId="0" fillId="0" borderId="66" xfId="0" applyNumberFormat="1" applyFont="1" applyFill="1" applyBorder="1" applyAlignment="1">
      <alignment vertical="center" shrinkToFit="1"/>
    </xf>
    <xf numFmtId="176" fontId="0" fillId="0" borderId="130" xfId="0" applyNumberFormat="1" applyFont="1" applyFill="1" applyBorder="1" applyAlignment="1">
      <alignment vertical="center" shrinkToFit="1"/>
    </xf>
    <xf numFmtId="183" fontId="0" fillId="0" borderId="130" xfId="0" applyNumberFormat="1" applyFont="1" applyFill="1" applyBorder="1" applyAlignment="1">
      <alignment vertical="center" shrinkToFit="1"/>
    </xf>
    <xf numFmtId="176" fontId="0" fillId="0" borderId="131" xfId="0" applyNumberFormat="1" applyFont="1" applyFill="1" applyBorder="1" applyAlignment="1">
      <alignment vertical="center" shrinkToFit="1"/>
    </xf>
    <xf numFmtId="176" fontId="0" fillId="0" borderId="132" xfId="0" applyNumberFormat="1" applyFont="1" applyFill="1" applyBorder="1" applyAlignment="1">
      <alignment vertical="center" shrinkToFit="1"/>
    </xf>
    <xf numFmtId="183" fontId="0" fillId="0" borderId="132" xfId="0" applyNumberFormat="1" applyFont="1" applyFill="1" applyBorder="1" applyAlignment="1">
      <alignment vertical="center" shrinkToFit="1"/>
    </xf>
    <xf numFmtId="176" fontId="0" fillId="0" borderId="133" xfId="0" applyNumberFormat="1" applyFont="1" applyFill="1" applyBorder="1" applyAlignment="1">
      <alignment vertical="center" shrinkToFit="1"/>
    </xf>
    <xf numFmtId="176" fontId="0" fillId="0" borderId="67" xfId="0" applyNumberFormat="1" applyFont="1" applyFill="1" applyBorder="1" applyAlignment="1">
      <alignment horizontal="center" vertical="center" shrinkToFit="1"/>
    </xf>
    <xf numFmtId="176" fontId="0" fillId="0" borderId="67" xfId="0" applyNumberFormat="1" applyFont="1" applyFill="1" applyBorder="1" applyAlignment="1">
      <alignment vertical="center" shrinkToFit="1"/>
    </xf>
    <xf numFmtId="176" fontId="0" fillId="0" borderId="68" xfId="0" applyNumberFormat="1" applyFont="1" applyFill="1" applyBorder="1" applyAlignment="1">
      <alignment vertical="center" shrinkToFit="1"/>
    </xf>
    <xf numFmtId="176" fontId="0" fillId="0" borderId="134" xfId="0" applyNumberFormat="1" applyFont="1" applyFill="1" applyBorder="1" applyAlignment="1">
      <alignment vertical="center" shrinkToFit="1"/>
    </xf>
    <xf numFmtId="183" fontId="0" fillId="0" borderId="134" xfId="0" applyNumberFormat="1" applyFont="1" applyFill="1" applyBorder="1" applyAlignment="1">
      <alignment vertical="center" shrinkToFit="1"/>
    </xf>
    <xf numFmtId="176" fontId="0" fillId="0" borderId="135" xfId="0" applyNumberFormat="1" applyFont="1" applyFill="1" applyBorder="1" applyAlignment="1">
      <alignment vertical="center" shrinkToFit="1"/>
    </xf>
    <xf numFmtId="183" fontId="0" fillId="0" borderId="67" xfId="0" applyNumberFormat="1" applyFont="1" applyFill="1" applyBorder="1" applyAlignment="1">
      <alignment vertical="center" shrinkToFit="1"/>
    </xf>
    <xf numFmtId="176" fontId="0" fillId="0" borderId="136" xfId="0" applyNumberFormat="1" applyFont="1" applyFill="1" applyBorder="1" applyAlignment="1">
      <alignment vertical="center" shrinkToFit="1"/>
    </xf>
    <xf numFmtId="176" fontId="0" fillId="0" borderId="65" xfId="0" applyNumberFormat="1" applyFont="1" applyFill="1" applyBorder="1" applyAlignment="1">
      <alignment horizontal="center" vertical="center" shrinkToFit="1"/>
    </xf>
    <xf numFmtId="183" fontId="0" fillId="0" borderId="65" xfId="0" applyNumberFormat="1" applyFont="1" applyFill="1" applyBorder="1" applyAlignment="1">
      <alignment vertical="center" shrinkToFit="1"/>
    </xf>
    <xf numFmtId="176" fontId="0" fillId="0" borderId="137" xfId="0" applyNumberFormat="1" applyFont="1" applyFill="1" applyBorder="1" applyAlignment="1">
      <alignment vertical="center" shrinkToFit="1"/>
    </xf>
    <xf numFmtId="183" fontId="0" fillId="0" borderId="107" xfId="0" applyNumberFormat="1" applyFont="1" applyFill="1" applyBorder="1" applyAlignment="1">
      <alignment vertical="center" shrinkToFit="1"/>
    </xf>
    <xf numFmtId="183" fontId="0" fillId="0" borderId="108" xfId="0" applyNumberFormat="1" applyFont="1" applyFill="1" applyBorder="1" applyAlignment="1">
      <alignment vertical="center" shrinkToFit="1"/>
    </xf>
    <xf numFmtId="177" fontId="0" fillId="0" borderId="7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7" fontId="0" fillId="0" borderId="69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0" fillId="0" borderId="138" xfId="0" applyNumberFormat="1" applyFont="1" applyFill="1" applyBorder="1" applyAlignment="1">
      <alignment horizontal="center" vertical="center" shrinkToFit="1"/>
    </xf>
    <xf numFmtId="183" fontId="0" fillId="0" borderId="138" xfId="0" applyNumberFormat="1" applyFont="1" applyFill="1" applyBorder="1" applyAlignment="1">
      <alignment vertical="center" shrinkToFit="1"/>
    </xf>
    <xf numFmtId="183" fontId="0" fillId="0" borderId="139" xfId="0" applyNumberFormat="1" applyFont="1" applyFill="1" applyBorder="1" applyAlignment="1">
      <alignment vertical="center" shrinkToFit="1"/>
    </xf>
    <xf numFmtId="183" fontId="0" fillId="0" borderId="140" xfId="0" applyNumberFormat="1" applyFont="1" applyFill="1" applyBorder="1" applyAlignment="1">
      <alignment vertical="center" shrinkToFit="1"/>
    </xf>
    <xf numFmtId="176" fontId="0" fillId="0" borderId="141" xfId="0" applyNumberFormat="1" applyFont="1" applyFill="1" applyBorder="1" applyAlignment="1">
      <alignment vertical="center" shrinkToFit="1"/>
    </xf>
    <xf numFmtId="177" fontId="0" fillId="0" borderId="70" xfId="0" applyNumberFormat="1" applyFont="1" applyFill="1" applyBorder="1" applyAlignment="1">
      <alignment horizontal="center" vertical="center" shrinkToFit="1"/>
    </xf>
    <xf numFmtId="177" fontId="0" fillId="0" borderId="72" xfId="0" applyNumberFormat="1" applyFont="1" applyFill="1" applyBorder="1" applyAlignment="1">
      <alignment vertical="center" shrinkToFit="1"/>
    </xf>
    <xf numFmtId="177" fontId="0" fillId="0" borderId="79" xfId="67" applyNumberFormat="1" applyFont="1" applyFill="1" applyBorder="1" applyAlignment="1">
      <alignment horizontal="center" vertical="center" shrinkToFit="1"/>
      <protection/>
    </xf>
    <xf numFmtId="177" fontId="0" fillId="0" borderId="14" xfId="67" applyNumberFormat="1" applyFont="1" applyFill="1" applyBorder="1" applyAlignment="1">
      <alignment horizontal="center" vertical="center" shrinkToFit="1"/>
      <protection/>
    </xf>
    <xf numFmtId="177" fontId="0" fillId="0" borderId="17" xfId="0" applyNumberFormat="1" applyFont="1" applyFill="1" applyBorder="1" applyAlignment="1">
      <alignment horizontal="center" vertical="center" shrinkToFit="1"/>
    </xf>
    <xf numFmtId="177" fontId="0" fillId="0" borderId="86" xfId="0" applyNumberFormat="1" applyFont="1" applyFill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7" fontId="0" fillId="0" borderId="17" xfId="67" applyNumberFormat="1" applyFont="1" applyFill="1" applyBorder="1" applyAlignment="1">
      <alignment horizontal="center" vertical="center" shrinkToFit="1"/>
      <protection/>
    </xf>
    <xf numFmtId="177" fontId="0" fillId="0" borderId="18" xfId="0" applyNumberFormat="1" applyFont="1" applyFill="1" applyBorder="1" applyAlignment="1">
      <alignment horizontal="center" vertical="center" shrinkToFit="1"/>
    </xf>
    <xf numFmtId="3" fontId="5" fillId="0" borderId="142" xfId="0" applyNumberFormat="1" applyFont="1" applyFill="1" applyBorder="1" applyAlignment="1">
      <alignment/>
    </xf>
    <xf numFmtId="176" fontId="0" fillId="0" borderId="80" xfId="0" applyNumberFormat="1" applyFont="1" applyFill="1" applyBorder="1" applyAlignment="1">
      <alignment horizontal="center" vertical="center" shrinkToFit="1"/>
    </xf>
    <xf numFmtId="177" fontId="0" fillId="0" borderId="80" xfId="0" applyNumberFormat="1" applyFont="1" applyFill="1" applyBorder="1" applyAlignment="1">
      <alignment vertical="center" shrinkToFit="1"/>
    </xf>
    <xf numFmtId="176" fontId="0" fillId="0" borderId="83" xfId="0" applyNumberFormat="1" applyFont="1" applyFill="1" applyBorder="1" applyAlignment="1">
      <alignment vertical="center" shrinkToFit="1"/>
    </xf>
    <xf numFmtId="177" fontId="0" fillId="0" borderId="81" xfId="67" applyNumberFormat="1" applyFont="1" applyFill="1" applyBorder="1" applyAlignment="1">
      <alignment vertical="center" shrinkToFit="1"/>
      <protection/>
    </xf>
    <xf numFmtId="176" fontId="0" fillId="0" borderId="81" xfId="0" applyNumberFormat="1" applyFont="1" applyFill="1" applyBorder="1" applyAlignment="1">
      <alignment vertical="center"/>
    </xf>
    <xf numFmtId="176" fontId="0" fillId="0" borderId="88" xfId="0" applyNumberFormat="1" applyFont="1" applyFill="1" applyBorder="1" applyAlignment="1">
      <alignment vertical="center"/>
    </xf>
    <xf numFmtId="177" fontId="0" fillId="0" borderId="80" xfId="67" applyNumberFormat="1" applyFont="1" applyFill="1" applyBorder="1" applyAlignment="1">
      <alignment horizontal="center" vertical="center" shrinkToFit="1"/>
      <protection/>
    </xf>
    <xf numFmtId="177" fontId="0" fillId="0" borderId="80" xfId="67" applyNumberFormat="1" applyFont="1" applyFill="1" applyBorder="1" applyAlignment="1">
      <alignment vertical="center" shrinkToFit="1"/>
      <protection/>
    </xf>
    <xf numFmtId="176" fontId="0" fillId="0" borderId="83" xfId="0" applyNumberFormat="1" applyFont="1" applyFill="1" applyBorder="1" applyAlignment="1">
      <alignment vertical="center"/>
    </xf>
    <xf numFmtId="176" fontId="0" fillId="0" borderId="87" xfId="0" applyNumberFormat="1" applyFont="1" applyFill="1" applyBorder="1" applyAlignment="1">
      <alignment vertical="center"/>
    </xf>
    <xf numFmtId="198" fontId="0" fillId="0" borderId="11" xfId="0" applyNumberFormat="1" applyFont="1" applyFill="1" applyBorder="1" applyAlignment="1">
      <alignment vertical="center" shrinkToFit="1"/>
    </xf>
    <xf numFmtId="176" fontId="0" fillId="0" borderId="82" xfId="0" applyNumberFormat="1" applyFont="1" applyFill="1" applyBorder="1" applyAlignment="1">
      <alignment horizontal="center" vertical="center" shrinkToFit="1"/>
    </xf>
    <xf numFmtId="177" fontId="0" fillId="0" borderId="82" xfId="0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 shrinkToFit="1"/>
    </xf>
    <xf numFmtId="177" fontId="0" fillId="0" borderId="82" xfId="67" applyNumberFormat="1" applyFont="1" applyFill="1" applyBorder="1" applyAlignment="1">
      <alignment horizontal="center" vertical="center" shrinkToFit="1"/>
      <protection/>
    </xf>
    <xf numFmtId="177" fontId="0" fillId="0" borderId="82" xfId="67" applyNumberFormat="1" applyFont="1" applyFill="1" applyBorder="1" applyAlignment="1">
      <alignment vertical="center" shrinkToFit="1"/>
      <protection/>
    </xf>
    <xf numFmtId="176" fontId="0" fillId="0" borderId="32" xfId="0" applyNumberFormat="1" applyFont="1" applyFill="1" applyBorder="1" applyAlignment="1">
      <alignment vertical="center"/>
    </xf>
    <xf numFmtId="176" fontId="0" fillId="0" borderId="69" xfId="0" applyNumberFormat="1" applyFont="1" applyFill="1" applyBorder="1" applyAlignment="1">
      <alignment vertical="center" shrinkToFit="1"/>
    </xf>
    <xf numFmtId="179" fontId="0" fillId="0" borderId="81" xfId="0" applyNumberFormat="1" applyFon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horizontal="center" vertical="center" shrinkToFit="1"/>
    </xf>
    <xf numFmtId="0" fontId="16" fillId="0" borderId="143" xfId="66" applyFont="1" applyBorder="1" applyAlignment="1">
      <alignment horizontal="left" vertical="top" wrapText="1"/>
      <protection/>
    </xf>
    <xf numFmtId="0" fontId="16" fillId="0" borderId="143" xfId="66" applyFont="1" applyBorder="1" applyAlignment="1">
      <alignment vertical="top" wrapText="1"/>
      <protection/>
    </xf>
    <xf numFmtId="0" fontId="4" fillId="0" borderId="143" xfId="66" applyFont="1" applyBorder="1" applyAlignment="1">
      <alignment horizontal="left" vertical="top" wrapText="1"/>
      <protection/>
    </xf>
    <xf numFmtId="0" fontId="51" fillId="0" borderId="71" xfId="66" applyFont="1" applyBorder="1" applyAlignment="1">
      <alignment horizontal="left" vertical="center" wrapText="1"/>
      <protection/>
    </xf>
    <xf numFmtId="0" fontId="0" fillId="0" borderId="71" xfId="66" applyFont="1" applyBorder="1" applyAlignment="1">
      <alignment horizontal="left" vertical="center" wrapText="1"/>
      <protection/>
    </xf>
    <xf numFmtId="0" fontId="0" fillId="0" borderId="10" xfId="66" applyFont="1" applyFill="1" applyBorder="1" applyAlignment="1">
      <alignment horizontal="left" vertical="center" wrapText="1"/>
      <protection/>
    </xf>
    <xf numFmtId="0" fontId="0" fillId="0" borderId="113" xfId="66" applyFont="1" applyFill="1" applyBorder="1" applyAlignment="1">
      <alignment vertical="center" wrapText="1"/>
      <protection/>
    </xf>
    <xf numFmtId="0" fontId="0" fillId="0" borderId="0" xfId="66" applyFont="1" applyFill="1" applyBorder="1" applyAlignment="1">
      <alignment vertical="center" wrapText="1"/>
      <protection/>
    </xf>
    <xf numFmtId="0" fontId="52" fillId="0" borderId="113" xfId="66" applyFont="1" applyFill="1" applyBorder="1" applyAlignment="1">
      <alignment vertical="center" wrapText="1"/>
      <protection/>
    </xf>
    <xf numFmtId="0" fontId="52" fillId="0" borderId="0" xfId="66" applyFont="1" applyFill="1" applyBorder="1" applyAlignment="1">
      <alignment vertical="center" wrapText="1"/>
      <protection/>
    </xf>
    <xf numFmtId="0" fontId="0" fillId="0" borderId="10" xfId="66" applyFont="1" applyFill="1" applyBorder="1" applyAlignment="1">
      <alignment vertical="center" wrapText="1"/>
      <protection/>
    </xf>
    <xf numFmtId="176" fontId="0" fillId="0" borderId="54" xfId="0" applyNumberFormat="1" applyFont="1" applyFill="1" applyBorder="1" applyAlignment="1">
      <alignment horizontal="left" vertical="center" shrinkToFit="1"/>
    </xf>
    <xf numFmtId="3" fontId="0" fillId="0" borderId="94" xfId="0" applyNumberFormat="1" applyFont="1" applyFill="1" applyBorder="1" applyAlignment="1">
      <alignment vertical="center"/>
    </xf>
    <xf numFmtId="3" fontId="0" fillId="0" borderId="142" xfId="0" applyNumberFormat="1" applyFont="1" applyFill="1" applyBorder="1" applyAlignment="1">
      <alignment vertical="center"/>
    </xf>
    <xf numFmtId="0" fontId="0" fillId="0" borderId="121" xfId="66" applyFont="1" applyFill="1" applyBorder="1" applyAlignment="1">
      <alignment horizontal="left" vertical="center" wrapText="1"/>
      <protection/>
    </xf>
    <xf numFmtId="0" fontId="0" fillId="0" borderId="0" xfId="66" applyFont="1" applyFill="1" applyBorder="1" applyAlignment="1">
      <alignment horizontal="left" vertical="center" wrapText="1"/>
      <protection/>
    </xf>
    <xf numFmtId="0" fontId="0" fillId="0" borderId="0" xfId="66" applyFont="1" applyFill="1" applyBorder="1" applyAlignment="1">
      <alignment horizontal="center" vertical="center" wrapText="1"/>
      <protection/>
    </xf>
    <xf numFmtId="0" fontId="52" fillId="0" borderId="0" xfId="66" applyFont="1" applyFill="1" applyBorder="1" applyAlignment="1">
      <alignment horizontal="left" vertical="center" shrinkToFit="1"/>
      <protection/>
    </xf>
    <xf numFmtId="0" fontId="52" fillId="0" borderId="0" xfId="66" applyFont="1" applyFill="1" applyBorder="1" applyAlignment="1">
      <alignment horizontal="center" vertical="center" wrapText="1"/>
      <protection/>
    </xf>
    <xf numFmtId="0" fontId="52" fillId="0" borderId="144" xfId="66" applyFont="1" applyFill="1" applyBorder="1" applyAlignment="1">
      <alignment horizontal="center" vertical="center" wrapText="1"/>
      <protection/>
    </xf>
    <xf numFmtId="0" fontId="0" fillId="0" borderId="144" xfId="66" applyFont="1" applyFill="1" applyBorder="1" applyAlignment="1">
      <alignment horizontal="center" vertical="center" wrapText="1"/>
      <protection/>
    </xf>
    <xf numFmtId="0" fontId="52" fillId="0" borderId="113" xfId="66" applyFont="1" applyFill="1" applyBorder="1" applyAlignment="1">
      <alignment horizontal="left" vertical="center" shrinkToFit="1"/>
      <protection/>
    </xf>
    <xf numFmtId="0" fontId="0" fillId="0" borderId="113" xfId="66" applyFont="1" applyFill="1" applyBorder="1" applyAlignment="1">
      <alignment horizontal="center" vertical="center" wrapText="1"/>
      <protection/>
    </xf>
    <xf numFmtId="0" fontId="52" fillId="0" borderId="113" xfId="66" applyFont="1" applyFill="1" applyBorder="1" applyAlignment="1">
      <alignment horizontal="center" vertical="center" wrapText="1"/>
      <protection/>
    </xf>
    <xf numFmtId="0" fontId="52" fillId="0" borderId="145" xfId="66" applyFont="1" applyFill="1" applyBorder="1" applyAlignment="1">
      <alignment horizontal="center" vertical="center" wrapText="1"/>
      <protection/>
    </xf>
    <xf numFmtId="0" fontId="0" fillId="0" borderId="114" xfId="66" applyFont="1" applyFill="1" applyBorder="1" applyAlignment="1">
      <alignment horizontal="center" vertical="center" wrapText="1"/>
      <protection/>
    </xf>
    <xf numFmtId="0" fontId="52" fillId="0" borderId="0" xfId="66" applyFont="1" applyFill="1" applyBorder="1" applyAlignment="1">
      <alignment horizontal="left" vertical="center" wrapText="1"/>
      <protection/>
    </xf>
    <xf numFmtId="0" fontId="0" fillId="0" borderId="114" xfId="66" applyFont="1" applyFill="1" applyBorder="1" applyAlignment="1">
      <alignment horizontal="left" vertical="center" wrapText="1"/>
      <protection/>
    </xf>
    <xf numFmtId="0" fontId="1" fillId="0" borderId="146" xfId="0" applyFont="1" applyBorder="1" applyAlignment="1">
      <alignment horizontal="center" vertical="center" shrinkToFit="1"/>
    </xf>
    <xf numFmtId="0" fontId="1" fillId="0" borderId="147" xfId="0" applyFont="1" applyBorder="1" applyAlignment="1">
      <alignment horizontal="center" vertical="center" shrinkToFit="1"/>
    </xf>
    <xf numFmtId="0" fontId="1" fillId="0" borderId="146" xfId="0" applyFont="1" applyBorder="1" applyAlignment="1">
      <alignment horizontal="center" vertical="center" shrinkToFit="1"/>
    </xf>
    <xf numFmtId="0" fontId="1" fillId="0" borderId="148" xfId="0" applyFont="1" applyBorder="1" applyAlignment="1">
      <alignment horizontal="center" vertical="center" shrinkToFit="1"/>
    </xf>
    <xf numFmtId="0" fontId="1" fillId="0" borderId="55" xfId="66" applyFont="1" applyBorder="1" applyAlignment="1">
      <alignment horizontal="center" vertical="center" wrapText="1"/>
      <protection/>
    </xf>
    <xf numFmtId="0" fontId="1" fillId="0" borderId="59" xfId="66" applyFont="1" applyBorder="1" applyAlignment="1">
      <alignment horizontal="center" vertical="center" wrapText="1"/>
      <protection/>
    </xf>
    <xf numFmtId="0" fontId="1" fillId="0" borderId="149" xfId="66" applyFont="1" applyBorder="1" applyAlignment="1">
      <alignment horizontal="center" vertical="center" wrapText="1"/>
      <protection/>
    </xf>
    <xf numFmtId="0" fontId="1" fillId="0" borderId="112" xfId="66" applyFont="1" applyBorder="1" applyAlignment="1">
      <alignment horizontal="center" vertical="center" wrapText="1"/>
      <protection/>
    </xf>
    <xf numFmtId="0" fontId="1" fillId="0" borderId="109" xfId="66" applyFont="1" applyBorder="1" applyAlignment="1">
      <alignment vertical="center" wrapText="1"/>
      <protection/>
    </xf>
    <xf numFmtId="0" fontId="1" fillId="0" borderId="112" xfId="66" applyFont="1" applyBorder="1" applyAlignment="1">
      <alignment vertical="center" wrapText="1"/>
      <protection/>
    </xf>
    <xf numFmtId="0" fontId="1" fillId="0" borderId="150" xfId="66" applyFont="1" applyBorder="1" applyAlignment="1">
      <alignment vertical="center" wrapText="1"/>
      <protection/>
    </xf>
    <xf numFmtId="0" fontId="1" fillId="0" borderId="109" xfId="66" applyFont="1" applyBorder="1" applyAlignment="1">
      <alignment horizontal="center" vertical="center" wrapText="1"/>
      <protection/>
    </xf>
    <xf numFmtId="0" fontId="1" fillId="0" borderId="151" xfId="66" applyFont="1" applyBorder="1" applyAlignment="1">
      <alignment horizontal="center" vertical="center" wrapText="1"/>
      <protection/>
    </xf>
    <xf numFmtId="0" fontId="1" fillId="0" borderId="152" xfId="0" applyFont="1" applyBorder="1" applyAlignment="1" quotePrefix="1">
      <alignment horizontal="center" vertical="center" shrinkToFit="1"/>
    </xf>
    <xf numFmtId="0" fontId="1" fillId="0" borderId="152" xfId="0" applyFont="1" applyBorder="1" applyAlignment="1">
      <alignment horizontal="center" vertical="center" shrinkToFit="1"/>
    </xf>
    <xf numFmtId="0" fontId="1" fillId="0" borderId="153" xfId="0" applyFont="1" applyBorder="1" applyAlignment="1">
      <alignment horizontal="center" vertical="center" shrinkToFit="1"/>
    </xf>
    <xf numFmtId="0" fontId="0" fillId="0" borderId="146" xfId="0" applyFont="1" applyBorder="1" applyAlignment="1">
      <alignment horizontal="center" vertical="center" shrinkToFit="1"/>
    </xf>
    <xf numFmtId="0" fontId="0" fillId="0" borderId="148" xfId="0" applyFont="1" applyBorder="1" applyAlignment="1">
      <alignment horizontal="center" vertical="center" shrinkToFit="1"/>
    </xf>
    <xf numFmtId="0" fontId="0" fillId="0" borderId="147" xfId="0" applyFon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wrapText="1" shrinkToFit="1"/>
    </xf>
    <xf numFmtId="0" fontId="0" fillId="0" borderId="97" xfId="0" applyFon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shrinkToFit="1"/>
    </xf>
    <xf numFmtId="0" fontId="1" fillId="0" borderId="54" xfId="66" applyFont="1" applyBorder="1" applyAlignment="1">
      <alignment horizontal="center" vertical="center" wrapText="1"/>
      <protection/>
    </xf>
    <xf numFmtId="0" fontId="1" fillId="0" borderId="56" xfId="66" applyFont="1" applyBorder="1" applyAlignment="1">
      <alignment horizontal="center" vertical="center" wrapText="1"/>
      <protection/>
    </xf>
    <xf numFmtId="184" fontId="1" fillId="0" borderId="0" xfId="66" applyNumberFormat="1" applyFont="1" applyBorder="1" applyAlignment="1">
      <alignment horizontal="center" vertical="center" wrapText="1"/>
      <protection/>
    </xf>
    <xf numFmtId="184" fontId="1" fillId="0" borderId="41" xfId="66" applyNumberFormat="1" applyFont="1" applyBorder="1" applyAlignment="1">
      <alignment horizontal="center" vertical="center" wrapText="1"/>
      <protection/>
    </xf>
    <xf numFmtId="0" fontId="1" fillId="0" borderId="54" xfId="66" applyFont="1" applyBorder="1" applyAlignment="1">
      <alignment horizontal="center" vertical="center" wrapText="1"/>
      <protection/>
    </xf>
    <xf numFmtId="0" fontId="1" fillId="0" borderId="85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54" xfId="66" applyFont="1" applyBorder="1" applyAlignment="1">
      <alignment horizontal="center" vertical="center" wrapText="1"/>
      <protection/>
    </xf>
    <xf numFmtId="0" fontId="1" fillId="0" borderId="91" xfId="66" applyFont="1" applyBorder="1" applyAlignment="1">
      <alignment horizontal="center" vertical="center" wrapText="1"/>
      <protection/>
    </xf>
    <xf numFmtId="0" fontId="1" fillId="0" borderId="37" xfId="66" applyFont="1" applyBorder="1" applyAlignment="1">
      <alignment vertical="center" wrapText="1"/>
      <protection/>
    </xf>
    <xf numFmtId="0" fontId="1" fillId="0" borderId="0" xfId="66" applyFont="1" applyBorder="1" applyAlignment="1">
      <alignment vertical="center" wrapText="1"/>
      <protection/>
    </xf>
    <xf numFmtId="0" fontId="1" fillId="0" borderId="49" xfId="66" applyFont="1" applyBorder="1" applyAlignment="1">
      <alignment horizontal="center" vertical="center" wrapText="1"/>
      <protection/>
    </xf>
    <xf numFmtId="0" fontId="1" fillId="0" borderId="50" xfId="66" applyFont="1" applyBorder="1" applyAlignment="1">
      <alignment horizontal="center" vertical="center" wrapText="1"/>
      <protection/>
    </xf>
    <xf numFmtId="0" fontId="1" fillId="0" borderId="51" xfId="66" applyFont="1" applyBorder="1" applyAlignment="1">
      <alignment horizontal="center" vertical="center" wrapText="1"/>
      <protection/>
    </xf>
    <xf numFmtId="184" fontId="1" fillId="0" borderId="49" xfId="66" applyNumberFormat="1" applyFont="1" applyBorder="1" applyAlignment="1">
      <alignment horizontal="center" vertical="center" wrapText="1"/>
      <protection/>
    </xf>
    <xf numFmtId="184" fontId="1" fillId="0" borderId="50" xfId="66" applyNumberFormat="1" applyFont="1" applyBorder="1" applyAlignment="1">
      <alignment horizontal="center" vertical="center" wrapText="1"/>
      <protection/>
    </xf>
    <xf numFmtId="184" fontId="1" fillId="0" borderId="51" xfId="66" applyNumberFormat="1" applyFont="1" applyBorder="1" applyAlignment="1">
      <alignment horizontal="center" vertical="center" wrapText="1"/>
      <protection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54" xfId="66" applyFont="1" applyBorder="1" applyAlignment="1">
      <alignment horizontal="center" vertical="center" wrapText="1"/>
      <protection/>
    </xf>
    <xf numFmtId="184" fontId="1" fillId="0" borderId="54" xfId="66" applyNumberFormat="1" applyFont="1" applyBorder="1" applyAlignment="1">
      <alignment horizontal="center" vertical="center" wrapText="1"/>
      <protection/>
    </xf>
    <xf numFmtId="184" fontId="1" fillId="0" borderId="55" xfId="66" applyNumberFormat="1" applyFont="1" applyBorder="1" applyAlignment="1">
      <alignment horizontal="center" vertical="center" wrapText="1"/>
      <protection/>
    </xf>
    <xf numFmtId="184" fontId="1" fillId="0" borderId="56" xfId="66" applyNumberFormat="1" applyFont="1" applyBorder="1" applyAlignment="1">
      <alignment horizontal="center" vertical="center" wrapText="1"/>
      <protection/>
    </xf>
    <xf numFmtId="0" fontId="0" fillId="0" borderId="54" xfId="66" applyFont="1" applyBorder="1" applyAlignment="1">
      <alignment horizontal="left" vertical="center" wrapText="1"/>
      <protection/>
    </xf>
    <xf numFmtId="0" fontId="0" fillId="0" borderId="55" xfId="66" applyFont="1" applyBorder="1" applyAlignment="1">
      <alignment horizontal="left" vertical="center" wrapText="1"/>
      <protection/>
    </xf>
    <xf numFmtId="0" fontId="0" fillId="0" borderId="56" xfId="66" applyFont="1" applyBorder="1" applyAlignment="1">
      <alignment horizontal="left" vertical="center" wrapText="1"/>
      <protection/>
    </xf>
    <xf numFmtId="184" fontId="1" fillId="0" borderId="59" xfId="66" applyNumberFormat="1" applyFont="1" applyBorder="1" applyAlignment="1">
      <alignment horizontal="center" vertical="center" wrapText="1"/>
      <protection/>
    </xf>
    <xf numFmtId="0" fontId="1" fillId="0" borderId="54" xfId="66" applyFont="1" applyBorder="1" applyAlignment="1">
      <alignment vertical="center" wrapText="1"/>
      <protection/>
    </xf>
    <xf numFmtId="0" fontId="1" fillId="0" borderId="55" xfId="66" applyFont="1" applyBorder="1" applyAlignment="1">
      <alignment vertical="center" wrapText="1"/>
      <protection/>
    </xf>
    <xf numFmtId="0" fontId="1" fillId="0" borderId="155" xfId="66" applyFont="1" applyBorder="1" applyAlignment="1">
      <alignment horizontal="center" vertical="center" wrapText="1"/>
      <protection/>
    </xf>
    <xf numFmtId="0" fontId="0" fillId="0" borderId="91" xfId="66" applyFont="1" applyBorder="1" applyAlignment="1">
      <alignment horizontal="center" vertical="center" wrapText="1"/>
      <protection/>
    </xf>
    <xf numFmtId="0" fontId="0" fillId="0" borderId="37" xfId="66" applyFont="1" applyBorder="1" applyAlignment="1">
      <alignment horizontal="center" vertical="center" wrapText="1"/>
      <protection/>
    </xf>
    <xf numFmtId="0" fontId="1" fillId="0" borderId="156" xfId="66" applyFont="1" applyBorder="1" applyAlignment="1">
      <alignment horizontal="center" vertical="center" textRotation="255" shrinkToFit="1"/>
      <protection/>
    </xf>
    <xf numFmtId="0" fontId="1" fillId="0" borderId="154" xfId="66" applyFont="1" applyBorder="1" applyAlignment="1">
      <alignment horizontal="center" vertical="center" textRotation="255" shrinkToFit="1"/>
      <protection/>
    </xf>
    <xf numFmtId="0" fontId="1" fillId="0" borderId="157" xfId="66" applyFont="1" applyBorder="1" applyAlignment="1">
      <alignment horizontal="center" vertical="center" textRotation="255" shrinkToFit="1"/>
      <protection/>
    </xf>
    <xf numFmtId="0" fontId="0" fillId="0" borderId="13" xfId="66" applyFont="1" applyBorder="1" applyAlignment="1">
      <alignment horizontal="left" vertical="center" wrapText="1"/>
      <protection/>
    </xf>
    <xf numFmtId="0" fontId="0" fillId="0" borderId="35" xfId="66" applyFont="1" applyBorder="1" applyAlignment="1">
      <alignment horizontal="left" vertical="center" wrapText="1"/>
      <protection/>
    </xf>
    <xf numFmtId="0" fontId="0" fillId="0" borderId="102" xfId="66" applyFont="1" applyBorder="1" applyAlignment="1">
      <alignment horizontal="left" vertical="center" wrapText="1"/>
      <protection/>
    </xf>
    <xf numFmtId="184" fontId="1" fillId="0" borderId="35" xfId="66" applyNumberFormat="1" applyFont="1" applyBorder="1" applyAlignment="1">
      <alignment horizontal="center" vertical="center" wrapText="1"/>
      <protection/>
    </xf>
    <xf numFmtId="184" fontId="1" fillId="0" borderId="158" xfId="66" applyNumberFormat="1" applyFont="1" applyBorder="1" applyAlignment="1">
      <alignment horizontal="center" vertical="center" wrapText="1"/>
      <protection/>
    </xf>
    <xf numFmtId="0" fontId="1" fillId="0" borderId="150" xfId="66" applyFont="1" applyBorder="1" applyAlignment="1">
      <alignment horizontal="center" vertical="center" wrapText="1"/>
      <protection/>
    </xf>
    <xf numFmtId="184" fontId="1" fillId="0" borderId="13" xfId="66" applyNumberFormat="1" applyFont="1" applyBorder="1" applyAlignment="1">
      <alignment horizontal="center" vertical="center" wrapText="1"/>
      <protection/>
    </xf>
    <xf numFmtId="0" fontId="1" fillId="0" borderId="159" xfId="66" applyFont="1" applyBorder="1" applyAlignment="1">
      <alignment horizontal="center" vertical="center" wrapText="1"/>
      <protection/>
    </xf>
    <xf numFmtId="0" fontId="0" fillId="0" borderId="49" xfId="66" applyFont="1" applyBorder="1" applyAlignment="1">
      <alignment horizontal="center" vertical="center" wrapText="1"/>
      <protection/>
    </xf>
    <xf numFmtId="0" fontId="0" fillId="0" borderId="50" xfId="66" applyFont="1" applyBorder="1" applyAlignment="1">
      <alignment horizontal="center" vertical="center" wrapText="1"/>
      <protection/>
    </xf>
    <xf numFmtId="0" fontId="0" fillId="0" borderId="53" xfId="66" applyFont="1" applyBorder="1" applyAlignment="1">
      <alignment horizontal="center" vertical="center" wrapText="1"/>
      <protection/>
    </xf>
    <xf numFmtId="0" fontId="1" fillId="0" borderId="160" xfId="66" applyFont="1" applyBorder="1" applyAlignment="1">
      <alignment horizontal="center" vertical="center" wrapText="1"/>
      <protection/>
    </xf>
    <xf numFmtId="0" fontId="1" fillId="0" borderId="13" xfId="66" applyFont="1" applyBorder="1" applyAlignment="1">
      <alignment vertical="center" wrapText="1"/>
      <protection/>
    </xf>
    <xf numFmtId="0" fontId="1" fillId="0" borderId="35" xfId="66" applyFont="1" applyBorder="1" applyAlignment="1">
      <alignment vertical="center" wrapText="1"/>
      <protection/>
    </xf>
    <xf numFmtId="0" fontId="0" fillId="0" borderId="13" xfId="66" applyFont="1" applyBorder="1" applyAlignment="1">
      <alignment horizontal="center" vertical="center" wrapText="1"/>
      <protection/>
    </xf>
    <xf numFmtId="0" fontId="0" fillId="0" borderId="35" xfId="66" applyFont="1" applyBorder="1" applyAlignment="1">
      <alignment horizontal="center" vertical="center" wrapText="1"/>
      <protection/>
    </xf>
    <xf numFmtId="0" fontId="0" fillId="0" borderId="158" xfId="66" applyFont="1" applyBorder="1" applyAlignment="1">
      <alignment horizontal="center" vertical="center" wrapText="1"/>
      <protection/>
    </xf>
    <xf numFmtId="0" fontId="1" fillId="0" borderId="161" xfId="66" applyFont="1" applyBorder="1" applyAlignment="1">
      <alignment horizontal="center" vertical="center" wrapText="1"/>
      <protection/>
    </xf>
    <xf numFmtId="0" fontId="1" fillId="0" borderId="162" xfId="66" applyFont="1" applyBorder="1" applyAlignment="1">
      <alignment horizontal="center" vertical="center" wrapText="1"/>
      <protection/>
    </xf>
    <xf numFmtId="0" fontId="1" fillId="0" borderId="163" xfId="66" applyFont="1" applyBorder="1" applyAlignment="1">
      <alignment horizontal="center" vertical="center" wrapText="1"/>
      <protection/>
    </xf>
    <xf numFmtId="0" fontId="0" fillId="0" borderId="164" xfId="66" applyFont="1" applyBorder="1" applyAlignment="1">
      <alignment horizontal="center" vertical="center"/>
      <protection/>
    </xf>
    <xf numFmtId="0" fontId="0" fillId="0" borderId="89" xfId="66" applyFont="1" applyBorder="1" applyAlignment="1">
      <alignment horizontal="center" vertical="center"/>
      <protection/>
    </xf>
    <xf numFmtId="0" fontId="0" fillId="0" borderId="165" xfId="66" applyFont="1" applyBorder="1" applyAlignment="1">
      <alignment horizontal="center" vertical="center"/>
      <protection/>
    </xf>
    <xf numFmtId="0" fontId="1" fillId="0" borderId="166" xfId="66" applyFont="1" applyBorder="1" applyAlignment="1">
      <alignment horizontal="center" vertical="center" wrapText="1"/>
      <protection/>
    </xf>
    <xf numFmtId="0" fontId="1" fillId="0" borderId="37" xfId="66" applyFont="1" applyBorder="1" applyAlignment="1">
      <alignment horizontal="left" vertical="center" indent="1"/>
      <protection/>
    </xf>
    <xf numFmtId="0" fontId="1" fillId="0" borderId="0" xfId="66" applyFont="1" applyBorder="1" applyAlignment="1">
      <alignment horizontal="left" vertical="center" indent="1"/>
      <protection/>
    </xf>
    <xf numFmtId="0" fontId="0" fillId="0" borderId="167" xfId="66" applyFont="1" applyBorder="1" applyAlignment="1">
      <alignment horizontal="center" vertical="center"/>
      <protection/>
    </xf>
    <xf numFmtId="0" fontId="0" fillId="0" borderId="113" xfId="66" applyFont="1" applyBorder="1" applyAlignment="1">
      <alignment horizontal="center" vertical="center"/>
      <protection/>
    </xf>
    <xf numFmtId="0" fontId="0" fillId="0" borderId="29" xfId="66" applyFont="1" applyBorder="1" applyAlignment="1">
      <alignment horizontal="center" vertical="center"/>
      <protection/>
    </xf>
    <xf numFmtId="0" fontId="0" fillId="0" borderId="168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122" xfId="66" applyFont="1" applyBorder="1" applyAlignment="1">
      <alignment horizontal="center" vertical="center"/>
      <protection/>
    </xf>
    <xf numFmtId="0" fontId="0" fillId="0" borderId="169" xfId="66" applyFont="1" applyBorder="1" applyAlignment="1">
      <alignment horizontal="center" vertical="center"/>
      <protection/>
    </xf>
    <xf numFmtId="0" fontId="0" fillId="0" borderId="114" xfId="66" applyFont="1" applyBorder="1" applyAlignment="1">
      <alignment horizontal="center" vertical="center"/>
      <protection/>
    </xf>
    <xf numFmtId="0" fontId="0" fillId="0" borderId="92" xfId="66" applyFont="1" applyBorder="1" applyAlignment="1">
      <alignment horizontal="center" vertical="center"/>
      <protection/>
    </xf>
    <xf numFmtId="0" fontId="0" fillId="0" borderId="28" xfId="66" applyFont="1" applyBorder="1" applyAlignment="1">
      <alignment horizontal="left" vertical="center" wrapText="1"/>
      <protection/>
    </xf>
    <xf numFmtId="0" fontId="0" fillId="0" borderId="113" xfId="66" applyFont="1" applyBorder="1" applyAlignment="1">
      <alignment horizontal="left" vertical="center" wrapText="1"/>
      <protection/>
    </xf>
    <xf numFmtId="0" fontId="0" fillId="0" borderId="145" xfId="66" applyFont="1" applyBorder="1" applyAlignment="1">
      <alignment horizontal="left" vertical="center" wrapText="1"/>
      <protection/>
    </xf>
    <xf numFmtId="0" fontId="0" fillId="0" borderId="121" xfId="66" applyFont="1" applyBorder="1" applyAlignment="1">
      <alignment horizontal="left" vertical="center" wrapText="1"/>
      <protection/>
    </xf>
    <xf numFmtId="0" fontId="0" fillId="0" borderId="0" xfId="66" applyFont="1" applyBorder="1" applyAlignment="1">
      <alignment horizontal="left" vertical="center" wrapText="1"/>
      <protection/>
    </xf>
    <xf numFmtId="0" fontId="0" fillId="0" borderId="144" xfId="66" applyFont="1" applyBorder="1" applyAlignment="1">
      <alignment horizontal="left" vertical="center" wrapText="1"/>
      <protection/>
    </xf>
    <xf numFmtId="0" fontId="0" fillId="0" borderId="73" xfId="66" applyFont="1" applyBorder="1" applyAlignment="1">
      <alignment horizontal="left" vertical="center" wrapText="1"/>
      <protection/>
    </xf>
    <xf numFmtId="0" fontId="0" fillId="0" borderId="114" xfId="66" applyFont="1" applyBorder="1" applyAlignment="1">
      <alignment horizontal="left" vertical="center" wrapText="1"/>
      <protection/>
    </xf>
    <xf numFmtId="0" fontId="0" fillId="0" borderId="170" xfId="66" applyFont="1" applyBorder="1" applyAlignment="1">
      <alignment horizontal="left" vertical="center" wrapText="1"/>
      <protection/>
    </xf>
    <xf numFmtId="0" fontId="0" fillId="0" borderId="170" xfId="66" applyFont="1" applyFill="1" applyBorder="1" applyAlignment="1">
      <alignment horizontal="center" vertical="center" wrapText="1"/>
      <protection/>
    </xf>
    <xf numFmtId="0" fontId="0" fillId="0" borderId="167" xfId="66" applyFont="1" applyFill="1" applyBorder="1" applyAlignment="1">
      <alignment horizontal="center" vertical="center"/>
      <protection/>
    </xf>
    <xf numFmtId="0" fontId="0" fillId="0" borderId="113" xfId="66" applyFont="1" applyFill="1" applyBorder="1" applyAlignment="1">
      <alignment horizontal="center" vertical="center"/>
      <protection/>
    </xf>
    <xf numFmtId="0" fontId="0" fillId="0" borderId="29" xfId="66" applyFont="1" applyFill="1" applyBorder="1" applyAlignment="1">
      <alignment horizontal="center" vertical="center"/>
      <protection/>
    </xf>
    <xf numFmtId="0" fontId="0" fillId="0" borderId="168" xfId="66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122" xfId="66" applyFont="1" applyFill="1" applyBorder="1" applyAlignment="1">
      <alignment horizontal="center" vertical="center"/>
      <protection/>
    </xf>
    <xf numFmtId="0" fontId="0" fillId="0" borderId="169" xfId="66" applyFont="1" applyFill="1" applyBorder="1" applyAlignment="1">
      <alignment horizontal="center" vertical="center"/>
      <protection/>
    </xf>
    <xf numFmtId="0" fontId="0" fillId="0" borderId="114" xfId="66" applyFont="1" applyFill="1" applyBorder="1" applyAlignment="1">
      <alignment horizontal="center" vertical="center"/>
      <protection/>
    </xf>
    <xf numFmtId="0" fontId="0" fillId="0" borderId="92" xfId="66" applyFont="1" applyFill="1" applyBorder="1" applyAlignment="1">
      <alignment horizontal="center" vertical="center"/>
      <protection/>
    </xf>
    <xf numFmtId="0" fontId="0" fillId="0" borderId="28" xfId="66" applyFont="1" applyFill="1" applyBorder="1" applyAlignment="1">
      <alignment horizontal="left" vertical="center" shrinkToFit="1"/>
      <protection/>
    </xf>
    <xf numFmtId="0" fontId="0" fillId="0" borderId="113" xfId="66" applyFont="1" applyFill="1" applyBorder="1" applyAlignment="1">
      <alignment horizontal="left" vertical="center" shrinkToFit="1"/>
      <protection/>
    </xf>
    <xf numFmtId="0" fontId="0" fillId="0" borderId="73" xfId="66" applyFont="1" applyFill="1" applyBorder="1" applyAlignment="1">
      <alignment horizontal="left" vertical="center" wrapText="1"/>
      <protection/>
    </xf>
    <xf numFmtId="0" fontId="0" fillId="0" borderId="23" xfId="66" applyFont="1" applyFill="1" applyBorder="1" applyAlignment="1">
      <alignment vertical="center" wrapText="1"/>
      <protection/>
    </xf>
    <xf numFmtId="0" fontId="0" fillId="0" borderId="23" xfId="66" applyFont="1" applyFill="1" applyBorder="1" applyAlignment="1">
      <alignment vertical="center" wrapText="1"/>
      <protection/>
    </xf>
    <xf numFmtId="0" fontId="0" fillId="0" borderId="21" xfId="66" applyFont="1" applyFill="1" applyBorder="1" applyAlignment="1">
      <alignment vertical="center" wrapText="1"/>
      <protection/>
    </xf>
    <xf numFmtId="0" fontId="0" fillId="0" borderId="171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vertical="center" wrapText="1"/>
      <protection/>
    </xf>
    <xf numFmtId="0" fontId="0" fillId="0" borderId="23" xfId="66" applyFont="1" applyBorder="1" applyAlignment="1">
      <alignment vertical="center" wrapText="1"/>
      <protection/>
    </xf>
    <xf numFmtId="0" fontId="0" fillId="0" borderId="21" xfId="66" applyFont="1" applyBorder="1" applyAlignment="1">
      <alignment vertical="center" wrapText="1"/>
      <protection/>
    </xf>
    <xf numFmtId="0" fontId="0" fillId="0" borderId="20" xfId="66" applyFont="1" applyFill="1" applyBorder="1" applyAlignment="1">
      <alignment horizontal="center" vertical="center"/>
      <protection/>
    </xf>
    <xf numFmtId="0" fontId="0" fillId="0" borderId="23" xfId="66" applyFont="1" applyFill="1" applyBorder="1" applyAlignment="1">
      <alignment horizontal="center" vertical="center"/>
      <protection/>
    </xf>
    <xf numFmtId="0" fontId="0" fillId="0" borderId="24" xfId="66" applyFont="1" applyFill="1" applyBorder="1" applyAlignment="1">
      <alignment horizontal="center" vertical="center"/>
      <protection/>
    </xf>
    <xf numFmtId="0" fontId="0" fillId="0" borderId="33" xfId="66" applyFont="1" applyFill="1" applyBorder="1" applyAlignment="1">
      <alignment horizontal="center" vertical="center"/>
      <protection/>
    </xf>
    <xf numFmtId="0" fontId="0" fillId="0" borderId="33" xfId="66" applyFont="1" applyFill="1" applyBorder="1" applyAlignment="1">
      <alignment vertical="center" wrapText="1"/>
      <protection/>
    </xf>
    <xf numFmtId="0" fontId="0" fillId="0" borderId="25" xfId="66" applyFont="1" applyFill="1" applyBorder="1" applyAlignment="1">
      <alignment vertical="center" wrapText="1"/>
      <protection/>
    </xf>
    <xf numFmtId="0" fontId="0" fillId="0" borderId="172" xfId="66" applyFont="1" applyBorder="1" applyAlignment="1">
      <alignment horizontal="center" vertical="center"/>
      <protection/>
    </xf>
    <xf numFmtId="0" fontId="0" fillId="0" borderId="33" xfId="66" applyFont="1" applyBorder="1" applyAlignment="1">
      <alignment horizontal="center" vertical="center"/>
      <protection/>
    </xf>
    <xf numFmtId="0" fontId="0" fillId="0" borderId="33" xfId="66" applyFont="1" applyBorder="1" applyAlignment="1">
      <alignment vertical="center" wrapText="1"/>
      <protection/>
    </xf>
    <xf numFmtId="0" fontId="0" fillId="0" borderId="33" xfId="66" applyFont="1" applyBorder="1" applyAlignment="1">
      <alignment vertical="center" wrapText="1"/>
      <protection/>
    </xf>
    <xf numFmtId="0" fontId="0" fillId="0" borderId="25" xfId="66" applyFont="1" applyBorder="1" applyAlignment="1">
      <alignment vertical="center" wrapText="1"/>
      <protection/>
    </xf>
    <xf numFmtId="0" fontId="1" fillId="0" borderId="161" xfId="66" applyFont="1" applyBorder="1" applyAlignment="1">
      <alignment horizontal="center" vertical="center" wrapText="1"/>
      <protection/>
    </xf>
    <xf numFmtId="0" fontId="1" fillId="0" borderId="162" xfId="66" applyFont="1" applyBorder="1" applyAlignment="1">
      <alignment horizontal="center" vertical="center" wrapText="1"/>
      <protection/>
    </xf>
    <xf numFmtId="0" fontId="1" fillId="0" borderId="163" xfId="66" applyFont="1" applyBorder="1" applyAlignment="1">
      <alignment horizontal="center" vertical="center" wrapText="1"/>
      <protection/>
    </xf>
    <xf numFmtId="0" fontId="0" fillId="0" borderId="164" xfId="66" applyFont="1" applyFill="1" applyBorder="1" applyAlignment="1">
      <alignment horizontal="center" vertical="center"/>
      <protection/>
    </xf>
    <xf numFmtId="0" fontId="0" fillId="0" borderId="89" xfId="66" applyFont="1" applyFill="1" applyBorder="1" applyAlignment="1">
      <alignment horizontal="center" vertical="center"/>
      <protection/>
    </xf>
    <xf numFmtId="0" fontId="0" fillId="0" borderId="165" xfId="66" applyFont="1" applyFill="1" applyBorder="1" applyAlignment="1">
      <alignment horizontal="center" vertical="center"/>
      <protection/>
    </xf>
    <xf numFmtId="0" fontId="0" fillId="0" borderId="173" xfId="66" applyFont="1" applyBorder="1" applyAlignment="1">
      <alignment horizontal="center" vertical="center"/>
      <protection/>
    </xf>
    <xf numFmtId="0" fontId="0" fillId="0" borderId="34" xfId="66" applyFont="1" applyBorder="1" applyAlignment="1">
      <alignment horizontal="center" vertical="center"/>
      <protection/>
    </xf>
    <xf numFmtId="0" fontId="0" fillId="0" borderId="34" xfId="66" applyFont="1" applyBorder="1" applyAlignment="1">
      <alignment vertical="center" wrapText="1"/>
      <protection/>
    </xf>
    <xf numFmtId="0" fontId="0" fillId="0" borderId="34" xfId="66" applyFont="1" applyBorder="1" applyAlignment="1">
      <alignment vertical="center" wrapText="1"/>
      <protection/>
    </xf>
    <xf numFmtId="0" fontId="0" fillId="0" borderId="30" xfId="66" applyFont="1" applyBorder="1" applyAlignment="1">
      <alignment vertical="center" wrapText="1"/>
      <protection/>
    </xf>
    <xf numFmtId="0" fontId="0" fillId="0" borderId="34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vertical="center" wrapText="1"/>
      <protection/>
    </xf>
    <xf numFmtId="0" fontId="0" fillId="0" borderId="115" xfId="0" applyFill="1" applyBorder="1" applyAlignment="1">
      <alignment vertical="center" wrapText="1"/>
    </xf>
    <xf numFmtId="0" fontId="0" fillId="0" borderId="115" xfId="66" applyFont="1" applyFill="1" applyBorder="1" applyAlignment="1">
      <alignment vertical="center" wrapText="1"/>
      <protection/>
    </xf>
    <xf numFmtId="0" fontId="0" fillId="0" borderId="85" xfId="66" applyFont="1" applyFill="1" applyBorder="1" applyAlignment="1">
      <alignment horizontal="center" vertical="center" textRotation="255" wrapText="1"/>
      <protection/>
    </xf>
    <xf numFmtId="0" fontId="0" fillId="0" borderId="84" xfId="66" applyFont="1" applyFill="1" applyBorder="1" applyAlignment="1">
      <alignment horizontal="center" vertical="center" wrapText="1"/>
      <protection/>
    </xf>
    <xf numFmtId="0" fontId="0" fillId="0" borderId="47" xfId="66" applyFont="1" applyFill="1" applyBorder="1" applyAlignment="1">
      <alignment horizontal="center" vertical="center" wrapText="1"/>
      <protection/>
    </xf>
    <xf numFmtId="0" fontId="0" fillId="0" borderId="106" xfId="66" applyFont="1" applyFill="1" applyBorder="1" applyAlignment="1">
      <alignment horizontal="center" vertical="center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78" xfId="66" applyFont="1" applyFill="1" applyBorder="1" applyAlignment="1">
      <alignment horizontal="center" vertical="center" wrapText="1"/>
      <protection/>
    </xf>
    <xf numFmtId="0" fontId="0" fillId="0" borderId="56" xfId="66" applyFont="1" applyFill="1" applyBorder="1" applyAlignment="1">
      <alignment horizontal="center" vertical="center"/>
      <protection/>
    </xf>
    <xf numFmtId="0" fontId="1" fillId="0" borderId="84" xfId="66" applyFont="1" applyBorder="1" applyAlignment="1">
      <alignment horizontal="center" vertical="center" wrapText="1"/>
      <protection/>
    </xf>
    <xf numFmtId="0" fontId="1" fillId="0" borderId="47" xfId="66" applyFont="1" applyBorder="1" applyAlignment="1">
      <alignment horizontal="center" vertical="center" wrapText="1"/>
      <protection/>
    </xf>
    <xf numFmtId="0" fontId="1" fillId="0" borderId="85" xfId="66" applyFont="1" applyBorder="1" applyAlignment="1">
      <alignment horizontal="center" vertical="center" textRotation="255" wrapText="1"/>
      <protection/>
    </xf>
    <xf numFmtId="0" fontId="0" fillId="0" borderId="78" xfId="66" applyFont="1" applyBorder="1" applyAlignment="1">
      <alignment horizontal="center" vertical="center"/>
      <protection/>
    </xf>
    <xf numFmtId="0" fontId="0" fillId="0" borderId="56" xfId="66" applyFont="1" applyBorder="1" applyAlignment="1">
      <alignment horizontal="center" vertical="center"/>
      <protection/>
    </xf>
    <xf numFmtId="0" fontId="0" fillId="0" borderId="106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33" borderId="173" xfId="0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7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175" xfId="0" applyFont="1" applyBorder="1" applyAlignment="1">
      <alignment horizontal="center" vertical="center" textRotation="255"/>
    </xf>
    <xf numFmtId="0" fontId="0" fillId="0" borderId="174" xfId="0" applyFont="1" applyBorder="1" applyAlignment="1">
      <alignment horizontal="center" vertical="center" textRotation="255"/>
    </xf>
    <xf numFmtId="0" fontId="0" fillId="0" borderId="176" xfId="0" applyFont="1" applyBorder="1" applyAlignment="1">
      <alignment horizontal="center" vertical="center" textRotation="255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82" xfId="0" applyFont="1" applyFill="1" applyBorder="1" applyAlignment="1">
      <alignment horizontal="center" vertical="center" wrapText="1"/>
    </xf>
    <xf numFmtId="0" fontId="0" fillId="34" borderId="125" xfId="0" applyFont="1" applyFill="1" applyBorder="1" applyAlignment="1">
      <alignment horizontal="center" vertical="center"/>
    </xf>
    <xf numFmtId="0" fontId="0" fillId="34" borderId="126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76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180" fontId="0" fillId="0" borderId="86" xfId="50" applyNumberFormat="1" applyFont="1" applyBorder="1" applyAlignment="1">
      <alignment horizontal="center" vertical="center"/>
    </xf>
    <xf numFmtId="0" fontId="0" fillId="0" borderId="177" xfId="0" applyFont="1" applyBorder="1" applyAlignment="1">
      <alignment vertical="center"/>
    </xf>
    <xf numFmtId="0" fontId="0" fillId="0" borderId="178" xfId="0" applyFont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73" xfId="0" applyFont="1" applyBorder="1" applyAlignment="1">
      <alignment horizontal="center" vertical="center" textRotation="255" wrapText="1"/>
    </xf>
    <xf numFmtId="0" fontId="0" fillId="0" borderId="8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82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3" borderId="9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79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6" fontId="0" fillId="0" borderId="109" xfId="0" applyNumberFormat="1" applyFont="1" applyBorder="1" applyAlignment="1">
      <alignment horizontal="center" vertical="center"/>
    </xf>
    <xf numFmtId="176" fontId="0" fillId="0" borderId="112" xfId="0" applyNumberFormat="1" applyFont="1" applyBorder="1" applyAlignment="1">
      <alignment horizontal="center" vertical="center"/>
    </xf>
    <xf numFmtId="176" fontId="0" fillId="0" borderId="150" xfId="0" applyNumberFormat="1" applyFont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166" xfId="0" applyNumberFormat="1" applyFont="1" applyBorder="1" applyAlignment="1">
      <alignment horizontal="center" vertical="center"/>
    </xf>
    <xf numFmtId="176" fontId="0" fillId="0" borderId="154" xfId="0" applyNumberFormat="1" applyFont="1" applyBorder="1" applyAlignment="1">
      <alignment horizontal="center" vertical="center"/>
    </xf>
    <xf numFmtId="176" fontId="0" fillId="0" borderId="157" xfId="0" applyNumberFormat="1" applyFont="1" applyBorder="1" applyAlignment="1">
      <alignment horizontal="center" vertical="center"/>
    </xf>
    <xf numFmtId="176" fontId="0" fillId="0" borderId="156" xfId="0" applyNumberFormat="1" applyFont="1" applyBorder="1" applyAlignment="1">
      <alignment horizontal="center" vertical="center"/>
    </xf>
    <xf numFmtId="176" fontId="0" fillId="0" borderId="180" xfId="0" applyNumberFormat="1" applyFont="1" applyBorder="1" applyAlignment="1">
      <alignment horizontal="center" vertical="center"/>
    </xf>
    <xf numFmtId="176" fontId="0" fillId="0" borderId="181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182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6" fontId="0" fillId="0" borderId="78" xfId="0" applyNumberFormat="1" applyFont="1" applyBorder="1" applyAlignment="1">
      <alignment horizontal="left" vertical="center" indent="1"/>
    </xf>
    <xf numFmtId="176" fontId="0" fillId="0" borderId="56" xfId="0" applyNumberFormat="1" applyFont="1" applyBorder="1" applyAlignment="1">
      <alignment horizontal="left" vertical="center" indent="1"/>
    </xf>
    <xf numFmtId="176" fontId="0" fillId="0" borderId="7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106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96" xfId="0" applyNumberFormat="1" applyFont="1" applyBorder="1" applyAlignment="1">
      <alignment vertical="center" shrinkToFit="1"/>
    </xf>
    <xf numFmtId="176" fontId="0" fillId="0" borderId="91" xfId="0" applyNumberFormat="1" applyFont="1" applyBorder="1" applyAlignment="1">
      <alignment vertical="center" shrinkToFit="1"/>
    </xf>
    <xf numFmtId="176" fontId="0" fillId="0" borderId="183" xfId="0" applyNumberFormat="1" applyFont="1" applyBorder="1" applyAlignment="1">
      <alignment vertical="center" shrinkToFit="1"/>
    </xf>
    <xf numFmtId="9" fontId="0" fillId="0" borderId="96" xfId="0" applyNumberFormat="1" applyFont="1" applyBorder="1" applyAlignment="1">
      <alignment vertical="center" shrinkToFit="1"/>
    </xf>
    <xf numFmtId="9" fontId="0" fillId="0" borderId="91" xfId="0" applyNumberFormat="1" applyFont="1" applyBorder="1" applyAlignment="1">
      <alignment vertical="center" shrinkToFit="1"/>
    </xf>
    <xf numFmtId="9" fontId="0" fillId="0" borderId="183" xfId="0" applyNumberFormat="1" applyFont="1" applyBorder="1" applyAlignment="1">
      <alignment vertical="center" shrinkToFit="1"/>
    </xf>
    <xf numFmtId="176" fontId="0" fillId="0" borderId="166" xfId="0" applyNumberFormat="1" applyFont="1" applyBorder="1" applyAlignment="1">
      <alignment horizontal="center" vertical="center" textRotation="255" shrinkToFit="1"/>
    </xf>
    <xf numFmtId="176" fontId="0" fillId="0" borderId="154" xfId="0" applyNumberFormat="1" applyFont="1" applyBorder="1" applyAlignment="1">
      <alignment horizontal="center" vertical="center" textRotation="255" shrinkToFit="1"/>
    </xf>
    <xf numFmtId="0" fontId="0" fillId="0" borderId="154" xfId="0" applyBorder="1" applyAlignment="1">
      <alignment horizontal="center" vertical="center" textRotation="255" shrinkToFit="1"/>
    </xf>
    <xf numFmtId="0" fontId="0" fillId="0" borderId="157" xfId="0" applyBorder="1" applyAlignment="1">
      <alignment horizontal="center" vertical="center" textRotation="255" shrinkToFit="1"/>
    </xf>
    <xf numFmtId="176" fontId="0" fillId="35" borderId="96" xfId="0" applyNumberFormat="1" applyFont="1" applyFill="1" applyBorder="1" applyAlignment="1">
      <alignment vertical="center" shrinkToFit="1"/>
    </xf>
    <xf numFmtId="0" fontId="0" fillId="35" borderId="91" xfId="0" applyFill="1" applyBorder="1" applyAlignment="1">
      <alignment vertical="center" shrinkToFit="1"/>
    </xf>
    <xf numFmtId="0" fontId="0" fillId="35" borderId="183" xfId="0" applyFill="1" applyBorder="1" applyAlignment="1">
      <alignment vertical="center" shrinkToFit="1"/>
    </xf>
    <xf numFmtId="176" fontId="0" fillId="0" borderId="96" xfId="0" applyNumberFormat="1" applyFont="1" applyFill="1" applyBorder="1" applyAlignment="1">
      <alignment vertical="center" shrinkToFit="1"/>
    </xf>
    <xf numFmtId="0" fontId="0" fillId="0" borderId="91" xfId="0" applyBorder="1" applyAlignment="1">
      <alignment vertical="center" shrinkToFit="1"/>
    </xf>
    <xf numFmtId="0" fontId="0" fillId="0" borderId="184" xfId="0" applyBorder="1" applyAlignment="1">
      <alignment vertical="center" shrinkToFit="1"/>
    </xf>
    <xf numFmtId="176" fontId="0" fillId="0" borderId="185" xfId="0" applyNumberFormat="1" applyFont="1" applyBorder="1" applyAlignment="1">
      <alignment horizontal="center" vertical="center" shrinkToFit="1"/>
    </xf>
    <xf numFmtId="176" fontId="0" fillId="0" borderId="183" xfId="0" applyNumberFormat="1" applyFont="1" applyBorder="1" applyAlignment="1">
      <alignment horizontal="center" vertical="center" shrinkToFit="1"/>
    </xf>
    <xf numFmtId="176" fontId="0" fillId="0" borderId="35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6" fontId="0" fillId="0" borderId="36" xfId="0" applyNumberFormat="1" applyFont="1" applyBorder="1" applyAlignment="1">
      <alignment horizontal="center" vertical="center" shrinkToFit="1"/>
    </xf>
    <xf numFmtId="176" fontId="0" fillId="0" borderId="181" xfId="0" applyNumberFormat="1" applyFont="1" applyBorder="1" applyAlignment="1">
      <alignment horizontal="center" vertical="center" shrinkToFit="1"/>
    </xf>
    <xf numFmtId="176" fontId="0" fillId="0" borderId="166" xfId="0" applyNumberFormat="1" applyBorder="1" applyAlignment="1">
      <alignment horizontal="center" vertical="center" textRotation="255" shrinkToFit="1"/>
    </xf>
    <xf numFmtId="176" fontId="0" fillId="0" borderId="157" xfId="0" applyNumberFormat="1" applyFont="1" applyBorder="1" applyAlignment="1">
      <alignment horizontal="center" vertical="center" textRotation="255" shrinkToFit="1"/>
    </xf>
    <xf numFmtId="176" fontId="0" fillId="0" borderId="156" xfId="0" applyNumberFormat="1" applyFont="1" applyBorder="1" applyAlignment="1">
      <alignment horizontal="center" vertical="center" shrinkToFit="1"/>
    </xf>
    <xf numFmtId="176" fontId="0" fillId="0" borderId="157" xfId="0" applyNumberFormat="1" applyFont="1" applyBorder="1" applyAlignment="1">
      <alignment horizontal="center" vertical="center" shrinkToFit="1"/>
    </xf>
    <xf numFmtId="176" fontId="0" fillId="0" borderId="154" xfId="0" applyNumberFormat="1" applyBorder="1" applyAlignment="1">
      <alignment horizontal="center" vertical="center" textRotation="255" shrinkToFit="1"/>
    </xf>
    <xf numFmtId="0" fontId="0" fillId="0" borderId="183" xfId="0" applyBorder="1" applyAlignment="1">
      <alignment vertical="center" shrinkToFit="1"/>
    </xf>
    <xf numFmtId="177" fontId="0" fillId="0" borderId="115" xfId="67" applyNumberFormat="1" applyFont="1" applyFill="1" applyBorder="1" applyAlignment="1">
      <alignment vertical="center"/>
      <protection/>
    </xf>
    <xf numFmtId="0" fontId="0" fillId="0" borderId="115" xfId="0" applyBorder="1" applyAlignment="1">
      <alignment vertical="center"/>
    </xf>
    <xf numFmtId="177" fontId="0" fillId="0" borderId="149" xfId="0" applyNumberFormat="1" applyFont="1" applyFill="1" applyBorder="1" applyAlignment="1">
      <alignment horizontal="center" vertical="center" shrinkToFit="1"/>
    </xf>
    <xf numFmtId="177" fontId="0" fillId="0" borderId="112" xfId="0" applyNumberFormat="1" applyFont="1" applyFill="1" applyBorder="1" applyAlignment="1">
      <alignment horizontal="center" vertical="center" shrinkToFit="1"/>
    </xf>
    <xf numFmtId="177" fontId="0" fillId="0" borderId="150" xfId="0" applyNumberFormat="1" applyFont="1" applyFill="1" applyBorder="1" applyAlignment="1">
      <alignment horizontal="center" vertical="center" shrinkToFit="1"/>
    </xf>
    <xf numFmtId="177" fontId="0" fillId="0" borderId="96" xfId="0" applyNumberFormat="1" applyFont="1" applyFill="1" applyBorder="1" applyAlignment="1">
      <alignment horizontal="center" vertical="center" textRotation="255" shrinkToFit="1"/>
    </xf>
    <xf numFmtId="177" fontId="0" fillId="0" borderId="91" xfId="0" applyNumberFormat="1" applyFont="1" applyFill="1" applyBorder="1" applyAlignment="1">
      <alignment horizontal="center" vertical="center" textRotation="255" shrinkToFit="1"/>
    </xf>
    <xf numFmtId="177" fontId="0" fillId="0" borderId="183" xfId="0" applyNumberFormat="1" applyFont="1" applyFill="1" applyBorder="1" applyAlignment="1">
      <alignment horizontal="center" vertical="center" textRotation="255" shrinkToFit="1"/>
    </xf>
    <xf numFmtId="177" fontId="0" fillId="0" borderId="182" xfId="0" applyNumberFormat="1" applyFont="1" applyFill="1" applyBorder="1" applyAlignment="1">
      <alignment horizontal="center" vertical="center" textRotation="255" shrinkToFit="1"/>
    </xf>
    <xf numFmtId="177" fontId="0" fillId="0" borderId="100" xfId="0" applyNumberFormat="1" applyFont="1" applyFill="1" applyBorder="1" applyAlignment="1">
      <alignment horizontal="center" vertical="center" textRotation="255" shrinkToFit="1"/>
    </xf>
    <xf numFmtId="177" fontId="0" fillId="0" borderId="186" xfId="0" applyNumberFormat="1" applyFont="1" applyFill="1" applyBorder="1" applyAlignment="1">
      <alignment horizontal="center" vertical="center" textRotation="255" shrinkToFit="1"/>
    </xf>
    <xf numFmtId="177" fontId="0" fillId="0" borderId="175" xfId="67" applyNumberFormat="1" applyFont="1" applyFill="1" applyBorder="1" applyAlignment="1">
      <alignment horizontal="center" vertical="center" textRotation="255"/>
      <protection/>
    </xf>
    <xf numFmtId="177" fontId="0" fillId="0" borderId="174" xfId="67" applyNumberFormat="1" applyFont="1" applyFill="1" applyBorder="1" applyAlignment="1">
      <alignment horizontal="center" vertical="center" textRotation="255"/>
      <protection/>
    </xf>
    <xf numFmtId="177" fontId="0" fillId="0" borderId="178" xfId="67" applyNumberFormat="1" applyFont="1" applyFill="1" applyBorder="1" applyAlignment="1">
      <alignment horizontal="center" vertical="center" textRotation="255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 shrinkToFit="1"/>
    </xf>
    <xf numFmtId="0" fontId="0" fillId="0" borderId="187" xfId="0" applyFont="1" applyFill="1" applyBorder="1" applyAlignment="1">
      <alignment horizontal="center" vertical="center" textRotation="255" wrapText="1"/>
    </xf>
    <xf numFmtId="0" fontId="0" fillId="0" borderId="26" xfId="0" applyFont="1" applyFill="1" applyBorder="1" applyAlignment="1">
      <alignment horizontal="center" vertical="center" textRotation="255" wrapText="1"/>
    </xf>
    <xf numFmtId="0" fontId="0" fillId="0" borderId="93" xfId="0" applyFont="1" applyFill="1" applyBorder="1" applyAlignment="1">
      <alignment horizontal="center" vertical="center" textRotation="255" wrapText="1"/>
    </xf>
    <xf numFmtId="0" fontId="0" fillId="0" borderId="1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9" xfId="0" applyNumberFormat="1" applyFont="1" applyFill="1" applyBorder="1" applyAlignment="1">
      <alignment vertical="center"/>
    </xf>
    <xf numFmtId="177" fontId="0" fillId="0" borderId="130" xfId="0" applyNumberFormat="1" applyFont="1" applyFill="1" applyBorder="1" applyAlignment="1">
      <alignment horizontal="center" vertical="center" shrinkToFit="1"/>
    </xf>
    <xf numFmtId="177" fontId="0" fillId="0" borderId="188" xfId="0" applyNumberFormat="1" applyFont="1" applyFill="1" applyBorder="1" applyAlignment="1">
      <alignment horizontal="center" vertical="center" shrinkToFit="1"/>
    </xf>
    <xf numFmtId="177" fontId="0" fillId="0" borderId="75" xfId="0" applyNumberFormat="1" applyFont="1" applyFill="1" applyBorder="1" applyAlignment="1">
      <alignment horizontal="center" vertical="center"/>
    </xf>
    <xf numFmtId="177" fontId="0" fillId="0" borderId="77" xfId="0" applyNumberFormat="1" applyFont="1" applyFill="1" applyBorder="1" applyAlignment="1">
      <alignment horizontal="center" vertical="center"/>
    </xf>
    <xf numFmtId="177" fontId="0" fillId="0" borderId="189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9" xfId="0" applyNumberFormat="1" applyFont="1" applyFill="1" applyBorder="1" applyAlignment="1">
      <alignment horizontal="center" vertical="center"/>
    </xf>
    <xf numFmtId="177" fontId="0" fillId="0" borderId="96" xfId="0" applyNumberFormat="1" applyFont="1" applyFill="1" applyBorder="1" applyAlignment="1">
      <alignment vertical="center" shrinkToFit="1"/>
    </xf>
    <xf numFmtId="177" fontId="0" fillId="0" borderId="183" xfId="0" applyNumberFormat="1" applyFont="1" applyFill="1" applyBorder="1" applyAlignment="1">
      <alignment vertical="center" shrinkToFit="1"/>
    </xf>
    <xf numFmtId="177" fontId="0" fillId="0" borderId="91" xfId="0" applyNumberFormat="1" applyFont="1" applyFill="1" applyBorder="1" applyAlignment="1">
      <alignment vertical="center" shrinkToFit="1"/>
    </xf>
    <xf numFmtId="177" fontId="0" fillId="0" borderId="85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right" vertical="center" shrinkToFit="1"/>
    </xf>
    <xf numFmtId="177" fontId="0" fillId="0" borderId="53" xfId="0" applyNumberFormat="1" applyFont="1" applyFill="1" applyBorder="1" applyAlignment="1">
      <alignment horizontal="right" vertical="center" shrinkToFit="1"/>
    </xf>
    <xf numFmtId="177" fontId="0" fillId="0" borderId="75" xfId="0" applyNumberFormat="1" applyFont="1" applyFill="1" applyBorder="1" applyAlignment="1">
      <alignment horizontal="center" vertical="center" shrinkToFit="1"/>
    </xf>
    <xf numFmtId="177" fontId="0" fillId="0" borderId="77" xfId="0" applyNumberFormat="1" applyFont="1" applyFill="1" applyBorder="1" applyAlignment="1">
      <alignment horizontal="center" vertical="center" shrinkToFit="1"/>
    </xf>
    <xf numFmtId="177" fontId="0" fillId="0" borderId="189" xfId="0" applyNumberFormat="1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vertical="center" shrinkToFit="1"/>
    </xf>
    <xf numFmtId="177" fontId="0" fillId="0" borderId="59" xfId="0" applyNumberFormat="1" applyFont="1" applyFill="1" applyBorder="1" applyAlignment="1">
      <alignment vertical="center" shrinkToFit="1"/>
    </xf>
    <xf numFmtId="177" fontId="0" fillId="0" borderId="55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177" fontId="0" fillId="0" borderId="149" xfId="0" applyNumberFormat="1" applyFont="1" applyFill="1" applyBorder="1" applyAlignment="1">
      <alignment horizontal="center" vertical="center"/>
    </xf>
    <xf numFmtId="177" fontId="0" fillId="0" borderId="112" xfId="0" applyNumberFormat="1" applyFont="1" applyFill="1" applyBorder="1" applyAlignment="1">
      <alignment horizontal="center" vertical="center"/>
    </xf>
    <xf numFmtId="177" fontId="0" fillId="0" borderId="15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shrinkToFit="1"/>
    </xf>
    <xf numFmtId="177" fontId="0" fillId="0" borderId="42" xfId="0" applyNumberFormat="1" applyFont="1" applyFill="1" applyBorder="1" applyAlignment="1">
      <alignment horizontal="center" vertical="center" shrinkToFit="1"/>
    </xf>
    <xf numFmtId="177" fontId="0" fillId="0" borderId="190" xfId="0" applyNumberFormat="1" applyFont="1" applyFill="1" applyBorder="1" applyAlignment="1">
      <alignment horizontal="center" vertical="center" textRotation="255" shrinkToFit="1"/>
    </xf>
    <xf numFmtId="177" fontId="0" fillId="0" borderId="154" xfId="0" applyNumberFormat="1" applyFont="1" applyFill="1" applyBorder="1" applyAlignment="1">
      <alignment horizontal="center" vertical="center" textRotation="255" shrinkToFit="1"/>
    </xf>
    <xf numFmtId="177" fontId="0" fillId="0" borderId="155" xfId="0" applyNumberFormat="1" applyFont="1" applyFill="1" applyBorder="1" applyAlignment="1">
      <alignment horizontal="center" vertical="center" textRotation="255" shrinkToFit="1"/>
    </xf>
    <xf numFmtId="177" fontId="0" fillId="0" borderId="72" xfId="0" applyNumberFormat="1" applyFont="1" applyFill="1" applyBorder="1" applyAlignment="1">
      <alignment vertical="center"/>
    </xf>
    <xf numFmtId="177" fontId="0" fillId="0" borderId="110" xfId="0" applyNumberFormat="1" applyFont="1" applyFill="1" applyBorder="1" applyAlignment="1">
      <alignment vertical="center"/>
    </xf>
    <xf numFmtId="177" fontId="0" fillId="0" borderId="191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vertical="center" shrinkToFit="1"/>
    </xf>
    <xf numFmtId="176" fontId="0" fillId="0" borderId="192" xfId="0" applyNumberFormat="1" applyFont="1" applyFill="1" applyBorder="1" applyAlignment="1">
      <alignment horizontal="center" vertical="center" textRotation="255" shrinkToFit="1"/>
    </xf>
    <xf numFmtId="176" fontId="0" fillId="0" borderId="193" xfId="0" applyNumberFormat="1" applyFont="1" applyFill="1" applyBorder="1" applyAlignment="1">
      <alignment horizontal="center" vertical="center" textRotation="255" shrinkToFit="1"/>
    </xf>
    <xf numFmtId="176" fontId="0" fillId="0" borderId="194" xfId="0" applyNumberFormat="1" applyFont="1" applyFill="1" applyBorder="1" applyAlignment="1">
      <alignment horizontal="center" vertical="center" textRotation="255" shrinkToFit="1"/>
    </xf>
    <xf numFmtId="177" fontId="0" fillId="0" borderId="195" xfId="67" applyNumberFormat="1" applyFont="1" applyFill="1" applyBorder="1" applyAlignment="1">
      <alignment horizontal="center" vertical="center" textRotation="255" shrinkToFit="1"/>
      <protection/>
    </xf>
    <xf numFmtId="177" fontId="0" fillId="0" borderId="174" xfId="67" applyNumberFormat="1" applyFont="1" applyFill="1" applyBorder="1" applyAlignment="1">
      <alignment horizontal="center" vertical="center" textRotation="255" shrinkToFit="1"/>
      <protection/>
    </xf>
    <xf numFmtId="177" fontId="0" fillId="0" borderId="196" xfId="67" applyNumberFormat="1" applyFont="1" applyFill="1" applyBorder="1" applyAlignment="1">
      <alignment horizontal="center" vertical="center" textRotation="255" shrinkToFit="1"/>
      <protection/>
    </xf>
    <xf numFmtId="176" fontId="0" fillId="0" borderId="190" xfId="0" applyNumberFormat="1" applyFont="1" applyFill="1" applyBorder="1" applyAlignment="1">
      <alignment horizontal="center" vertical="center" textRotation="255" shrinkToFit="1"/>
    </xf>
    <xf numFmtId="176" fontId="0" fillId="0" borderId="154" xfId="0" applyNumberFormat="1" applyFont="1" applyFill="1" applyBorder="1" applyAlignment="1">
      <alignment horizontal="center" vertical="center" textRotation="255" shrinkToFit="1"/>
    </xf>
    <xf numFmtId="176" fontId="0" fillId="0" borderId="197" xfId="0" applyNumberFormat="1" applyFont="1" applyFill="1" applyBorder="1" applyAlignment="1">
      <alignment horizontal="center" vertical="center" textRotation="255" shrinkToFit="1"/>
    </xf>
    <xf numFmtId="177" fontId="0" fillId="0" borderId="198" xfId="67" applyNumberFormat="1" applyFont="1" applyFill="1" applyBorder="1" applyAlignment="1">
      <alignment horizontal="center" vertical="center" textRotation="255" shrinkToFit="1"/>
      <protection/>
    </xf>
    <xf numFmtId="177" fontId="0" fillId="0" borderId="171" xfId="67" applyNumberFormat="1" applyFont="1" applyFill="1" applyBorder="1" applyAlignment="1">
      <alignment horizontal="center" vertical="center" textRotation="255" shrinkToFit="1"/>
      <protection/>
    </xf>
    <xf numFmtId="177" fontId="0" fillId="0" borderId="199" xfId="67" applyNumberFormat="1" applyFont="1" applyFill="1" applyBorder="1" applyAlignment="1">
      <alignment horizontal="center" vertical="center" textRotation="255" shrinkToFit="1"/>
      <protection/>
    </xf>
    <xf numFmtId="176" fontId="0" fillId="0" borderId="8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 shrinkToFit="1"/>
    </xf>
    <xf numFmtId="176" fontId="0" fillId="0" borderId="80" xfId="0" applyNumberFormat="1" applyFont="1" applyFill="1" applyBorder="1" applyAlignment="1">
      <alignment vertical="center"/>
    </xf>
    <xf numFmtId="177" fontId="0" fillId="0" borderId="15" xfId="67" applyNumberFormat="1" applyFont="1" applyFill="1" applyBorder="1" applyAlignment="1">
      <alignment horizontal="center" vertical="center" shrinkToFit="1"/>
      <protection/>
    </xf>
    <xf numFmtId="177" fontId="0" fillId="0" borderId="16" xfId="67" applyNumberFormat="1" applyFont="1" applyFill="1" applyBorder="1" applyAlignment="1">
      <alignment horizontal="center" vertical="center" shrinkToFit="1"/>
      <protection/>
    </xf>
    <xf numFmtId="176" fontId="0" fillId="0" borderId="200" xfId="0" applyNumberFormat="1" applyFont="1" applyFill="1" applyBorder="1" applyAlignment="1">
      <alignment horizontal="center" vertical="center" textRotation="255" shrinkToFit="1"/>
    </xf>
    <xf numFmtId="177" fontId="0" fillId="0" borderId="195" xfId="67" applyNumberFormat="1" applyFont="1" applyFill="1" applyBorder="1" applyAlignment="1">
      <alignment horizontal="center" vertical="center" shrinkToFit="1"/>
      <protection/>
    </xf>
    <xf numFmtId="177" fontId="0" fillId="0" borderId="174" xfId="67" applyNumberFormat="1" applyFont="1" applyFill="1" applyBorder="1" applyAlignment="1">
      <alignment horizontal="center" vertical="center" shrinkToFit="1"/>
      <protection/>
    </xf>
    <xf numFmtId="177" fontId="0" fillId="0" borderId="196" xfId="67" applyNumberFormat="1" applyFont="1" applyFill="1" applyBorder="1" applyAlignment="1">
      <alignment horizontal="center" vertical="center" shrinkToFit="1"/>
      <protection/>
    </xf>
    <xf numFmtId="176" fontId="0" fillId="0" borderId="201" xfId="67" applyNumberFormat="1" applyFont="1" applyFill="1" applyBorder="1" applyAlignment="1">
      <alignment vertical="center" shrinkToFit="1"/>
      <protection/>
    </xf>
    <xf numFmtId="176" fontId="0" fillId="0" borderId="202" xfId="67" applyNumberFormat="1" applyFont="1" applyFill="1" applyBorder="1" applyAlignment="1">
      <alignment vertical="center" shrinkToFit="1"/>
      <protection/>
    </xf>
    <xf numFmtId="176" fontId="0" fillId="0" borderId="73" xfId="67" applyNumberFormat="1" applyFont="1" applyFill="1" applyBorder="1" applyAlignment="1">
      <alignment vertical="center" shrinkToFit="1"/>
      <protection/>
    </xf>
    <xf numFmtId="176" fontId="0" fillId="0" borderId="92" xfId="67" applyNumberFormat="1" applyFont="1" applyFill="1" applyBorder="1" applyAlignment="1">
      <alignment vertical="center" shrinkToFit="1"/>
      <protection/>
    </xf>
    <xf numFmtId="176" fontId="0" fillId="0" borderId="19" xfId="67" applyNumberFormat="1" applyFont="1" applyFill="1" applyBorder="1" applyAlignment="1">
      <alignment vertical="center" shrinkToFit="1"/>
      <protection/>
    </xf>
    <xf numFmtId="176" fontId="0" fillId="0" borderId="20" xfId="67" applyNumberFormat="1" applyFont="1" applyFill="1" applyBorder="1" applyAlignment="1">
      <alignment vertical="center" shrinkToFit="1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82" xfId="0" applyNumberFormat="1" applyFont="1" applyFill="1" applyBorder="1" applyAlignment="1">
      <alignment vertical="center" shrinkToFit="1"/>
    </xf>
    <xf numFmtId="176" fontId="0" fillId="0" borderId="82" xfId="0" applyNumberFormat="1" applyFont="1" applyFill="1" applyBorder="1" applyAlignment="1">
      <alignment vertical="center"/>
    </xf>
    <xf numFmtId="176" fontId="0" fillId="0" borderId="155" xfId="0" applyNumberFormat="1" applyFont="1" applyFill="1" applyBorder="1" applyAlignment="1">
      <alignment horizontal="center" vertical="center" textRotation="255" shrinkToFit="1"/>
    </xf>
    <xf numFmtId="176" fontId="0" fillId="0" borderId="166" xfId="0" applyNumberFormat="1" applyFont="1" applyFill="1" applyBorder="1" applyAlignment="1">
      <alignment horizontal="center" vertical="center" textRotation="255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176" fontId="0" fillId="0" borderId="34" xfId="0" applyNumberFormat="1" applyFont="1" applyFill="1" applyBorder="1" applyAlignment="1">
      <alignment horizontal="center" vertical="center" shrinkToFit="1"/>
    </xf>
    <xf numFmtId="176" fontId="0" fillId="0" borderId="175" xfId="0" applyNumberFormat="1" applyFont="1" applyFill="1" applyBorder="1" applyAlignment="1">
      <alignment horizontal="center" vertical="center" textRotation="255" shrinkToFit="1"/>
    </xf>
    <xf numFmtId="176" fontId="0" fillId="0" borderId="173" xfId="0" applyNumberFormat="1" applyFont="1" applyFill="1" applyBorder="1" applyAlignment="1">
      <alignment horizontal="center" vertical="center" textRotation="255" shrinkToFit="1"/>
    </xf>
    <xf numFmtId="177" fontId="0" fillId="0" borderId="109" xfId="0" applyNumberFormat="1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horizontal="center" vertical="center" shrinkToFit="1"/>
    </xf>
    <xf numFmtId="177" fontId="0" fillId="0" borderId="56" xfId="0" applyNumberFormat="1" applyFont="1" applyFill="1" applyBorder="1" applyAlignment="1">
      <alignment horizontal="center" vertical="center" shrinkToFit="1"/>
    </xf>
    <xf numFmtId="176" fontId="0" fillId="0" borderId="86" xfId="0" applyNumberFormat="1" applyFont="1" applyFill="1" applyBorder="1" applyAlignment="1">
      <alignment horizontal="center" vertical="center" shrinkToFit="1"/>
    </xf>
    <xf numFmtId="176" fontId="0" fillId="0" borderId="30" xfId="0" applyNumberFormat="1" applyFont="1" applyFill="1" applyBorder="1" applyAlignment="1">
      <alignment horizontal="center" vertical="center" shrinkToFit="1"/>
    </xf>
    <xf numFmtId="176" fontId="0" fillId="0" borderId="203" xfId="0" applyNumberFormat="1" applyFont="1" applyFill="1" applyBorder="1" applyAlignment="1">
      <alignment horizontal="center" vertical="center" textRotation="255" shrinkToFit="1"/>
    </xf>
    <xf numFmtId="176" fontId="0" fillId="0" borderId="168" xfId="0" applyNumberFormat="1" applyFont="1" applyFill="1" applyBorder="1" applyAlignment="1">
      <alignment horizontal="center" vertical="center" textRotation="255" shrinkToFit="1"/>
    </xf>
    <xf numFmtId="176" fontId="0" fillId="0" borderId="204" xfId="0" applyNumberFormat="1" applyFont="1" applyFill="1" applyBorder="1" applyAlignment="1">
      <alignment horizontal="center" vertical="center" textRotation="255" shrinkToFit="1"/>
    </xf>
    <xf numFmtId="177" fontId="0" fillId="0" borderId="17" xfId="67" applyNumberFormat="1" applyFont="1" applyFill="1" applyBorder="1" applyAlignment="1">
      <alignment horizontal="center" vertical="center" shrinkToFit="1"/>
      <protection/>
    </xf>
    <xf numFmtId="177" fontId="0" fillId="0" borderId="7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70" xfId="0" applyNumberFormat="1" applyFont="1" applyFill="1" applyBorder="1" applyAlignment="1">
      <alignment horizontal="center" vertical="center" shrinkToFit="1"/>
    </xf>
    <xf numFmtId="177" fontId="0" fillId="0" borderId="71" xfId="0" applyNumberFormat="1" applyFont="1" applyFill="1" applyBorder="1" applyAlignment="1">
      <alignment horizontal="center" vertical="center" shrinkToFit="1"/>
    </xf>
    <xf numFmtId="3" fontId="0" fillId="0" borderId="205" xfId="68" applyNumberFormat="1" applyFont="1" applyFill="1" applyBorder="1" applyAlignment="1">
      <alignment horizontal="center" vertical="center" shrinkToFit="1"/>
      <protection/>
    </xf>
    <xf numFmtId="3" fontId="0" fillId="0" borderId="26" xfId="68" applyNumberFormat="1" applyFont="1" applyFill="1" applyBorder="1" applyAlignment="1">
      <alignment horizontal="center" vertical="center" shrinkToFit="1"/>
      <protection/>
    </xf>
    <xf numFmtId="3" fontId="0" fillId="0" borderId="34" xfId="68" applyNumberFormat="1" applyFont="1" applyFill="1" applyBorder="1" applyAlignment="1">
      <alignment horizontal="center" vertical="center" shrinkToFit="1"/>
      <protection/>
    </xf>
    <xf numFmtId="177" fontId="0" fillId="0" borderId="206" xfId="67" applyNumberFormat="1" applyFont="1" applyFill="1" applyBorder="1" applyAlignment="1">
      <alignment horizontal="center" vertical="center" shrinkToFit="1"/>
      <protection/>
    </xf>
    <xf numFmtId="177" fontId="0" fillId="0" borderId="207" xfId="67" applyNumberFormat="1" applyFont="1" applyFill="1" applyBorder="1" applyAlignment="1">
      <alignment horizontal="center" vertical="center" shrinkToFit="1"/>
      <protection/>
    </xf>
    <xf numFmtId="177" fontId="0" fillId="0" borderId="106" xfId="0" applyNumberFormat="1" applyFont="1" applyFill="1" applyBorder="1" applyAlignment="1">
      <alignment horizontal="center" vertical="center" shrinkToFit="1"/>
    </xf>
    <xf numFmtId="176" fontId="0" fillId="0" borderId="72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0" fillId="0" borderId="197" xfId="0" applyNumberFormat="1" applyFont="1" applyBorder="1" applyAlignment="1">
      <alignment horizontal="center" vertical="center" textRotation="255" shrinkToFit="1"/>
    </xf>
    <xf numFmtId="177" fontId="0" fillId="0" borderId="54" xfId="0" applyNumberFormat="1" applyFont="1" applyBorder="1" applyAlignment="1">
      <alignment horizontal="center" vertical="center" shrinkToFit="1"/>
    </xf>
    <xf numFmtId="177" fontId="0" fillId="0" borderId="56" xfId="0" applyNumberFormat="1" applyFont="1" applyBorder="1" applyAlignment="1">
      <alignment horizontal="center" vertical="center" shrinkToFit="1"/>
    </xf>
    <xf numFmtId="176" fontId="0" fillId="0" borderId="208" xfId="0" applyNumberFormat="1" applyFont="1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shrinkToFit="1"/>
    </xf>
    <xf numFmtId="176" fontId="0" fillId="0" borderId="175" xfId="0" applyNumberFormat="1" applyFont="1" applyBorder="1" applyAlignment="1">
      <alignment horizontal="center" vertical="center" textRotation="255" shrinkToFit="1"/>
    </xf>
    <xf numFmtId="176" fontId="0" fillId="0" borderId="173" xfId="0" applyNumberFormat="1" applyFont="1" applyBorder="1" applyAlignment="1">
      <alignment horizontal="center" vertical="center" textRotation="255" shrinkToFit="1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horizontal="center" vertical="center" shrinkToFit="1"/>
    </xf>
    <xf numFmtId="176" fontId="0" fillId="0" borderId="30" xfId="0" applyNumberFormat="1" applyFont="1" applyBorder="1" applyAlignment="1">
      <alignment horizontal="center" vertical="center" shrinkToFit="1"/>
    </xf>
    <xf numFmtId="177" fontId="0" fillId="0" borderId="109" xfId="0" applyNumberFormat="1" applyFont="1" applyBorder="1" applyAlignment="1">
      <alignment horizontal="center" vertical="center" shrinkToFit="1"/>
    </xf>
    <xf numFmtId="177" fontId="0" fillId="0" borderId="150" xfId="0" applyNumberFormat="1" applyFont="1" applyBorder="1" applyAlignment="1">
      <alignment horizontal="center" vertical="center" shrinkToFit="1"/>
    </xf>
    <xf numFmtId="177" fontId="0" fillId="35" borderId="72" xfId="0" applyNumberFormat="1" applyFont="1" applyFill="1" applyBorder="1" applyAlignment="1">
      <alignment horizontal="center" vertical="center" shrinkToFit="1"/>
    </xf>
    <xf numFmtId="177" fontId="0" fillId="35" borderId="12" xfId="0" applyNumberFormat="1" applyFont="1" applyFill="1" applyBorder="1" applyAlignment="1">
      <alignment horizontal="center" vertical="center" shrinkToFit="1"/>
    </xf>
    <xf numFmtId="176" fontId="0" fillId="0" borderId="190" xfId="0" applyNumberFormat="1" applyFont="1" applyBorder="1" applyAlignment="1">
      <alignment horizontal="center" vertical="center" textRotation="255" shrinkToFit="1"/>
    </xf>
    <xf numFmtId="176" fontId="0" fillId="0" borderId="155" xfId="0" applyNumberFormat="1" applyFont="1" applyBorder="1" applyAlignment="1">
      <alignment horizontal="center" vertical="center" textRotation="255" shrinkToFit="1"/>
    </xf>
    <xf numFmtId="176" fontId="0" fillId="0" borderId="23" xfId="0" applyNumberFormat="1" applyFont="1" applyBorder="1" applyAlignment="1">
      <alignment vertical="center"/>
    </xf>
    <xf numFmtId="177" fontId="0" fillId="0" borderId="198" xfId="67" applyNumberFormat="1" applyFont="1" applyBorder="1" applyAlignment="1">
      <alignment horizontal="center" vertical="center" textRotation="255" shrinkToFit="1"/>
      <protection/>
    </xf>
    <xf numFmtId="177" fontId="0" fillId="0" borderId="171" xfId="67" applyNumberFormat="1" applyFont="1" applyBorder="1" applyAlignment="1">
      <alignment horizontal="center" vertical="center" textRotation="255" shrinkToFit="1"/>
      <protection/>
    </xf>
    <xf numFmtId="177" fontId="0" fillId="0" borderId="199" xfId="67" applyNumberFormat="1" applyFont="1" applyBorder="1" applyAlignment="1">
      <alignment horizontal="center" vertical="center" textRotation="255" shrinkToFit="1"/>
      <protection/>
    </xf>
    <xf numFmtId="176" fontId="0" fillId="0" borderId="81" xfId="0" applyNumberFormat="1" applyFont="1" applyBorder="1" applyAlignment="1">
      <alignment vertical="center"/>
    </xf>
    <xf numFmtId="0" fontId="0" fillId="0" borderId="197" xfId="0" applyBorder="1" applyAlignment="1">
      <alignment horizontal="center" vertical="center" textRotation="255" shrinkToFit="1"/>
    </xf>
    <xf numFmtId="177" fontId="0" fillId="0" borderId="15" xfId="67" applyNumberFormat="1" applyFont="1" applyBorder="1" applyAlignment="1">
      <alignment horizontal="center" vertical="center" shrinkToFit="1"/>
      <protection/>
    </xf>
    <xf numFmtId="177" fontId="0" fillId="0" borderId="16" xfId="67" applyNumberFormat="1" applyFont="1" applyBorder="1" applyAlignment="1">
      <alignment horizontal="center" vertical="center" shrinkToFit="1"/>
      <protection/>
    </xf>
    <xf numFmtId="177" fontId="0" fillId="0" borderId="195" xfId="67" applyNumberFormat="1" applyFont="1" applyBorder="1" applyAlignment="1">
      <alignment horizontal="center" vertical="center" textRotation="255" shrinkToFit="1"/>
      <protection/>
    </xf>
    <xf numFmtId="0" fontId="0" fillId="0" borderId="174" xfId="0" applyFont="1" applyBorder="1" applyAlignment="1">
      <alignment vertical="center"/>
    </xf>
    <xf numFmtId="0" fontId="0" fillId="0" borderId="196" xfId="0" applyFont="1" applyBorder="1" applyAlignment="1">
      <alignment vertical="center"/>
    </xf>
    <xf numFmtId="176" fontId="0" fillId="35" borderId="80" xfId="0" applyNumberFormat="1" applyFont="1" applyFill="1" applyBorder="1" applyAlignment="1">
      <alignment vertical="center" shrinkToFit="1"/>
    </xf>
    <xf numFmtId="176" fontId="0" fillId="0" borderId="80" xfId="0" applyNumberFormat="1" applyFont="1" applyBorder="1" applyAlignment="1">
      <alignment vertical="center"/>
    </xf>
    <xf numFmtId="177" fontId="0" fillId="0" borderId="206" xfId="67" applyNumberFormat="1" applyFont="1" applyBorder="1" applyAlignment="1">
      <alignment horizontal="center" vertical="center" textRotation="255" shrinkToFit="1"/>
      <protection/>
    </xf>
    <xf numFmtId="0" fontId="0" fillId="0" borderId="174" xfId="0" applyBorder="1" applyAlignment="1">
      <alignment horizontal="center" vertical="center" textRotation="255" shrinkToFit="1"/>
    </xf>
    <xf numFmtId="177" fontId="0" fillId="0" borderId="17" xfId="67" applyNumberFormat="1" applyFont="1" applyBorder="1" applyAlignment="1">
      <alignment horizontal="center" vertical="center" shrinkToFit="1"/>
      <protection/>
    </xf>
    <xf numFmtId="177" fontId="0" fillId="0" borderId="195" xfId="67" applyNumberFormat="1" applyFont="1" applyBorder="1" applyAlignment="1">
      <alignment horizontal="center" vertical="center" shrinkToFit="1"/>
      <protection/>
    </xf>
    <xf numFmtId="177" fontId="0" fillId="0" borderId="174" xfId="67" applyNumberFormat="1" applyFont="1" applyBorder="1" applyAlignment="1">
      <alignment horizontal="center" vertical="center" shrinkToFit="1"/>
      <protection/>
    </xf>
    <xf numFmtId="177" fontId="0" fillId="0" borderId="196" xfId="67" applyNumberFormat="1" applyFont="1" applyBorder="1" applyAlignment="1">
      <alignment horizontal="center" vertical="center" shrinkToFit="1"/>
      <protection/>
    </xf>
    <xf numFmtId="0" fontId="0" fillId="0" borderId="196" xfId="0" applyBorder="1" applyAlignment="1">
      <alignment horizontal="center" vertical="center" textRotation="255" shrinkToFit="1"/>
    </xf>
    <xf numFmtId="177" fontId="0" fillId="0" borderId="206" xfId="67" applyNumberFormat="1" applyFont="1" applyBorder="1" applyAlignment="1">
      <alignment horizontal="center" vertical="center" shrinkToFit="1"/>
      <protection/>
    </xf>
    <xf numFmtId="177" fontId="0" fillId="0" borderId="207" xfId="67" applyNumberFormat="1" applyFont="1" applyBorder="1" applyAlignment="1">
      <alignment horizontal="center" vertical="center" shrinkToFit="1"/>
      <protection/>
    </xf>
    <xf numFmtId="177" fontId="0" fillId="35" borderId="45" xfId="0" applyNumberFormat="1" applyFont="1" applyFill="1" applyBorder="1" applyAlignment="1">
      <alignment horizontal="center" vertical="center" shrinkToFit="1"/>
    </xf>
    <xf numFmtId="177" fontId="0" fillId="35" borderId="102" xfId="0" applyNumberFormat="1" applyFont="1" applyFill="1" applyBorder="1" applyAlignment="1">
      <alignment horizontal="center" vertical="center" shrinkToFit="1"/>
    </xf>
    <xf numFmtId="176" fontId="0" fillId="35" borderId="13" xfId="0" applyNumberFormat="1" applyFont="1" applyFill="1" applyBorder="1" applyAlignment="1">
      <alignment horizontal="center" vertical="center" shrinkToFit="1"/>
    </xf>
    <xf numFmtId="176" fontId="0" fillId="35" borderId="102" xfId="0" applyNumberFormat="1" applyFont="1" applyFill="1" applyBorder="1" applyAlignment="1">
      <alignment horizontal="center" vertical="center" shrinkToFit="1"/>
    </xf>
    <xf numFmtId="177" fontId="0" fillId="35" borderId="70" xfId="0" applyNumberFormat="1" applyFont="1" applyFill="1" applyBorder="1" applyAlignment="1">
      <alignment horizontal="center" vertical="center" shrinkToFit="1"/>
    </xf>
    <xf numFmtId="177" fontId="0" fillId="35" borderId="71" xfId="0" applyNumberFormat="1" applyFont="1" applyFill="1" applyBorder="1" applyAlignment="1">
      <alignment horizontal="center" vertical="center" shrinkToFit="1"/>
    </xf>
    <xf numFmtId="176" fontId="0" fillId="35" borderId="82" xfId="0" applyNumberFormat="1" applyFont="1" applyFill="1" applyBorder="1" applyAlignment="1">
      <alignment vertical="center" shrinkToFit="1"/>
    </xf>
    <xf numFmtId="176" fontId="0" fillId="0" borderId="82" xfId="0" applyNumberFormat="1" applyFont="1" applyBorder="1" applyAlignment="1">
      <alignment vertical="center"/>
    </xf>
    <xf numFmtId="176" fontId="0" fillId="0" borderId="185" xfId="0" applyNumberFormat="1" applyFont="1" applyFill="1" applyBorder="1" applyAlignment="1">
      <alignment horizontal="center" vertical="center" shrinkToFit="1"/>
    </xf>
    <xf numFmtId="176" fontId="0" fillId="0" borderId="183" xfId="0" applyNumberFormat="1" applyFont="1" applyFill="1" applyBorder="1" applyAlignment="1">
      <alignment horizontal="center" vertical="center" shrinkToFit="1"/>
    </xf>
    <xf numFmtId="176" fontId="0" fillId="0" borderId="166" xfId="0" applyNumberFormat="1" applyFill="1" applyBorder="1" applyAlignment="1">
      <alignment horizontal="center" vertical="center" textRotation="255" shrinkToFit="1"/>
    </xf>
    <xf numFmtId="176" fontId="0" fillId="0" borderId="154" xfId="0" applyNumberFormat="1" applyFill="1" applyBorder="1" applyAlignment="1">
      <alignment horizontal="center" vertical="center" textRotation="255" shrinkToFit="1"/>
    </xf>
    <xf numFmtId="176" fontId="0" fillId="0" borderId="157" xfId="0" applyNumberFormat="1" applyFill="1" applyBorder="1" applyAlignment="1">
      <alignment horizontal="center" vertical="center" textRotation="255" shrinkToFit="1"/>
    </xf>
    <xf numFmtId="176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156" xfId="0" applyNumberFormat="1" applyFill="1" applyBorder="1" applyAlignment="1">
      <alignment horizontal="center" vertical="center" shrinkToFit="1"/>
    </xf>
    <xf numFmtId="176" fontId="0" fillId="0" borderId="157" xfId="0" applyNumberFormat="1" applyFill="1" applyBorder="1" applyAlignment="1">
      <alignment horizontal="center" vertical="center" shrinkToFit="1"/>
    </xf>
    <xf numFmtId="176" fontId="0" fillId="0" borderId="185" xfId="0" applyNumberFormat="1" applyFill="1" applyBorder="1" applyAlignment="1">
      <alignment horizontal="center" vertical="center" shrinkToFit="1"/>
    </xf>
    <xf numFmtId="176" fontId="0" fillId="0" borderId="183" xfId="0" applyNumberFormat="1" applyFill="1" applyBorder="1" applyAlignment="1">
      <alignment horizontal="center" vertical="center" shrinkToFit="1"/>
    </xf>
    <xf numFmtId="176" fontId="0" fillId="0" borderId="36" xfId="0" applyNumberFormat="1" applyFont="1" applyFill="1" applyBorder="1" applyAlignment="1">
      <alignment horizontal="center" vertical="center" shrinkToFit="1"/>
    </xf>
    <xf numFmtId="176" fontId="0" fillId="0" borderId="181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◇類型12（水稲24・大豆12・ぶどう4）" xfId="66"/>
    <cellStyle name="標準_水稲(24ha規模)＋大豆(6ｈａ)＋きゃべつ" xfId="67"/>
    <cellStyle name="標準_野菜計画(最終 ｱｽﾊﾟﾗ+ｺﾏﾂﾅ)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20</xdr:row>
      <xdr:rowOff>0</xdr:rowOff>
    </xdr:from>
    <xdr:to>
      <xdr:col>28</xdr:col>
      <xdr:colOff>9525</xdr:colOff>
      <xdr:row>21</xdr:row>
      <xdr:rowOff>0</xdr:rowOff>
    </xdr:to>
    <xdr:sp>
      <xdr:nvSpPr>
        <xdr:cNvPr id="1" name="Rectangle 8" descr="10%"/>
        <xdr:cNvSpPr>
          <a:spLocks/>
        </xdr:cNvSpPr>
      </xdr:nvSpPr>
      <xdr:spPr>
        <a:xfrm>
          <a:off x="8715375" y="5029200"/>
          <a:ext cx="533400" cy="247650"/>
        </a:xfrm>
        <a:prstGeom prst="re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12</xdr:row>
      <xdr:rowOff>133350</xdr:rowOff>
    </xdr:from>
    <xdr:to>
      <xdr:col>31</xdr:col>
      <xdr:colOff>9525</xdr:colOff>
      <xdr:row>12</xdr:row>
      <xdr:rowOff>133350</xdr:rowOff>
    </xdr:to>
    <xdr:sp>
      <xdr:nvSpPr>
        <xdr:cNvPr id="2" name="Line 5"/>
        <xdr:cNvSpPr>
          <a:spLocks/>
        </xdr:cNvSpPr>
      </xdr:nvSpPr>
      <xdr:spPr>
        <a:xfrm>
          <a:off x="7315200" y="3181350"/>
          <a:ext cx="27336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12</xdr:row>
      <xdr:rowOff>123825</xdr:rowOff>
    </xdr:from>
    <xdr:to>
      <xdr:col>18</xdr:col>
      <xdr:colOff>66675</xdr:colOff>
      <xdr:row>12</xdr:row>
      <xdr:rowOff>123825</xdr:rowOff>
    </xdr:to>
    <xdr:sp>
      <xdr:nvSpPr>
        <xdr:cNvPr id="3" name="Line 4"/>
        <xdr:cNvSpPr>
          <a:spLocks/>
        </xdr:cNvSpPr>
      </xdr:nvSpPr>
      <xdr:spPr>
        <a:xfrm>
          <a:off x="6238875" y="3171825"/>
          <a:ext cx="4000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12</xdr:row>
      <xdr:rowOff>133350</xdr:rowOff>
    </xdr:from>
    <xdr:to>
      <xdr:col>20</xdr:col>
      <xdr:colOff>57150</xdr:colOff>
      <xdr:row>12</xdr:row>
      <xdr:rowOff>133350</xdr:rowOff>
    </xdr:to>
    <xdr:sp>
      <xdr:nvSpPr>
        <xdr:cNvPr id="4" name="Line 15"/>
        <xdr:cNvSpPr>
          <a:spLocks/>
        </xdr:cNvSpPr>
      </xdr:nvSpPr>
      <xdr:spPr>
        <a:xfrm flipV="1">
          <a:off x="6762750" y="3181350"/>
          <a:ext cx="4000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12</xdr:row>
      <xdr:rowOff>123825</xdr:rowOff>
    </xdr:from>
    <xdr:to>
      <xdr:col>16</xdr:col>
      <xdr:colOff>47625</xdr:colOff>
      <xdr:row>12</xdr:row>
      <xdr:rowOff>123825</xdr:rowOff>
    </xdr:to>
    <xdr:sp>
      <xdr:nvSpPr>
        <xdr:cNvPr id="5" name="Line 16"/>
        <xdr:cNvSpPr>
          <a:spLocks/>
        </xdr:cNvSpPr>
      </xdr:nvSpPr>
      <xdr:spPr>
        <a:xfrm>
          <a:off x="5972175" y="3171825"/>
          <a:ext cx="114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13</xdr:row>
      <xdr:rowOff>133350</xdr:rowOff>
    </xdr:from>
    <xdr:to>
      <xdr:col>31</xdr:col>
      <xdr:colOff>9525</xdr:colOff>
      <xdr:row>13</xdr:row>
      <xdr:rowOff>133350</xdr:rowOff>
    </xdr:to>
    <xdr:sp>
      <xdr:nvSpPr>
        <xdr:cNvPr id="6" name="Line 5"/>
        <xdr:cNvSpPr>
          <a:spLocks/>
        </xdr:cNvSpPr>
      </xdr:nvSpPr>
      <xdr:spPr>
        <a:xfrm>
          <a:off x="7058025" y="3429000"/>
          <a:ext cx="29908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13</xdr:row>
      <xdr:rowOff>133350</xdr:rowOff>
    </xdr:from>
    <xdr:to>
      <xdr:col>19</xdr:col>
      <xdr:colOff>38100</xdr:colOff>
      <xdr:row>13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5991225" y="3429000"/>
          <a:ext cx="885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57150</xdr:rowOff>
    </xdr:from>
    <xdr:to>
      <xdr:col>34</xdr:col>
      <xdr:colOff>0</xdr:colOff>
      <xdr:row>12</xdr:row>
      <xdr:rowOff>200025</xdr:rowOff>
    </xdr:to>
    <xdr:sp>
      <xdr:nvSpPr>
        <xdr:cNvPr id="8" name="Rectangle 8" descr="10%"/>
        <xdr:cNvSpPr>
          <a:spLocks/>
        </xdr:cNvSpPr>
      </xdr:nvSpPr>
      <xdr:spPr>
        <a:xfrm>
          <a:off x="10039350" y="3105150"/>
          <a:ext cx="800100" cy="152400"/>
        </a:xfrm>
        <a:prstGeom prst="re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57150</xdr:rowOff>
    </xdr:from>
    <xdr:to>
      <xdr:col>31</xdr:col>
      <xdr:colOff>257175</xdr:colOff>
      <xdr:row>13</xdr:row>
      <xdr:rowOff>200025</xdr:rowOff>
    </xdr:to>
    <xdr:sp>
      <xdr:nvSpPr>
        <xdr:cNvPr id="9" name="Rectangle 8" descr="10%"/>
        <xdr:cNvSpPr>
          <a:spLocks/>
        </xdr:cNvSpPr>
      </xdr:nvSpPr>
      <xdr:spPr>
        <a:xfrm>
          <a:off x="10039350" y="3352800"/>
          <a:ext cx="257175" cy="152400"/>
        </a:xfrm>
        <a:prstGeom prst="re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16</xdr:row>
      <xdr:rowOff>66675</xdr:rowOff>
    </xdr:from>
    <xdr:to>
      <xdr:col>35</xdr:col>
      <xdr:colOff>19050</xdr:colOff>
      <xdr:row>16</xdr:row>
      <xdr:rowOff>209550</xdr:rowOff>
    </xdr:to>
    <xdr:grpSp>
      <xdr:nvGrpSpPr>
        <xdr:cNvPr id="10" name="グループ化 1"/>
        <xdr:cNvGrpSpPr>
          <a:grpSpLocks/>
        </xdr:cNvGrpSpPr>
      </xdr:nvGrpSpPr>
      <xdr:grpSpPr>
        <a:xfrm>
          <a:off x="5972175" y="4105275"/>
          <a:ext cx="5153025" cy="152400"/>
          <a:chOff x="5962650" y="3838575"/>
          <a:chExt cx="5153025" cy="152400"/>
        </a:xfrm>
        <a:solidFill>
          <a:srgbClr val="FFFFFF"/>
        </a:solidFill>
      </xdr:grpSpPr>
      <xdr:sp>
        <xdr:nvSpPr>
          <xdr:cNvPr id="11" name="Rectangle 8" descr="10%"/>
          <xdr:cNvSpPr>
            <a:spLocks/>
          </xdr:cNvSpPr>
        </xdr:nvSpPr>
        <xdr:spPr>
          <a:xfrm>
            <a:off x="8182316" y="3838575"/>
            <a:ext cx="2933359" cy="15240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5962650" y="3924300"/>
            <a:ext cx="176233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 flipV="1">
            <a:off x="7810009" y="3924300"/>
            <a:ext cx="40064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92" customWidth="1"/>
    <col min="2" max="3" width="7.625" style="92" customWidth="1"/>
    <col min="4" max="6" width="9.00390625" style="92" customWidth="1"/>
    <col min="7" max="7" width="3.50390625" style="92" customWidth="1"/>
    <col min="8" max="8" width="3.625" style="92" customWidth="1"/>
    <col min="9" max="9" width="3.75390625" style="92" customWidth="1"/>
    <col min="10" max="42" width="3.50390625" style="92" customWidth="1"/>
    <col min="43" max="43" width="1.37890625" style="92" customWidth="1"/>
    <col min="44" max="16384" width="9.00390625" style="92" customWidth="1"/>
  </cols>
  <sheetData>
    <row r="1" spans="2:12" ht="9.75" customHeight="1" thickBo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30" ht="39.75" customHeight="1" thickBot="1">
      <c r="A2" s="95"/>
      <c r="B2" s="96" t="s">
        <v>399</v>
      </c>
      <c r="C2" s="584" t="s">
        <v>400</v>
      </c>
      <c r="D2" s="585"/>
      <c r="E2" s="275" t="s">
        <v>74</v>
      </c>
      <c r="F2" s="586" t="s">
        <v>467</v>
      </c>
      <c r="G2" s="587"/>
      <c r="H2" s="587"/>
      <c r="I2" s="587"/>
      <c r="J2" s="587"/>
      <c r="K2" s="587"/>
      <c r="L2" s="587"/>
      <c r="M2" s="587"/>
      <c r="N2" s="585"/>
      <c r="O2" s="600" t="s">
        <v>75</v>
      </c>
      <c r="P2" s="601"/>
      <c r="Q2" s="602"/>
      <c r="R2" s="603" t="s">
        <v>725</v>
      </c>
      <c r="S2" s="604"/>
      <c r="T2" s="604"/>
      <c r="U2" s="604"/>
      <c r="V2" s="605" t="s">
        <v>76</v>
      </c>
      <c r="W2" s="604"/>
      <c r="X2" s="604"/>
      <c r="Y2" s="597" t="s">
        <v>401</v>
      </c>
      <c r="Z2" s="598"/>
      <c r="AA2" s="599"/>
      <c r="AB2" s="97"/>
      <c r="AC2" s="97"/>
      <c r="AD2" s="97"/>
    </row>
    <row r="3" ht="9.75" customHeight="1">
      <c r="B3" s="98"/>
    </row>
    <row r="4" ht="24.75" customHeight="1" thickBot="1">
      <c r="B4" s="92" t="s">
        <v>119</v>
      </c>
    </row>
    <row r="5" spans="2:38" ht="19.5" customHeight="1">
      <c r="B5" s="590" t="s">
        <v>120</v>
      </c>
      <c r="C5" s="591"/>
      <c r="D5" s="592"/>
      <c r="E5" s="593"/>
      <c r="F5" s="593"/>
      <c r="G5" s="594"/>
      <c r="H5" s="595" t="s">
        <v>77</v>
      </c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6"/>
      <c r="AD5" s="97"/>
      <c r="AE5" s="97"/>
      <c r="AF5" s="97"/>
      <c r="AG5" s="97"/>
      <c r="AH5" s="97"/>
      <c r="AI5" s="97"/>
      <c r="AJ5" s="97"/>
      <c r="AK5" s="97"/>
      <c r="AL5" s="97"/>
    </row>
    <row r="6" spans="2:27" ht="19.5" customHeight="1">
      <c r="B6" s="611" t="s">
        <v>78</v>
      </c>
      <c r="C6" s="612"/>
      <c r="D6" s="612"/>
      <c r="E6" s="612"/>
      <c r="F6" s="612"/>
      <c r="G6" s="610"/>
      <c r="H6" s="610" t="s">
        <v>79</v>
      </c>
      <c r="I6" s="588"/>
      <c r="J6" s="588"/>
      <c r="K6" s="588"/>
      <c r="L6" s="588"/>
      <c r="M6" s="588"/>
      <c r="N6" s="610" t="s">
        <v>80</v>
      </c>
      <c r="O6" s="588"/>
      <c r="P6" s="588"/>
      <c r="Q6" s="610" t="s">
        <v>81</v>
      </c>
      <c r="R6" s="588"/>
      <c r="S6" s="588"/>
      <c r="T6" s="588"/>
      <c r="U6" s="588"/>
      <c r="V6" s="588"/>
      <c r="W6" s="588"/>
      <c r="X6" s="607"/>
      <c r="Y6" s="588" t="s">
        <v>82</v>
      </c>
      <c r="Z6" s="588"/>
      <c r="AA6" s="589"/>
    </row>
    <row r="7" spans="2:27" ht="19.5" customHeight="1">
      <c r="B7" s="613" t="s">
        <v>83</v>
      </c>
      <c r="C7" s="614"/>
      <c r="D7" s="615" t="s">
        <v>402</v>
      </c>
      <c r="E7" s="616"/>
      <c r="F7" s="616"/>
      <c r="G7" s="616"/>
      <c r="H7" s="617" t="s">
        <v>10</v>
      </c>
      <c r="I7" s="618"/>
      <c r="J7" s="618"/>
      <c r="K7" s="618"/>
      <c r="L7" s="618"/>
      <c r="M7" s="619"/>
      <c r="N7" s="620">
        <f>SUM(F13:F15)</f>
        <v>29</v>
      </c>
      <c r="O7" s="621"/>
      <c r="P7" s="622"/>
      <c r="Q7" s="606" t="s">
        <v>474</v>
      </c>
      <c r="R7" s="588"/>
      <c r="S7" s="588"/>
      <c r="T7" s="588"/>
      <c r="U7" s="588"/>
      <c r="V7" s="588"/>
      <c r="W7" s="588"/>
      <c r="X7" s="607"/>
      <c r="Y7" s="608">
        <f>+Z37</f>
        <v>1</v>
      </c>
      <c r="Z7" s="608"/>
      <c r="AA7" s="609"/>
    </row>
    <row r="8" spans="2:27" ht="19.5" customHeight="1">
      <c r="B8" s="611" t="s">
        <v>84</v>
      </c>
      <c r="C8" s="612"/>
      <c r="D8" s="623"/>
      <c r="E8" s="623"/>
      <c r="F8" s="623"/>
      <c r="G8" s="624"/>
      <c r="H8" s="610"/>
      <c r="I8" s="588"/>
      <c r="J8" s="588"/>
      <c r="K8" s="588"/>
      <c r="L8" s="588"/>
      <c r="M8" s="607"/>
      <c r="N8" s="625"/>
      <c r="O8" s="626"/>
      <c r="P8" s="627"/>
      <c r="Q8" s="628"/>
      <c r="R8" s="629"/>
      <c r="S8" s="629"/>
      <c r="T8" s="629"/>
      <c r="U8" s="629"/>
      <c r="V8" s="629"/>
      <c r="W8" s="629"/>
      <c r="X8" s="630"/>
      <c r="Y8" s="625"/>
      <c r="Z8" s="626"/>
      <c r="AA8" s="631"/>
    </row>
    <row r="9" spans="2:27" ht="19.5" customHeight="1">
      <c r="B9" s="611" t="s">
        <v>85</v>
      </c>
      <c r="C9" s="612"/>
      <c r="D9" s="623"/>
      <c r="E9" s="623"/>
      <c r="F9" s="623"/>
      <c r="G9" s="624"/>
      <c r="H9" s="610"/>
      <c r="I9" s="588"/>
      <c r="J9" s="588"/>
      <c r="K9" s="588"/>
      <c r="L9" s="588"/>
      <c r="M9" s="607"/>
      <c r="N9" s="625"/>
      <c r="O9" s="626"/>
      <c r="P9" s="627"/>
      <c r="Q9" s="628"/>
      <c r="R9" s="629"/>
      <c r="S9" s="629"/>
      <c r="T9" s="629"/>
      <c r="U9" s="629"/>
      <c r="V9" s="629"/>
      <c r="W9" s="629"/>
      <c r="X9" s="630"/>
      <c r="Y9" s="625"/>
      <c r="Z9" s="626"/>
      <c r="AA9" s="631"/>
    </row>
    <row r="10" spans="2:27" ht="19.5" customHeight="1">
      <c r="B10" s="611" t="s">
        <v>86</v>
      </c>
      <c r="C10" s="612"/>
      <c r="D10" s="623"/>
      <c r="E10" s="623"/>
      <c r="F10" s="623"/>
      <c r="G10" s="624"/>
      <c r="H10" s="632"/>
      <c r="I10" s="633"/>
      <c r="J10" s="633"/>
      <c r="K10" s="633"/>
      <c r="L10" s="633"/>
      <c r="M10" s="633"/>
      <c r="N10" s="625"/>
      <c r="O10" s="626"/>
      <c r="P10" s="627"/>
      <c r="Q10" s="628"/>
      <c r="R10" s="629"/>
      <c r="S10" s="629"/>
      <c r="T10" s="629"/>
      <c r="U10" s="629"/>
      <c r="V10" s="629"/>
      <c r="W10" s="629"/>
      <c r="X10" s="630"/>
      <c r="Y10" s="626"/>
      <c r="Z10" s="626"/>
      <c r="AA10" s="631"/>
    </row>
    <row r="11" spans="2:27" ht="19.5" customHeight="1" thickBot="1">
      <c r="B11" s="634" t="s">
        <v>87</v>
      </c>
      <c r="C11" s="614"/>
      <c r="D11" s="635"/>
      <c r="E11" s="635"/>
      <c r="F11" s="635"/>
      <c r="G11" s="636"/>
      <c r="H11" s="652"/>
      <c r="I11" s="653"/>
      <c r="J11" s="653"/>
      <c r="K11" s="653"/>
      <c r="L11" s="653"/>
      <c r="M11" s="653"/>
      <c r="N11" s="646"/>
      <c r="O11" s="643"/>
      <c r="P11" s="643"/>
      <c r="Q11" s="640"/>
      <c r="R11" s="641"/>
      <c r="S11" s="641"/>
      <c r="T11" s="641"/>
      <c r="U11" s="641"/>
      <c r="V11" s="641"/>
      <c r="W11" s="641"/>
      <c r="X11" s="642"/>
      <c r="Y11" s="643"/>
      <c r="Z11" s="643"/>
      <c r="AA11" s="644"/>
    </row>
    <row r="12" spans="2:42" ht="19.5" customHeight="1">
      <c r="B12" s="637" t="s">
        <v>117</v>
      </c>
      <c r="C12" s="595" t="s">
        <v>121</v>
      </c>
      <c r="D12" s="591"/>
      <c r="E12" s="645"/>
      <c r="F12" s="93" t="s">
        <v>118</v>
      </c>
      <c r="G12" s="595">
        <v>1</v>
      </c>
      <c r="H12" s="591"/>
      <c r="I12" s="591"/>
      <c r="J12" s="595">
        <v>2</v>
      </c>
      <c r="K12" s="591"/>
      <c r="L12" s="645"/>
      <c r="M12" s="591">
        <v>3</v>
      </c>
      <c r="N12" s="591"/>
      <c r="O12" s="647"/>
      <c r="P12" s="595">
        <v>4</v>
      </c>
      <c r="Q12" s="591"/>
      <c r="R12" s="645"/>
      <c r="S12" s="651">
        <v>5</v>
      </c>
      <c r="T12" s="591"/>
      <c r="U12" s="647"/>
      <c r="V12" s="595">
        <v>6</v>
      </c>
      <c r="W12" s="591"/>
      <c r="X12" s="645"/>
      <c r="Y12" s="651">
        <v>7</v>
      </c>
      <c r="Z12" s="591"/>
      <c r="AA12" s="647"/>
      <c r="AB12" s="595">
        <v>8</v>
      </c>
      <c r="AC12" s="591"/>
      <c r="AD12" s="645"/>
      <c r="AE12" s="651">
        <v>9</v>
      </c>
      <c r="AF12" s="591"/>
      <c r="AG12" s="647"/>
      <c r="AH12" s="595">
        <v>10</v>
      </c>
      <c r="AI12" s="591"/>
      <c r="AJ12" s="645"/>
      <c r="AK12" s="595">
        <v>11</v>
      </c>
      <c r="AL12" s="591"/>
      <c r="AM12" s="645"/>
      <c r="AN12" s="591">
        <v>12</v>
      </c>
      <c r="AO12" s="591"/>
      <c r="AP12" s="596"/>
    </row>
    <row r="13" spans="2:42" ht="19.5" customHeight="1">
      <c r="B13" s="638"/>
      <c r="C13" s="254" t="s">
        <v>298</v>
      </c>
      <c r="D13" s="250"/>
      <c r="E13" s="251"/>
      <c r="F13" s="269">
        <f>AB26+AM26+AB27+AM27+AB28</f>
        <v>20</v>
      </c>
      <c r="G13" s="99"/>
      <c r="H13" s="100"/>
      <c r="I13" s="100"/>
      <c r="J13" s="99"/>
      <c r="K13" s="100"/>
      <c r="L13" s="101"/>
      <c r="M13" s="100"/>
      <c r="N13" s="100"/>
      <c r="O13" s="102"/>
      <c r="P13" s="276" t="s">
        <v>421</v>
      </c>
      <c r="Q13" s="277" t="s">
        <v>422</v>
      </c>
      <c r="R13" s="278"/>
      <c r="S13" s="279" t="s">
        <v>423</v>
      </c>
      <c r="T13" s="279"/>
      <c r="U13" s="279" t="s">
        <v>423</v>
      </c>
      <c r="V13" s="276"/>
      <c r="W13" s="277"/>
      <c r="X13" s="278"/>
      <c r="Y13" s="279"/>
      <c r="Z13" s="279"/>
      <c r="AA13" s="279"/>
      <c r="AB13" s="276"/>
      <c r="AC13" s="277"/>
      <c r="AD13" s="278"/>
      <c r="AE13" s="104"/>
      <c r="AF13" s="113"/>
      <c r="AG13" s="106"/>
      <c r="AH13" s="104"/>
      <c r="AI13" s="105"/>
      <c r="AJ13" s="106"/>
      <c r="AK13" s="99"/>
      <c r="AL13" s="100"/>
      <c r="AM13" s="101"/>
      <c r="AN13" s="100"/>
      <c r="AO13" s="100"/>
      <c r="AP13" s="103"/>
    </row>
    <row r="14" spans="2:42" ht="19.5" customHeight="1">
      <c r="B14" s="638"/>
      <c r="C14" s="255" t="s">
        <v>297</v>
      </c>
      <c r="D14" s="250"/>
      <c r="E14" s="251"/>
      <c r="F14" s="270">
        <f>AM28</f>
        <v>9</v>
      </c>
      <c r="G14" s="104"/>
      <c r="H14" s="105"/>
      <c r="I14" s="105"/>
      <c r="J14" s="104"/>
      <c r="K14" s="105"/>
      <c r="L14" s="106"/>
      <c r="M14" s="105"/>
      <c r="N14" s="105"/>
      <c r="O14" s="107"/>
      <c r="P14" s="280" t="s">
        <v>421</v>
      </c>
      <c r="Q14" s="113"/>
      <c r="R14" s="114"/>
      <c r="S14" s="281"/>
      <c r="T14" s="279" t="s">
        <v>424</v>
      </c>
      <c r="U14" s="279"/>
      <c r="V14" s="276"/>
      <c r="W14" s="277"/>
      <c r="X14" s="278"/>
      <c r="Y14" s="279"/>
      <c r="Z14" s="279"/>
      <c r="AA14" s="279"/>
      <c r="AB14" s="276"/>
      <c r="AC14" s="277"/>
      <c r="AD14" s="278"/>
      <c r="AE14" s="104"/>
      <c r="AF14" s="105"/>
      <c r="AG14" s="106"/>
      <c r="AH14" s="104"/>
      <c r="AI14" s="105"/>
      <c r="AJ14" s="106"/>
      <c r="AK14" s="104"/>
      <c r="AL14" s="105"/>
      <c r="AM14" s="106"/>
      <c r="AN14" s="105"/>
      <c r="AO14" s="105"/>
      <c r="AP14" s="109"/>
    </row>
    <row r="15" spans="2:42" ht="19.5" customHeight="1">
      <c r="B15" s="638"/>
      <c r="C15" s="255"/>
      <c r="D15" s="250"/>
      <c r="E15" s="251"/>
      <c r="F15" s="270">
        <f>AM29+AB30</f>
        <v>0</v>
      </c>
      <c r="G15" s="104"/>
      <c r="H15" s="105"/>
      <c r="I15" s="105"/>
      <c r="J15" s="104"/>
      <c r="K15" s="105"/>
      <c r="L15" s="106"/>
      <c r="M15" s="105"/>
      <c r="N15" s="105"/>
      <c r="O15" s="107"/>
      <c r="P15" s="104"/>
      <c r="Q15" s="105"/>
      <c r="R15" s="106"/>
      <c r="S15" s="108"/>
      <c r="T15" s="105"/>
      <c r="U15" s="107"/>
      <c r="V15" s="104"/>
      <c r="W15" s="105"/>
      <c r="X15" s="106"/>
      <c r="Y15" s="108"/>
      <c r="Z15" s="105"/>
      <c r="AA15" s="107"/>
      <c r="AB15" s="104"/>
      <c r="AC15" s="105"/>
      <c r="AD15" s="106"/>
      <c r="AE15" s="104"/>
      <c r="AF15" s="113"/>
      <c r="AG15" s="106"/>
      <c r="AH15" s="104"/>
      <c r="AI15" s="105"/>
      <c r="AJ15" s="106"/>
      <c r="AK15" s="104"/>
      <c r="AL15" s="105"/>
      <c r="AM15" s="106"/>
      <c r="AN15" s="105"/>
      <c r="AO15" s="105"/>
      <c r="AP15" s="109"/>
    </row>
    <row r="16" spans="2:42" ht="19.5" customHeight="1">
      <c r="B16" s="638"/>
      <c r="C16" s="312"/>
      <c r="D16" s="250"/>
      <c r="E16" s="251"/>
      <c r="F16" s="270"/>
      <c r="G16" s="104"/>
      <c r="H16" s="105"/>
      <c r="I16" s="105"/>
      <c r="J16" s="104"/>
      <c r="K16" s="105"/>
      <c r="L16" s="106"/>
      <c r="M16" s="105"/>
      <c r="N16" s="105"/>
      <c r="O16" s="107"/>
      <c r="P16" s="314"/>
      <c r="Q16" s="313"/>
      <c r="R16" s="106"/>
      <c r="S16" s="108"/>
      <c r="T16" s="313"/>
      <c r="U16" s="107"/>
      <c r="V16" s="104"/>
      <c r="W16" s="313"/>
      <c r="X16" s="106"/>
      <c r="Y16" s="108"/>
      <c r="Z16" s="105"/>
      <c r="AA16" s="107"/>
      <c r="AB16" s="104"/>
      <c r="AC16" s="105"/>
      <c r="AD16" s="106"/>
      <c r="AE16" s="104"/>
      <c r="AF16" s="105"/>
      <c r="AG16" s="106"/>
      <c r="AH16" s="104"/>
      <c r="AI16" s="105"/>
      <c r="AJ16" s="106"/>
      <c r="AK16" s="104"/>
      <c r="AL16" s="105"/>
      <c r="AM16" s="106"/>
      <c r="AN16" s="105"/>
      <c r="AO16" s="105"/>
      <c r="AP16" s="109"/>
    </row>
    <row r="17" spans="2:42" ht="19.5" customHeight="1">
      <c r="B17" s="638"/>
      <c r="C17" s="312" t="s">
        <v>473</v>
      </c>
      <c r="D17" s="250"/>
      <c r="E17" s="251"/>
      <c r="F17" s="270">
        <f>Z37</f>
        <v>1</v>
      </c>
      <c r="G17" s="104"/>
      <c r="H17" s="105"/>
      <c r="I17" s="105"/>
      <c r="J17" s="104"/>
      <c r="K17" s="105"/>
      <c r="L17" s="106"/>
      <c r="M17" s="105"/>
      <c r="N17" s="105"/>
      <c r="O17" s="107"/>
      <c r="P17" s="314" t="s">
        <v>424</v>
      </c>
      <c r="Q17" s="313" t="s">
        <v>424</v>
      </c>
      <c r="R17" s="106"/>
      <c r="S17" s="108"/>
      <c r="T17" s="313" t="s">
        <v>424</v>
      </c>
      <c r="U17" s="107"/>
      <c r="V17" s="104"/>
      <c r="W17" s="313" t="s">
        <v>424</v>
      </c>
      <c r="X17" s="106"/>
      <c r="Y17" s="108"/>
      <c r="Z17" s="105"/>
      <c r="AA17" s="107"/>
      <c r="AB17" s="104"/>
      <c r="AC17" s="105"/>
      <c r="AD17" s="106"/>
      <c r="AE17" s="104"/>
      <c r="AF17" s="105"/>
      <c r="AG17" s="106"/>
      <c r="AH17" s="104"/>
      <c r="AI17" s="105"/>
      <c r="AJ17" s="106"/>
      <c r="AK17" s="104"/>
      <c r="AL17" s="105"/>
      <c r="AM17" s="106"/>
      <c r="AN17" s="105"/>
      <c r="AO17" s="105"/>
      <c r="AP17" s="109"/>
    </row>
    <row r="18" spans="2:42" ht="19.5" customHeight="1">
      <c r="B18" s="638"/>
      <c r="C18" s="255"/>
      <c r="D18" s="250"/>
      <c r="E18" s="251"/>
      <c r="F18" s="270">
        <v>0</v>
      </c>
      <c r="G18" s="104"/>
      <c r="H18" s="105"/>
      <c r="I18" s="105"/>
      <c r="J18" s="104"/>
      <c r="K18" s="105"/>
      <c r="L18" s="106"/>
      <c r="M18" s="105"/>
      <c r="N18" s="105"/>
      <c r="O18" s="107"/>
      <c r="P18" s="104"/>
      <c r="Q18" s="105"/>
      <c r="R18" s="106"/>
      <c r="S18" s="108"/>
      <c r="T18" s="105"/>
      <c r="U18" s="107"/>
      <c r="V18" s="104"/>
      <c r="W18" s="105"/>
      <c r="X18" s="106"/>
      <c r="Y18" s="108"/>
      <c r="Z18" s="105"/>
      <c r="AA18" s="107"/>
      <c r="AB18" s="104"/>
      <c r="AC18" s="105"/>
      <c r="AD18" s="106"/>
      <c r="AE18" s="104"/>
      <c r="AF18" s="105"/>
      <c r="AG18" s="106"/>
      <c r="AH18" s="104"/>
      <c r="AI18" s="105"/>
      <c r="AJ18" s="106"/>
      <c r="AK18" s="104"/>
      <c r="AL18" s="105"/>
      <c r="AM18" s="106"/>
      <c r="AN18" s="105"/>
      <c r="AO18" s="105"/>
      <c r="AP18" s="109"/>
    </row>
    <row r="19" spans="2:42" ht="19.5" customHeight="1">
      <c r="B19" s="639"/>
      <c r="C19" s="256"/>
      <c r="D19" s="252"/>
      <c r="E19" s="253"/>
      <c r="F19" s="249"/>
      <c r="G19" s="110"/>
      <c r="H19" s="111"/>
      <c r="I19" s="111"/>
      <c r="J19" s="112"/>
      <c r="K19" s="113"/>
      <c r="L19" s="114"/>
      <c r="M19" s="111"/>
      <c r="N19" s="111"/>
      <c r="O19" s="115"/>
      <c r="P19" s="112"/>
      <c r="Q19" s="113"/>
      <c r="R19" s="114"/>
      <c r="S19" s="116"/>
      <c r="T19" s="111"/>
      <c r="U19" s="115"/>
      <c r="V19" s="112"/>
      <c r="W19" s="113"/>
      <c r="X19" s="114"/>
      <c r="Y19" s="116"/>
      <c r="Z19" s="111"/>
      <c r="AA19" s="115"/>
      <c r="AB19" s="112"/>
      <c r="AC19" s="113"/>
      <c r="AD19" s="114"/>
      <c r="AE19" s="112"/>
      <c r="AF19" s="113"/>
      <c r="AG19" s="114"/>
      <c r="AH19" s="112"/>
      <c r="AI19" s="113"/>
      <c r="AJ19" s="114"/>
      <c r="AK19" s="112"/>
      <c r="AL19" s="113"/>
      <c r="AM19" s="114"/>
      <c r="AN19" s="113"/>
      <c r="AO19" s="113"/>
      <c r="AP19" s="117"/>
    </row>
    <row r="20" spans="2:42" ht="19.5" customHeight="1">
      <c r="B20" s="663" t="s">
        <v>88</v>
      </c>
      <c r="C20" s="648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50"/>
    </row>
    <row r="21" spans="2:42" ht="19.5" customHeight="1">
      <c r="B21" s="613"/>
      <c r="C21" s="664" t="s">
        <v>106</v>
      </c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118"/>
      <c r="W21" s="118"/>
      <c r="Y21" s="616" t="s">
        <v>122</v>
      </c>
      <c r="Z21" s="616"/>
      <c r="AA21" s="616"/>
      <c r="AB21" s="616"/>
      <c r="AC21" s="118"/>
      <c r="AD21" s="118"/>
      <c r="AI21" s="118"/>
      <c r="AJ21" s="118"/>
      <c r="AK21" s="118"/>
      <c r="AL21" s="118"/>
      <c r="AM21" s="118"/>
      <c r="AN21" s="118"/>
      <c r="AO21" s="118"/>
      <c r="AP21" s="119"/>
    </row>
    <row r="22" spans="2:42" ht="19.5" customHeight="1" thickBot="1">
      <c r="B22" s="634"/>
      <c r="C22" s="654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5"/>
      <c r="AH22" s="655"/>
      <c r="AI22" s="655"/>
      <c r="AJ22" s="655"/>
      <c r="AK22" s="655"/>
      <c r="AL22" s="655"/>
      <c r="AM22" s="655"/>
      <c r="AN22" s="655"/>
      <c r="AO22" s="655"/>
      <c r="AP22" s="656"/>
    </row>
    <row r="23" spans="2:32" ht="9.75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</row>
    <row r="24" ht="24.75" customHeight="1" thickBot="1">
      <c r="B24" s="92" t="s">
        <v>123</v>
      </c>
    </row>
    <row r="25" spans="2:42" ht="19.5" customHeight="1" thickBot="1">
      <c r="B25" s="657" t="s">
        <v>19</v>
      </c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9"/>
      <c r="O25" s="660" t="s">
        <v>18</v>
      </c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/>
      <c r="AP25" s="662"/>
    </row>
    <row r="26" spans="2:42" ht="19.5" customHeight="1">
      <c r="B26" s="666" t="s">
        <v>14</v>
      </c>
      <c r="C26" s="667"/>
      <c r="D26" s="668"/>
      <c r="E26" s="675" t="s">
        <v>404</v>
      </c>
      <c r="F26" s="676"/>
      <c r="G26" s="676"/>
      <c r="H26" s="676"/>
      <c r="I26" s="676"/>
      <c r="J26" s="676"/>
      <c r="K26" s="676"/>
      <c r="L26" s="676"/>
      <c r="M26" s="676"/>
      <c r="N26" s="677"/>
      <c r="O26" s="685" t="s">
        <v>11</v>
      </c>
      <c r="P26" s="686"/>
      <c r="Q26" s="686"/>
      <c r="R26" s="686"/>
      <c r="S26" s="687"/>
      <c r="T26" s="694" t="s">
        <v>380</v>
      </c>
      <c r="U26" s="695"/>
      <c r="V26" s="695"/>
      <c r="W26" s="695"/>
      <c r="X26" s="695"/>
      <c r="Y26" s="695"/>
      <c r="Z26" s="384">
        <v>15</v>
      </c>
      <c r="AA26" s="562" t="s">
        <v>710</v>
      </c>
      <c r="AB26" s="384"/>
      <c r="AC26" s="578"/>
      <c r="AD26" s="578"/>
      <c r="AE26" s="577" t="s">
        <v>380</v>
      </c>
      <c r="AF26" s="577"/>
      <c r="AG26" s="577"/>
      <c r="AH26" s="577"/>
      <c r="AI26" s="577"/>
      <c r="AJ26" s="577"/>
      <c r="AK26" s="564"/>
      <c r="AL26" s="564"/>
      <c r="AM26" s="564">
        <v>15</v>
      </c>
      <c r="AN26" s="579" t="s">
        <v>364</v>
      </c>
      <c r="AO26" s="579"/>
      <c r="AP26" s="580"/>
    </row>
    <row r="27" spans="2:42" ht="19.5" customHeight="1">
      <c r="B27" s="669"/>
      <c r="C27" s="670"/>
      <c r="D27" s="671"/>
      <c r="E27" s="678"/>
      <c r="F27" s="679"/>
      <c r="G27" s="679"/>
      <c r="H27" s="679"/>
      <c r="I27" s="679"/>
      <c r="J27" s="679"/>
      <c r="K27" s="679"/>
      <c r="L27" s="679"/>
      <c r="M27" s="679"/>
      <c r="N27" s="680"/>
      <c r="O27" s="688"/>
      <c r="P27" s="689"/>
      <c r="Q27" s="689"/>
      <c r="R27" s="689"/>
      <c r="S27" s="690"/>
      <c r="T27" s="570" t="s">
        <v>405</v>
      </c>
      <c r="U27" s="571"/>
      <c r="V27" s="571"/>
      <c r="W27" s="571"/>
      <c r="X27" s="571"/>
      <c r="Y27" s="571"/>
      <c r="Z27" s="385">
        <v>5</v>
      </c>
      <c r="AA27" s="563" t="s">
        <v>710</v>
      </c>
      <c r="AB27" s="385"/>
      <c r="AC27" s="572"/>
      <c r="AD27" s="572"/>
      <c r="AE27" s="582" t="s">
        <v>405</v>
      </c>
      <c r="AF27" s="582"/>
      <c r="AG27" s="582"/>
      <c r="AH27" s="582"/>
      <c r="AI27" s="582"/>
      <c r="AJ27" s="582"/>
      <c r="AK27" s="565"/>
      <c r="AL27" s="565"/>
      <c r="AM27" s="565">
        <v>5</v>
      </c>
      <c r="AN27" s="574" t="s">
        <v>363</v>
      </c>
      <c r="AO27" s="574"/>
      <c r="AP27" s="575"/>
    </row>
    <row r="28" spans="2:42" ht="19.5" customHeight="1">
      <c r="B28" s="669"/>
      <c r="C28" s="670"/>
      <c r="D28" s="671"/>
      <c r="E28" s="678"/>
      <c r="F28" s="679"/>
      <c r="G28" s="679"/>
      <c r="H28" s="679"/>
      <c r="I28" s="679"/>
      <c r="J28" s="679"/>
      <c r="K28" s="679"/>
      <c r="L28" s="679"/>
      <c r="M28" s="679"/>
      <c r="N28" s="680"/>
      <c r="O28" s="688"/>
      <c r="P28" s="689"/>
      <c r="Q28" s="689"/>
      <c r="R28" s="689"/>
      <c r="S28" s="690"/>
      <c r="T28" s="570" t="s">
        <v>465</v>
      </c>
      <c r="U28" s="571"/>
      <c r="V28" s="571"/>
      <c r="W28" s="571"/>
      <c r="X28" s="571"/>
      <c r="Y28" s="571"/>
      <c r="Z28" s="385">
        <v>9</v>
      </c>
      <c r="AA28" s="563" t="s">
        <v>710</v>
      </c>
      <c r="AB28" s="385"/>
      <c r="AC28" s="572"/>
      <c r="AD28" s="572"/>
      <c r="AE28" s="573" t="s">
        <v>465</v>
      </c>
      <c r="AF28" s="573"/>
      <c r="AG28" s="573"/>
      <c r="AH28" s="573"/>
      <c r="AI28" s="573"/>
      <c r="AJ28" s="573"/>
      <c r="AK28" s="565"/>
      <c r="AL28" s="565"/>
      <c r="AM28" s="565">
        <v>9</v>
      </c>
      <c r="AN28" s="574" t="s">
        <v>363</v>
      </c>
      <c r="AO28" s="574"/>
      <c r="AP28" s="575"/>
    </row>
    <row r="29" spans="2:42" ht="19.5" customHeight="1">
      <c r="B29" s="669"/>
      <c r="C29" s="670"/>
      <c r="D29" s="671"/>
      <c r="E29" s="678"/>
      <c r="F29" s="679"/>
      <c r="G29" s="679"/>
      <c r="H29" s="679"/>
      <c r="I29" s="679"/>
      <c r="J29" s="679"/>
      <c r="K29" s="679"/>
      <c r="L29" s="679"/>
      <c r="M29" s="679"/>
      <c r="N29" s="680"/>
      <c r="O29" s="688"/>
      <c r="P29" s="689"/>
      <c r="Q29" s="689"/>
      <c r="R29" s="689"/>
      <c r="S29" s="690"/>
      <c r="T29" s="570"/>
      <c r="U29" s="571"/>
      <c r="V29" s="571"/>
      <c r="W29" s="571"/>
      <c r="X29" s="571"/>
      <c r="Y29" s="571"/>
      <c r="Z29" s="385"/>
      <c r="AA29" s="385"/>
      <c r="AB29" s="385"/>
      <c r="AC29" s="572"/>
      <c r="AD29" s="572"/>
      <c r="AE29" s="571"/>
      <c r="AF29" s="571"/>
      <c r="AG29" s="571"/>
      <c r="AH29" s="571"/>
      <c r="AI29" s="571"/>
      <c r="AJ29" s="571"/>
      <c r="AK29" s="385"/>
      <c r="AL29" s="385"/>
      <c r="AM29" s="385"/>
      <c r="AN29" s="572"/>
      <c r="AO29" s="572"/>
      <c r="AP29" s="576"/>
    </row>
    <row r="30" spans="2:42" ht="19.5" customHeight="1">
      <c r="B30" s="672"/>
      <c r="C30" s="673"/>
      <c r="D30" s="674"/>
      <c r="E30" s="681"/>
      <c r="F30" s="682"/>
      <c r="G30" s="682"/>
      <c r="H30" s="682"/>
      <c r="I30" s="682"/>
      <c r="J30" s="682"/>
      <c r="K30" s="682"/>
      <c r="L30" s="682"/>
      <c r="M30" s="682"/>
      <c r="N30" s="683"/>
      <c r="O30" s="691"/>
      <c r="P30" s="692"/>
      <c r="Q30" s="692"/>
      <c r="R30" s="692"/>
      <c r="S30" s="693"/>
      <c r="T30" s="696"/>
      <c r="U30" s="583"/>
      <c r="V30" s="583"/>
      <c r="W30" s="583"/>
      <c r="X30" s="583"/>
      <c r="Y30" s="583"/>
      <c r="Z30" s="386"/>
      <c r="AA30" s="386"/>
      <c r="AB30" s="386"/>
      <c r="AC30" s="581"/>
      <c r="AD30" s="581"/>
      <c r="AE30" s="583"/>
      <c r="AF30" s="583"/>
      <c r="AG30" s="583"/>
      <c r="AH30" s="583"/>
      <c r="AI30" s="583"/>
      <c r="AJ30" s="583"/>
      <c r="AK30" s="386"/>
      <c r="AL30" s="386"/>
      <c r="AM30" s="386"/>
      <c r="AN30" s="581"/>
      <c r="AO30" s="581"/>
      <c r="AP30" s="684"/>
    </row>
    <row r="31" spans="2:42" ht="39.75" customHeight="1">
      <c r="B31" s="700" t="s">
        <v>15</v>
      </c>
      <c r="C31" s="701"/>
      <c r="D31" s="701"/>
      <c r="E31" s="702" t="s">
        <v>403</v>
      </c>
      <c r="F31" s="703"/>
      <c r="G31" s="703"/>
      <c r="H31" s="703"/>
      <c r="I31" s="703"/>
      <c r="J31" s="703"/>
      <c r="K31" s="703"/>
      <c r="L31" s="703"/>
      <c r="M31" s="703"/>
      <c r="N31" s="704"/>
      <c r="O31" s="705" t="s">
        <v>12</v>
      </c>
      <c r="P31" s="706"/>
      <c r="Q31" s="706"/>
      <c r="R31" s="706"/>
      <c r="S31" s="706"/>
      <c r="T31" s="697" t="s">
        <v>448</v>
      </c>
      <c r="U31" s="698"/>
      <c r="V31" s="698"/>
      <c r="W31" s="698"/>
      <c r="X31" s="698"/>
      <c r="Y31" s="698"/>
      <c r="Z31" s="698"/>
      <c r="AA31" s="698"/>
      <c r="AB31" s="698"/>
      <c r="AC31" s="698"/>
      <c r="AD31" s="698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9"/>
    </row>
    <row r="32" spans="2:42" ht="39.75" customHeight="1">
      <c r="B32" s="700" t="s">
        <v>16</v>
      </c>
      <c r="C32" s="701"/>
      <c r="D32" s="701"/>
      <c r="E32" s="702" t="s">
        <v>449</v>
      </c>
      <c r="F32" s="703"/>
      <c r="G32" s="703"/>
      <c r="H32" s="703"/>
      <c r="I32" s="703"/>
      <c r="J32" s="703"/>
      <c r="K32" s="703"/>
      <c r="L32" s="703"/>
      <c r="M32" s="703"/>
      <c r="N32" s="704"/>
      <c r="O32" s="705" t="s">
        <v>13</v>
      </c>
      <c r="P32" s="706"/>
      <c r="Q32" s="706"/>
      <c r="R32" s="706"/>
      <c r="S32" s="706"/>
      <c r="T32" s="698" t="s">
        <v>711</v>
      </c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98"/>
      <c r="AJ32" s="698"/>
      <c r="AK32" s="698"/>
      <c r="AL32" s="698"/>
      <c r="AM32" s="698"/>
      <c r="AN32" s="698"/>
      <c r="AO32" s="698"/>
      <c r="AP32" s="699"/>
    </row>
    <row r="33" spans="2:42" ht="39.75" customHeight="1" thickBot="1">
      <c r="B33" s="711" t="s">
        <v>17</v>
      </c>
      <c r="C33" s="712"/>
      <c r="D33" s="712"/>
      <c r="E33" s="713" t="s">
        <v>724</v>
      </c>
      <c r="F33" s="714"/>
      <c r="G33" s="714"/>
      <c r="H33" s="714"/>
      <c r="I33" s="714"/>
      <c r="J33" s="714"/>
      <c r="K33" s="714"/>
      <c r="L33" s="714"/>
      <c r="M33" s="714"/>
      <c r="N33" s="715"/>
      <c r="O33" s="707"/>
      <c r="P33" s="708"/>
      <c r="Q33" s="708"/>
      <c r="R33" s="708"/>
      <c r="S33" s="708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10"/>
    </row>
    <row r="34" spans="2:42" ht="9.75" customHeight="1">
      <c r="B34" s="94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</row>
    <row r="35" spans="2:42" ht="30" customHeight="1" thickBot="1">
      <c r="B35" s="303" t="s">
        <v>471</v>
      </c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</row>
    <row r="36" spans="2:42" ht="30" customHeight="1" thickBot="1">
      <c r="B36" s="716" t="s">
        <v>19</v>
      </c>
      <c r="C36" s="717"/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8"/>
      <c r="O36" s="719" t="s">
        <v>18</v>
      </c>
      <c r="P36" s="720"/>
      <c r="Q36" s="720"/>
      <c r="R36" s="720"/>
      <c r="S36" s="720"/>
      <c r="T36" s="720"/>
      <c r="U36" s="720"/>
      <c r="V36" s="720"/>
      <c r="W36" s="720"/>
      <c r="X36" s="720"/>
      <c r="Y36" s="720"/>
      <c r="Z36" s="720"/>
      <c r="AA36" s="720"/>
      <c r="AB36" s="720"/>
      <c r="AC36" s="720"/>
      <c r="AD36" s="720"/>
      <c r="AE36" s="720"/>
      <c r="AF36" s="720"/>
      <c r="AG36" s="720"/>
      <c r="AH36" s="720"/>
      <c r="AI36" s="720"/>
      <c r="AJ36" s="720"/>
      <c r="AK36" s="720"/>
      <c r="AL36" s="720"/>
      <c r="AM36" s="720"/>
      <c r="AN36" s="720"/>
      <c r="AO36" s="720"/>
      <c r="AP36" s="721"/>
    </row>
    <row r="37" spans="2:42" ht="30" customHeight="1">
      <c r="B37" s="722" t="s">
        <v>14</v>
      </c>
      <c r="C37" s="723"/>
      <c r="D37" s="723"/>
      <c r="E37" s="724" t="s">
        <v>468</v>
      </c>
      <c r="F37" s="725"/>
      <c r="G37" s="725"/>
      <c r="H37" s="725"/>
      <c r="I37" s="725"/>
      <c r="J37" s="725"/>
      <c r="K37" s="725"/>
      <c r="L37" s="725"/>
      <c r="M37" s="725"/>
      <c r="N37" s="726"/>
      <c r="O37" s="693" t="s">
        <v>11</v>
      </c>
      <c r="P37" s="727"/>
      <c r="Q37" s="727"/>
      <c r="R37" s="727"/>
      <c r="S37" s="727"/>
      <c r="T37" s="728" t="s">
        <v>469</v>
      </c>
      <c r="U37" s="729"/>
      <c r="V37" s="729"/>
      <c r="W37" s="729"/>
      <c r="X37" s="729"/>
      <c r="Y37" s="729"/>
      <c r="Z37" s="730">
        <v>1</v>
      </c>
      <c r="AA37" s="729"/>
      <c r="AB37" s="389" t="s">
        <v>472</v>
      </c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90"/>
    </row>
    <row r="38" spans="2:42" ht="40.5" customHeight="1">
      <c r="B38" s="700" t="s">
        <v>15</v>
      </c>
      <c r="C38" s="701"/>
      <c r="D38" s="701"/>
      <c r="E38" s="702" t="s">
        <v>403</v>
      </c>
      <c r="F38" s="703"/>
      <c r="G38" s="703"/>
      <c r="H38" s="703"/>
      <c r="I38" s="703"/>
      <c r="J38" s="703"/>
      <c r="K38" s="703"/>
      <c r="L38" s="703"/>
      <c r="M38" s="703"/>
      <c r="N38" s="704"/>
      <c r="O38" s="705" t="s">
        <v>12</v>
      </c>
      <c r="P38" s="706"/>
      <c r="Q38" s="706"/>
      <c r="R38" s="706"/>
      <c r="S38" s="706"/>
      <c r="T38" s="697" t="s">
        <v>722</v>
      </c>
      <c r="U38" s="698"/>
      <c r="V38" s="698"/>
      <c r="W38" s="698"/>
      <c r="X38" s="698"/>
      <c r="Y38" s="698"/>
      <c r="Z38" s="698"/>
      <c r="AA38" s="698"/>
      <c r="AB38" s="698"/>
      <c r="AC38" s="698"/>
      <c r="AD38" s="698"/>
      <c r="AE38" s="698"/>
      <c r="AF38" s="698"/>
      <c r="AG38" s="698"/>
      <c r="AH38" s="698"/>
      <c r="AI38" s="698"/>
      <c r="AJ38" s="698"/>
      <c r="AK38" s="698"/>
      <c r="AL38" s="698"/>
      <c r="AM38" s="698"/>
      <c r="AN38" s="698"/>
      <c r="AO38" s="698"/>
      <c r="AP38" s="699"/>
    </row>
    <row r="39" spans="2:42" ht="43.5" customHeight="1">
      <c r="B39" s="700" t="s">
        <v>16</v>
      </c>
      <c r="C39" s="701"/>
      <c r="D39" s="701"/>
      <c r="E39" s="702" t="s">
        <v>649</v>
      </c>
      <c r="F39" s="703"/>
      <c r="G39" s="703"/>
      <c r="H39" s="703"/>
      <c r="I39" s="703"/>
      <c r="J39" s="703"/>
      <c r="K39" s="703"/>
      <c r="L39" s="703"/>
      <c r="M39" s="703"/>
      <c r="N39" s="704"/>
      <c r="O39" s="705" t="s">
        <v>13</v>
      </c>
      <c r="P39" s="706"/>
      <c r="Q39" s="706"/>
      <c r="R39" s="706"/>
      <c r="S39" s="706"/>
      <c r="T39" s="697" t="s">
        <v>723</v>
      </c>
      <c r="U39" s="698"/>
      <c r="V39" s="698"/>
      <c r="W39" s="698"/>
      <c r="X39" s="698"/>
      <c r="Y39" s="698"/>
      <c r="Z39" s="698"/>
      <c r="AA39" s="698"/>
      <c r="AB39" s="698"/>
      <c r="AC39" s="698"/>
      <c r="AD39" s="698"/>
      <c r="AE39" s="698"/>
      <c r="AF39" s="698"/>
      <c r="AG39" s="698"/>
      <c r="AH39" s="698"/>
      <c r="AI39" s="698"/>
      <c r="AJ39" s="698"/>
      <c r="AK39" s="698"/>
      <c r="AL39" s="698"/>
      <c r="AM39" s="698"/>
      <c r="AN39" s="698"/>
      <c r="AO39" s="698"/>
      <c r="AP39" s="699"/>
    </row>
    <row r="40" spans="2:42" ht="54.75" customHeight="1" thickBot="1">
      <c r="B40" s="711" t="s">
        <v>17</v>
      </c>
      <c r="C40" s="712"/>
      <c r="D40" s="712"/>
      <c r="E40" s="713" t="s">
        <v>470</v>
      </c>
      <c r="F40" s="714"/>
      <c r="G40" s="714"/>
      <c r="H40" s="714"/>
      <c r="I40" s="714"/>
      <c r="J40" s="714"/>
      <c r="K40" s="714"/>
      <c r="L40" s="714"/>
      <c r="M40" s="714"/>
      <c r="N40" s="715"/>
      <c r="O40" s="707"/>
      <c r="P40" s="708"/>
      <c r="Q40" s="708"/>
      <c r="R40" s="708"/>
      <c r="S40" s="708"/>
      <c r="T40" s="709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  <c r="AO40" s="709"/>
      <c r="AP40" s="710"/>
    </row>
    <row r="41" ht="30" customHeight="1"/>
  </sheetData>
  <sheetProtection/>
  <mergeCells count="115">
    <mergeCell ref="B38:D38"/>
    <mergeCell ref="E38:N38"/>
    <mergeCell ref="O38:S38"/>
    <mergeCell ref="T38:AP38"/>
    <mergeCell ref="B39:D39"/>
    <mergeCell ref="E39:N39"/>
    <mergeCell ref="O39:S40"/>
    <mergeCell ref="T39:AP40"/>
    <mergeCell ref="B40:D40"/>
    <mergeCell ref="E40:N40"/>
    <mergeCell ref="B36:N36"/>
    <mergeCell ref="O36:AP36"/>
    <mergeCell ref="B37:D37"/>
    <mergeCell ref="E37:N37"/>
    <mergeCell ref="O37:S37"/>
    <mergeCell ref="T37:Y37"/>
    <mergeCell ref="Z37:AA37"/>
    <mergeCell ref="T31:AP31"/>
    <mergeCell ref="B32:D32"/>
    <mergeCell ref="E32:N32"/>
    <mergeCell ref="O32:S33"/>
    <mergeCell ref="T32:AP33"/>
    <mergeCell ref="B33:D33"/>
    <mergeCell ref="E33:N33"/>
    <mergeCell ref="B31:D31"/>
    <mergeCell ref="E31:N31"/>
    <mergeCell ref="O31:S31"/>
    <mergeCell ref="B26:D30"/>
    <mergeCell ref="E26:N30"/>
    <mergeCell ref="AN30:AP30"/>
    <mergeCell ref="AN28:AP28"/>
    <mergeCell ref="AC29:AD29"/>
    <mergeCell ref="O26:S30"/>
    <mergeCell ref="T26:Y26"/>
    <mergeCell ref="T27:Y27"/>
    <mergeCell ref="T29:Y29"/>
    <mergeCell ref="T30:Y30"/>
    <mergeCell ref="Y21:AB21"/>
    <mergeCell ref="H11:M11"/>
    <mergeCell ref="C22:AP22"/>
    <mergeCell ref="B25:N25"/>
    <mergeCell ref="O25:AP25"/>
    <mergeCell ref="B20:B22"/>
    <mergeCell ref="C21:U21"/>
    <mergeCell ref="AN12:AP12"/>
    <mergeCell ref="AB12:AD12"/>
    <mergeCell ref="AE12:AG12"/>
    <mergeCell ref="C20:AP20"/>
    <mergeCell ref="AK12:AM12"/>
    <mergeCell ref="P12:R12"/>
    <mergeCell ref="S12:U12"/>
    <mergeCell ref="V12:X12"/>
    <mergeCell ref="Y12:AA12"/>
    <mergeCell ref="B12:B19"/>
    <mergeCell ref="Q11:X11"/>
    <mergeCell ref="Y11:AA11"/>
    <mergeCell ref="AH12:AJ12"/>
    <mergeCell ref="N11:P11"/>
    <mergeCell ref="C12:E12"/>
    <mergeCell ref="G12:I12"/>
    <mergeCell ref="J12:L12"/>
    <mergeCell ref="M12:O12"/>
    <mergeCell ref="H10:M10"/>
    <mergeCell ref="N10:P10"/>
    <mergeCell ref="B10:C10"/>
    <mergeCell ref="D10:G10"/>
    <mergeCell ref="B11:C11"/>
    <mergeCell ref="D11:G11"/>
    <mergeCell ref="Q8:X8"/>
    <mergeCell ref="Y8:AA8"/>
    <mergeCell ref="Q9:X9"/>
    <mergeCell ref="Y9:AA9"/>
    <mergeCell ref="Q10:X10"/>
    <mergeCell ref="Y10:AA10"/>
    <mergeCell ref="B9:C9"/>
    <mergeCell ref="D9:G9"/>
    <mergeCell ref="H9:M9"/>
    <mergeCell ref="N9:P9"/>
    <mergeCell ref="B8:C8"/>
    <mergeCell ref="D8:G8"/>
    <mergeCell ref="H8:M8"/>
    <mergeCell ref="N8:P8"/>
    <mergeCell ref="B6:G6"/>
    <mergeCell ref="H6:M6"/>
    <mergeCell ref="N6:P6"/>
    <mergeCell ref="B7:C7"/>
    <mergeCell ref="D7:G7"/>
    <mergeCell ref="H7:M7"/>
    <mergeCell ref="N7:P7"/>
    <mergeCell ref="H5:AA5"/>
    <mergeCell ref="Y2:AA2"/>
    <mergeCell ref="O2:Q2"/>
    <mergeCell ref="R2:U2"/>
    <mergeCell ref="V2:X2"/>
    <mergeCell ref="Q7:X7"/>
    <mergeCell ref="Y7:AA7"/>
    <mergeCell ref="Q6:X6"/>
    <mergeCell ref="AC30:AD30"/>
    <mergeCell ref="AE27:AJ27"/>
    <mergeCell ref="AE29:AJ29"/>
    <mergeCell ref="AE30:AJ30"/>
    <mergeCell ref="AC27:AD27"/>
    <mergeCell ref="C2:D2"/>
    <mergeCell ref="F2:N2"/>
    <mergeCell ref="Y6:AA6"/>
    <mergeCell ref="B5:C5"/>
    <mergeCell ref="D5:G5"/>
    <mergeCell ref="T28:Y28"/>
    <mergeCell ref="AC28:AD28"/>
    <mergeCell ref="AE28:AJ28"/>
    <mergeCell ref="AN27:AP27"/>
    <mergeCell ref="AN29:AP29"/>
    <mergeCell ref="AE26:AJ26"/>
    <mergeCell ref="AC26:AD26"/>
    <mergeCell ref="AN26:AP2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1" sqref="A1"/>
    </sheetView>
  </sheetViews>
  <sheetFormatPr defaultColWidth="10.875" defaultRowHeight="13.5"/>
  <cols>
    <col min="1" max="1" width="1.625" style="442" customWidth="1"/>
    <col min="2" max="2" width="5.875" style="442" customWidth="1"/>
    <col min="3" max="3" width="10.625" style="442" customWidth="1"/>
    <col min="4" max="4" width="12.375" style="442" customWidth="1"/>
    <col min="5" max="5" width="14.625" style="442" customWidth="1"/>
    <col min="6" max="7" width="15.875" style="442" customWidth="1"/>
    <col min="8" max="8" width="10.875" style="442" customWidth="1"/>
    <col min="9" max="9" width="11.375" style="442" bestFit="1" customWidth="1"/>
    <col min="10" max="10" width="13.375" style="442" customWidth="1"/>
    <col min="11" max="11" width="7.125" style="442" customWidth="1"/>
    <col min="12" max="12" width="15.375" style="442" customWidth="1"/>
    <col min="13" max="13" width="9.375" style="442" bestFit="1" customWidth="1"/>
    <col min="14" max="14" width="10.875" style="442" customWidth="1"/>
    <col min="15" max="15" width="7.25390625" style="442" customWidth="1"/>
    <col min="16" max="16" width="9.625" style="442" customWidth="1"/>
    <col min="17" max="17" width="10.875" style="442" customWidth="1"/>
    <col min="18" max="18" width="7.50390625" style="442" customWidth="1"/>
    <col min="19" max="19" width="3.75390625" style="442" customWidth="1"/>
    <col min="20" max="16384" width="10.875" style="442" customWidth="1"/>
  </cols>
  <sheetData>
    <row r="1" spans="2:19" s="122" customFormat="1" ht="9.75" customHeight="1"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2:15" s="122" customFormat="1" ht="24.75" customHeight="1" thickBot="1">
      <c r="B2" s="122" t="s">
        <v>456</v>
      </c>
      <c r="H2" s="416" t="s">
        <v>280</v>
      </c>
      <c r="I2" s="122" t="s">
        <v>373</v>
      </c>
      <c r="K2" s="416" t="s">
        <v>281</v>
      </c>
      <c r="L2" s="122" t="s">
        <v>283</v>
      </c>
      <c r="N2" s="442"/>
      <c r="O2" s="442"/>
    </row>
    <row r="3" spans="2:19" s="122" customFormat="1" ht="18" customHeight="1">
      <c r="B3" s="843" t="s">
        <v>20</v>
      </c>
      <c r="C3" s="844"/>
      <c r="D3" s="844"/>
      <c r="E3" s="845"/>
      <c r="F3" s="443" t="s">
        <v>21</v>
      </c>
      <c r="G3" s="444"/>
      <c r="H3" s="383" t="s">
        <v>22</v>
      </c>
      <c r="I3" s="445"/>
      <c r="J3" s="445"/>
      <c r="K3" s="895" t="s">
        <v>242</v>
      </c>
      <c r="L3" s="896"/>
      <c r="M3" s="896"/>
      <c r="N3" s="896"/>
      <c r="O3" s="896"/>
      <c r="P3" s="896"/>
      <c r="Q3" s="896"/>
      <c r="R3" s="896"/>
      <c r="S3" s="897"/>
    </row>
    <row r="4" spans="2:19" s="122" customFormat="1" ht="18" customHeight="1">
      <c r="B4" s="882" t="s">
        <v>23</v>
      </c>
      <c r="C4" s="883"/>
      <c r="D4" s="166" t="s">
        <v>235</v>
      </c>
      <c r="E4" s="183"/>
      <c r="F4" s="178">
        <f>+R11</f>
        <v>798000</v>
      </c>
      <c r="G4" s="166" t="s">
        <v>214</v>
      </c>
      <c r="H4" s="123"/>
      <c r="I4" s="123"/>
      <c r="J4" s="123"/>
      <c r="K4" s="175" t="s">
        <v>57</v>
      </c>
      <c r="L4" s="176" t="s">
        <v>287</v>
      </c>
      <c r="M4" s="176" t="s">
        <v>24</v>
      </c>
      <c r="N4" s="176" t="s">
        <v>23</v>
      </c>
      <c r="O4" s="176" t="s">
        <v>57</v>
      </c>
      <c r="P4" s="176" t="s">
        <v>288</v>
      </c>
      <c r="Q4" s="176" t="s">
        <v>24</v>
      </c>
      <c r="R4" s="898" t="s">
        <v>23</v>
      </c>
      <c r="S4" s="899"/>
    </row>
    <row r="5" spans="2:19" s="122" customFormat="1" ht="18" customHeight="1">
      <c r="B5" s="882"/>
      <c r="C5" s="883"/>
      <c r="D5" s="166" t="s">
        <v>91</v>
      </c>
      <c r="E5" s="183"/>
      <c r="F5" s="178">
        <v>0</v>
      </c>
      <c r="G5" s="164"/>
      <c r="H5" s="162"/>
      <c r="I5" s="162"/>
      <c r="J5" s="162"/>
      <c r="K5" s="177" t="s">
        <v>395</v>
      </c>
      <c r="L5" s="178">
        <f>6000*'１　対象経営の概要，２　前提条件'!$AM$28/'１　対象経営の概要，２　前提条件'!$AM$28</f>
        <v>6000</v>
      </c>
      <c r="M5" s="178">
        <v>133</v>
      </c>
      <c r="N5" s="178">
        <f aca="true" t="shared" si="0" ref="N5:N11">L5*M5</f>
        <v>798000</v>
      </c>
      <c r="O5" s="178"/>
      <c r="P5" s="178"/>
      <c r="Q5" s="178"/>
      <c r="R5" s="889">
        <f>P5*Q5</f>
        <v>0</v>
      </c>
      <c r="S5" s="890"/>
    </row>
    <row r="6" spans="2:19" s="122" customFormat="1" ht="18" customHeight="1">
      <c r="B6" s="849" t="s">
        <v>240</v>
      </c>
      <c r="C6" s="846" t="s">
        <v>226</v>
      </c>
      <c r="D6" s="178" t="s">
        <v>59</v>
      </c>
      <c r="E6" s="179"/>
      <c r="F6" s="178">
        <f>P15</f>
        <v>16500</v>
      </c>
      <c r="G6" s="164" t="s">
        <v>215</v>
      </c>
      <c r="H6" s="162"/>
      <c r="I6" s="162"/>
      <c r="J6" s="162"/>
      <c r="K6" s="474"/>
      <c r="L6" s="180"/>
      <c r="M6" s="178"/>
      <c r="N6" s="178">
        <f t="shared" si="0"/>
        <v>0</v>
      </c>
      <c r="O6" s="178"/>
      <c r="P6" s="178"/>
      <c r="Q6" s="178"/>
      <c r="R6" s="889">
        <f>P6*Q6</f>
        <v>0</v>
      </c>
      <c r="S6" s="890"/>
    </row>
    <row r="7" spans="2:19" s="122" customFormat="1" ht="18" customHeight="1">
      <c r="B7" s="850"/>
      <c r="C7" s="847"/>
      <c r="D7" s="178" t="s">
        <v>60</v>
      </c>
      <c r="E7" s="179"/>
      <c r="F7" s="178">
        <f>P22</f>
        <v>139623.85</v>
      </c>
      <c r="G7" s="166" t="s">
        <v>718</v>
      </c>
      <c r="H7" s="123"/>
      <c r="I7" s="123"/>
      <c r="J7" s="184"/>
      <c r="K7" s="181"/>
      <c r="L7" s="182"/>
      <c r="M7" s="178"/>
      <c r="N7" s="178">
        <f t="shared" si="0"/>
        <v>0</v>
      </c>
      <c r="O7" s="178"/>
      <c r="P7" s="178"/>
      <c r="Q7" s="178"/>
      <c r="R7" s="889">
        <f>P7*Q7</f>
        <v>0</v>
      </c>
      <c r="S7" s="890"/>
    </row>
    <row r="8" spans="2:19" s="122" customFormat="1" ht="18" customHeight="1">
      <c r="B8" s="850"/>
      <c r="C8" s="847"/>
      <c r="D8" s="178" t="s">
        <v>61</v>
      </c>
      <c r="E8" s="179"/>
      <c r="F8" s="178">
        <f>P28</f>
        <v>62280.01016666667</v>
      </c>
      <c r="G8" s="164" t="s">
        <v>719</v>
      </c>
      <c r="H8" s="162"/>
      <c r="I8" s="162"/>
      <c r="J8" s="185"/>
      <c r="K8" s="179"/>
      <c r="L8" s="178"/>
      <c r="M8" s="178"/>
      <c r="N8" s="178">
        <f t="shared" si="0"/>
        <v>0</v>
      </c>
      <c r="O8" s="178"/>
      <c r="P8" s="178"/>
      <c r="Q8" s="178"/>
      <c r="R8" s="889">
        <f>P8*Q8</f>
        <v>0</v>
      </c>
      <c r="S8" s="890"/>
    </row>
    <row r="9" spans="2:19" s="122" customFormat="1" ht="18" customHeight="1">
      <c r="B9" s="850"/>
      <c r="C9" s="847"/>
      <c r="D9" s="178" t="s">
        <v>92</v>
      </c>
      <c r="E9" s="179"/>
      <c r="F9" s="178">
        <f>P37</f>
        <v>35807.680799999995</v>
      </c>
      <c r="G9" s="164" t="s">
        <v>720</v>
      </c>
      <c r="H9" s="162"/>
      <c r="I9" s="162"/>
      <c r="J9" s="185"/>
      <c r="K9" s="179"/>
      <c r="L9" s="178"/>
      <c r="M9" s="178"/>
      <c r="N9" s="178">
        <f t="shared" si="0"/>
        <v>0</v>
      </c>
      <c r="O9" s="178"/>
      <c r="P9" s="178"/>
      <c r="Q9" s="178"/>
      <c r="R9" s="889">
        <f>P9*Q9</f>
        <v>0</v>
      </c>
      <c r="S9" s="890"/>
    </row>
    <row r="10" spans="2:19" s="122" customFormat="1" ht="18" customHeight="1">
      <c r="B10" s="850"/>
      <c r="C10" s="847"/>
      <c r="D10" s="178" t="s">
        <v>62</v>
      </c>
      <c r="E10" s="179"/>
      <c r="F10" s="178">
        <f>'８－３　水稲算出基礎（加工用米）'!V21</f>
        <v>5806.666666666667</v>
      </c>
      <c r="G10" s="889" t="s">
        <v>721</v>
      </c>
      <c r="H10" s="891"/>
      <c r="I10" s="891"/>
      <c r="J10" s="890"/>
      <c r="K10" s="179"/>
      <c r="L10" s="178"/>
      <c r="M10" s="178"/>
      <c r="N10" s="178">
        <f t="shared" si="0"/>
        <v>0</v>
      </c>
      <c r="O10" s="178"/>
      <c r="P10" s="178"/>
      <c r="Q10" s="178"/>
      <c r="R10" s="889"/>
      <c r="S10" s="890"/>
    </row>
    <row r="11" spans="2:19" s="122" customFormat="1" ht="18" customHeight="1" thickBot="1">
      <c r="B11" s="850"/>
      <c r="C11" s="847"/>
      <c r="D11" s="178" t="s">
        <v>6</v>
      </c>
      <c r="E11" s="179"/>
      <c r="F11" s="178">
        <f>'８－３　水稲算出基礎（加工用米）'!V34</f>
        <v>83.33333333333333</v>
      </c>
      <c r="G11" s="889" t="s">
        <v>721</v>
      </c>
      <c r="H11" s="891"/>
      <c r="I11" s="891"/>
      <c r="J11" s="890"/>
      <c r="K11" s="447"/>
      <c r="L11" s="180"/>
      <c r="M11" s="180"/>
      <c r="N11" s="178">
        <f t="shared" si="0"/>
        <v>0</v>
      </c>
      <c r="O11" s="448" t="s">
        <v>25</v>
      </c>
      <c r="P11" s="449">
        <f>SUM(L5:L11,P5:Q10)</f>
        <v>6000</v>
      </c>
      <c r="Q11" s="450">
        <f>R11/P11</f>
        <v>133</v>
      </c>
      <c r="R11" s="884">
        <f>SUM(N5:N11,R5:S10)</f>
        <v>798000</v>
      </c>
      <c r="S11" s="885"/>
    </row>
    <row r="12" spans="2:19" s="122" customFormat="1" ht="18" customHeight="1" thickTop="1">
      <c r="B12" s="850"/>
      <c r="C12" s="847"/>
      <c r="D12" s="178" t="s">
        <v>7</v>
      </c>
      <c r="E12" s="179"/>
      <c r="F12" s="178">
        <v>10800</v>
      </c>
      <c r="G12" s="164"/>
      <c r="H12" s="162" t="s">
        <v>429</v>
      </c>
      <c r="I12" s="162"/>
      <c r="J12" s="185"/>
      <c r="K12" s="900" t="s">
        <v>241</v>
      </c>
      <c r="L12" s="475" t="s">
        <v>183</v>
      </c>
      <c r="M12" s="172" t="s">
        <v>9</v>
      </c>
      <c r="N12" s="173" t="s">
        <v>286</v>
      </c>
      <c r="O12" s="173" t="s">
        <v>24</v>
      </c>
      <c r="P12" s="173" t="s">
        <v>27</v>
      </c>
      <c r="Q12" s="886" t="s">
        <v>28</v>
      </c>
      <c r="R12" s="887"/>
      <c r="S12" s="888"/>
    </row>
    <row r="13" spans="2:19" s="122" customFormat="1" ht="18" customHeight="1">
      <c r="B13" s="850"/>
      <c r="C13" s="847"/>
      <c r="D13" s="879" t="s">
        <v>63</v>
      </c>
      <c r="E13" s="178" t="s">
        <v>210</v>
      </c>
      <c r="F13" s="178">
        <f>'（参考）水稲資本装備'!L15*'７－３　水稲部門（加工用米）収支'!H13</f>
        <v>7150.0344827586205</v>
      </c>
      <c r="G13" s="164" t="s">
        <v>216</v>
      </c>
      <c r="H13" s="451">
        <v>0.01</v>
      </c>
      <c r="I13" s="891" t="s">
        <v>222</v>
      </c>
      <c r="J13" s="890"/>
      <c r="K13" s="850"/>
      <c r="L13" s="478" t="s">
        <v>466</v>
      </c>
      <c r="M13" s="171" t="s">
        <v>175</v>
      </c>
      <c r="N13" s="128">
        <f>30</f>
        <v>30</v>
      </c>
      <c r="O13" s="128">
        <v>550</v>
      </c>
      <c r="P13" s="128">
        <f>N13*O13</f>
        <v>16500</v>
      </c>
      <c r="Q13" s="892" t="s">
        <v>279</v>
      </c>
      <c r="R13" s="893"/>
      <c r="S13" s="894"/>
    </row>
    <row r="14" spans="2:19" s="122" customFormat="1" ht="18" customHeight="1">
      <c r="B14" s="850"/>
      <c r="C14" s="847"/>
      <c r="D14" s="880"/>
      <c r="E14" s="178" t="s">
        <v>211</v>
      </c>
      <c r="F14" s="178">
        <f>'（参考）水稲資本装備'!L51*'７－３　水稲部門（加工用米）収支'!H14</f>
        <v>75832.22988505747</v>
      </c>
      <c r="G14" s="164" t="s">
        <v>216</v>
      </c>
      <c r="H14" s="451">
        <v>0.05</v>
      </c>
      <c r="I14" s="891" t="s">
        <v>222</v>
      </c>
      <c r="J14" s="890"/>
      <c r="K14" s="901"/>
      <c r="L14" s="174"/>
      <c r="M14" s="171"/>
      <c r="N14" s="128"/>
      <c r="O14" s="128"/>
      <c r="P14" s="128">
        <f>N14*O14</f>
        <v>0</v>
      </c>
      <c r="Q14" s="892"/>
      <c r="R14" s="893"/>
      <c r="S14" s="894"/>
    </row>
    <row r="15" spans="2:19" s="122" customFormat="1" ht="18" customHeight="1" thickBot="1">
      <c r="B15" s="850"/>
      <c r="C15" s="847"/>
      <c r="D15" s="879" t="s">
        <v>93</v>
      </c>
      <c r="E15" s="178" t="s">
        <v>210</v>
      </c>
      <c r="F15" s="178">
        <f>'（参考）水稲資本装備'!P15</f>
        <v>37498.96551724138</v>
      </c>
      <c r="G15" s="164" t="s">
        <v>222</v>
      </c>
      <c r="H15" s="162"/>
      <c r="I15" s="162"/>
      <c r="J15" s="185"/>
      <c r="K15" s="901"/>
      <c r="L15" s="452" t="s">
        <v>29</v>
      </c>
      <c r="M15" s="453"/>
      <c r="N15" s="452"/>
      <c r="O15" s="452"/>
      <c r="P15" s="452">
        <f>SUM(P13:P14)</f>
        <v>16500</v>
      </c>
      <c r="Q15" s="868"/>
      <c r="R15" s="869"/>
      <c r="S15" s="870"/>
    </row>
    <row r="16" spans="2:19" s="122" customFormat="1" ht="18" customHeight="1" thickTop="1">
      <c r="B16" s="850"/>
      <c r="C16" s="847"/>
      <c r="D16" s="881"/>
      <c r="E16" s="178" t="s">
        <v>211</v>
      </c>
      <c r="F16" s="178">
        <f>'（参考）水稲資本装備'!P51</f>
        <v>225491.1001642036</v>
      </c>
      <c r="G16" s="164" t="s">
        <v>222</v>
      </c>
      <c r="H16" s="162"/>
      <c r="I16" s="162"/>
      <c r="J16" s="185"/>
      <c r="K16" s="901"/>
      <c r="L16" s="476" t="s">
        <v>184</v>
      </c>
      <c r="M16" s="168"/>
      <c r="N16" s="169" t="s">
        <v>286</v>
      </c>
      <c r="O16" s="169" t="s">
        <v>24</v>
      </c>
      <c r="P16" s="170" t="s">
        <v>27</v>
      </c>
      <c r="Q16" s="873" t="s">
        <v>28</v>
      </c>
      <c r="R16" s="874"/>
      <c r="S16" s="875"/>
    </row>
    <row r="17" spans="2:19" s="122" customFormat="1" ht="18" customHeight="1">
      <c r="B17" s="850"/>
      <c r="C17" s="847"/>
      <c r="D17" s="880"/>
      <c r="E17" s="178" t="s">
        <v>64</v>
      </c>
      <c r="F17" s="178">
        <f>'（参考）水稲資本装備'!P56</f>
        <v>0</v>
      </c>
      <c r="G17" s="164" t="s">
        <v>222</v>
      </c>
      <c r="H17" s="162"/>
      <c r="I17" s="162"/>
      <c r="J17" s="185"/>
      <c r="K17" s="901"/>
      <c r="L17" s="166" t="s">
        <v>190</v>
      </c>
      <c r="M17" s="171"/>
      <c r="N17" s="164" t="s">
        <v>355</v>
      </c>
      <c r="O17" s="165"/>
      <c r="P17" s="164">
        <f>'８－３　水稲算出基礎（加工用米）'!G7</f>
        <v>0</v>
      </c>
      <c r="Q17" s="868"/>
      <c r="R17" s="869"/>
      <c r="S17" s="870"/>
    </row>
    <row r="18" spans="1:19" s="122" customFormat="1" ht="18" customHeight="1">
      <c r="A18" s="442"/>
      <c r="B18" s="850"/>
      <c r="C18" s="847"/>
      <c r="D18" s="862" t="s">
        <v>291</v>
      </c>
      <c r="E18" s="182" t="s">
        <v>128</v>
      </c>
      <c r="F18" s="178">
        <v>0</v>
      </c>
      <c r="G18" s="164"/>
      <c r="H18" s="162"/>
      <c r="I18" s="162"/>
      <c r="J18" s="185"/>
      <c r="K18" s="901"/>
      <c r="L18" s="166" t="s">
        <v>188</v>
      </c>
      <c r="M18" s="171"/>
      <c r="N18" s="164" t="s">
        <v>305</v>
      </c>
      <c r="O18" s="165"/>
      <c r="P18" s="164">
        <f>'８－３　水稲算出基礎（加工用米）'!G11</f>
        <v>38400</v>
      </c>
      <c r="Q18" s="868"/>
      <c r="R18" s="869"/>
      <c r="S18" s="870"/>
    </row>
    <row r="19" spans="1:19" s="122" customFormat="1" ht="18" customHeight="1">
      <c r="A19" s="442"/>
      <c r="B19" s="850"/>
      <c r="C19" s="847"/>
      <c r="D19" s="862"/>
      <c r="E19" s="182" t="s">
        <v>124</v>
      </c>
      <c r="F19" s="178">
        <f>J19*'５－１　水稲（食用米，加工用米）作業時間'!AO34</f>
        <v>37290.00000000001</v>
      </c>
      <c r="G19" s="164"/>
      <c r="H19" s="162"/>
      <c r="I19" s="195" t="s">
        <v>375</v>
      </c>
      <c r="J19" s="454">
        <v>1100</v>
      </c>
      <c r="K19" s="901"/>
      <c r="L19" s="164" t="s">
        <v>189</v>
      </c>
      <c r="M19" s="162"/>
      <c r="N19" s="164" t="s">
        <v>305</v>
      </c>
      <c r="O19" s="165"/>
      <c r="P19" s="164">
        <f>'８－３　水稲算出基礎（加工用米）'!G16</f>
        <v>80500</v>
      </c>
      <c r="Q19" s="868"/>
      <c r="R19" s="869"/>
      <c r="S19" s="870"/>
    </row>
    <row r="20" spans="1:19" s="122" customFormat="1" ht="18" customHeight="1">
      <c r="A20" s="442"/>
      <c r="B20" s="850"/>
      <c r="C20" s="847"/>
      <c r="D20" s="862"/>
      <c r="E20" s="182" t="s">
        <v>125</v>
      </c>
      <c r="F20" s="178">
        <f>J20*'５－１　水稲（食用米，加工用米）作業時間'!AP34</f>
        <v>55800</v>
      </c>
      <c r="G20" s="164"/>
      <c r="H20" s="162"/>
      <c r="I20" s="195" t="s">
        <v>376</v>
      </c>
      <c r="J20" s="454">
        <v>900</v>
      </c>
      <c r="K20" s="901"/>
      <c r="L20" s="164" t="s">
        <v>191</v>
      </c>
      <c r="M20" s="162"/>
      <c r="N20" s="164"/>
      <c r="O20" s="165"/>
      <c r="P20" s="164">
        <f>'８－３　水稲算出基礎（加工用米）'!G20</f>
        <v>0</v>
      </c>
      <c r="Q20" s="868"/>
      <c r="R20" s="869"/>
      <c r="S20" s="870"/>
    </row>
    <row r="21" spans="1:19" s="122" customFormat="1" ht="18" customHeight="1">
      <c r="A21" s="442"/>
      <c r="B21" s="850"/>
      <c r="C21" s="847"/>
      <c r="D21" s="862"/>
      <c r="E21" s="182" t="s">
        <v>126</v>
      </c>
      <c r="F21" s="178">
        <f>(F19+F20)*0.012</f>
        <v>1117.08</v>
      </c>
      <c r="G21" s="164"/>
      <c r="H21" s="162"/>
      <c r="I21" s="162"/>
      <c r="J21" s="185"/>
      <c r="K21" s="901"/>
      <c r="L21" s="164" t="s">
        <v>192</v>
      </c>
      <c r="M21" s="162"/>
      <c r="N21" s="164" t="s">
        <v>355</v>
      </c>
      <c r="O21" s="164"/>
      <c r="P21" s="164">
        <f>'８－３　水稲算出基礎（加工用米）'!G24</f>
        <v>20723.85</v>
      </c>
      <c r="Q21" s="868"/>
      <c r="R21" s="869"/>
      <c r="S21" s="870"/>
    </row>
    <row r="22" spans="1:19" s="122" customFormat="1" ht="18" customHeight="1" thickBot="1">
      <c r="A22" s="442"/>
      <c r="B22" s="850"/>
      <c r="C22" s="847"/>
      <c r="D22" s="862" t="s">
        <v>65</v>
      </c>
      <c r="E22" s="182" t="s">
        <v>66</v>
      </c>
      <c r="F22" s="178">
        <f>I22*10</f>
        <v>23760</v>
      </c>
      <c r="G22" s="164"/>
      <c r="H22" s="162"/>
      <c r="I22" s="162">
        <v>2376</v>
      </c>
      <c r="J22" s="185" t="s">
        <v>374</v>
      </c>
      <c r="K22" s="901"/>
      <c r="L22" s="452" t="s">
        <v>29</v>
      </c>
      <c r="M22" s="453"/>
      <c r="N22" s="452"/>
      <c r="O22" s="452"/>
      <c r="P22" s="452">
        <f>SUM(P17:P21)</f>
        <v>139623.85</v>
      </c>
      <c r="Q22" s="868"/>
      <c r="R22" s="869"/>
      <c r="S22" s="870"/>
    </row>
    <row r="23" spans="1:19" s="122" customFormat="1" ht="18" customHeight="1" thickTop="1">
      <c r="A23" s="442"/>
      <c r="B23" s="850"/>
      <c r="C23" s="847"/>
      <c r="D23" s="862"/>
      <c r="E23" s="182" t="s">
        <v>94</v>
      </c>
      <c r="F23" s="178">
        <f>I23*10</f>
        <v>50000</v>
      </c>
      <c r="G23" s="164"/>
      <c r="H23" s="162"/>
      <c r="I23" s="162">
        <v>5000</v>
      </c>
      <c r="J23" s="185" t="s">
        <v>374</v>
      </c>
      <c r="K23" s="901"/>
      <c r="L23" s="164" t="s">
        <v>185</v>
      </c>
      <c r="M23" s="162"/>
      <c r="N23" s="163" t="s">
        <v>26</v>
      </c>
      <c r="O23" s="163" t="s">
        <v>24</v>
      </c>
      <c r="P23" s="163" t="s">
        <v>27</v>
      </c>
      <c r="Q23" s="873" t="s">
        <v>28</v>
      </c>
      <c r="R23" s="874"/>
      <c r="S23" s="875"/>
    </row>
    <row r="24" spans="1:19" s="122" customFormat="1" ht="18" customHeight="1">
      <c r="A24" s="442"/>
      <c r="B24" s="850"/>
      <c r="C24" s="847"/>
      <c r="D24" s="178" t="s">
        <v>67</v>
      </c>
      <c r="E24" s="179"/>
      <c r="F24" s="178">
        <f>I24*10</f>
        <v>30000</v>
      </c>
      <c r="G24" s="164"/>
      <c r="H24" s="162"/>
      <c r="I24" s="123">
        <v>3000</v>
      </c>
      <c r="J24" s="185" t="s">
        <v>374</v>
      </c>
      <c r="K24" s="901"/>
      <c r="L24" s="164" t="s">
        <v>30</v>
      </c>
      <c r="M24" s="162"/>
      <c r="N24" s="164" t="s">
        <v>357</v>
      </c>
      <c r="O24" s="164"/>
      <c r="P24" s="164">
        <f>'８－３　水稲算出基礎（加工用米）'!G38</f>
        <v>5222.634</v>
      </c>
      <c r="Q24" s="868"/>
      <c r="R24" s="869"/>
      <c r="S24" s="870"/>
    </row>
    <row r="25" spans="1:19" s="122" customFormat="1" ht="18" customHeight="1">
      <c r="A25" s="442"/>
      <c r="B25" s="850"/>
      <c r="C25" s="847"/>
      <c r="D25" s="178" t="s">
        <v>187</v>
      </c>
      <c r="E25" s="179"/>
      <c r="F25" s="178">
        <f>SUM(F6:F24)/99</f>
        <v>8230.716676928563</v>
      </c>
      <c r="G25" s="186" t="s">
        <v>243</v>
      </c>
      <c r="H25" s="200">
        <v>0.01</v>
      </c>
      <c r="I25" s="123"/>
      <c r="J25" s="184"/>
      <c r="K25" s="901"/>
      <c r="L25" s="164" t="s">
        <v>31</v>
      </c>
      <c r="M25" s="162"/>
      <c r="N25" s="164" t="s">
        <v>359</v>
      </c>
      <c r="O25" s="164"/>
      <c r="P25" s="164">
        <f>'８－３　水稲算出基礎（加工用米）'!G49</f>
        <v>4090.863</v>
      </c>
      <c r="Q25" s="868"/>
      <c r="R25" s="869"/>
      <c r="S25" s="870"/>
    </row>
    <row r="26" spans="1:19" s="122" customFormat="1" ht="18" customHeight="1">
      <c r="A26" s="442"/>
      <c r="B26" s="850"/>
      <c r="C26" s="848"/>
      <c r="D26" s="871" t="s">
        <v>234</v>
      </c>
      <c r="E26" s="872"/>
      <c r="F26" s="178">
        <f>SUM(F6:F25)</f>
        <v>823071.6676928563</v>
      </c>
      <c r="G26" s="164"/>
      <c r="H26" s="123"/>
      <c r="I26" s="123"/>
      <c r="J26" s="184"/>
      <c r="K26" s="901"/>
      <c r="L26" s="164" t="s">
        <v>32</v>
      </c>
      <c r="M26" s="162"/>
      <c r="N26" s="164" t="s">
        <v>355</v>
      </c>
      <c r="O26" s="164"/>
      <c r="P26" s="164">
        <f>'８－３　水稲算出基礎（加工用米）'!G53</f>
        <v>24330</v>
      </c>
      <c r="Q26" s="868"/>
      <c r="R26" s="869"/>
      <c r="S26" s="870"/>
    </row>
    <row r="27" spans="1:19" s="122" customFormat="1" ht="18" customHeight="1">
      <c r="A27" s="442"/>
      <c r="B27" s="850"/>
      <c r="C27" s="863" t="s">
        <v>217</v>
      </c>
      <c r="D27" s="784" t="s">
        <v>68</v>
      </c>
      <c r="E27" s="41" t="s">
        <v>3</v>
      </c>
      <c r="F27" s="178">
        <f>P11/30*J27</f>
        <v>16000</v>
      </c>
      <c r="G27" s="166"/>
      <c r="H27" s="162"/>
      <c r="I27" s="122" t="s">
        <v>381</v>
      </c>
      <c r="J27" s="265">
        <v>80</v>
      </c>
      <c r="K27" s="901"/>
      <c r="L27" s="164" t="s">
        <v>356</v>
      </c>
      <c r="M27" s="162"/>
      <c r="N27" s="164" t="s">
        <v>359</v>
      </c>
      <c r="O27" s="164"/>
      <c r="P27" s="164">
        <f>'８－３　水稲算出基礎（加工用米）'!G57</f>
        <v>28636.513166666664</v>
      </c>
      <c r="Q27" s="868"/>
      <c r="R27" s="869"/>
      <c r="S27" s="870"/>
    </row>
    <row r="28" spans="1:19" s="122" customFormat="1" ht="18" customHeight="1" thickBot="1">
      <c r="A28" s="442"/>
      <c r="B28" s="850"/>
      <c r="C28" s="864"/>
      <c r="D28" s="785"/>
      <c r="E28" s="41" t="s">
        <v>4</v>
      </c>
      <c r="F28" s="199">
        <v>0</v>
      </c>
      <c r="G28" s="166"/>
      <c r="H28" s="187"/>
      <c r="I28" s="187"/>
      <c r="J28" s="188"/>
      <c r="K28" s="901"/>
      <c r="L28" s="452" t="s">
        <v>29</v>
      </c>
      <c r="M28" s="453"/>
      <c r="N28" s="452"/>
      <c r="O28" s="452"/>
      <c r="P28" s="452">
        <f>SUM(P24:P27)</f>
        <v>62280.01016666667</v>
      </c>
      <c r="Q28" s="868"/>
      <c r="R28" s="869"/>
      <c r="S28" s="870"/>
    </row>
    <row r="29" spans="1:19" s="122" customFormat="1" ht="18" customHeight="1" thickTop="1">
      <c r="A29" s="442"/>
      <c r="B29" s="850"/>
      <c r="C29" s="864"/>
      <c r="D29" s="786"/>
      <c r="E29" s="41" t="s">
        <v>8</v>
      </c>
      <c r="F29" s="178">
        <f>P11/30*J29</f>
        <v>5000</v>
      </c>
      <c r="G29" s="166"/>
      <c r="H29" s="123"/>
      <c r="I29" s="187" t="s">
        <v>382</v>
      </c>
      <c r="J29" s="266">
        <v>25</v>
      </c>
      <c r="K29" s="901"/>
      <c r="L29" s="164" t="s">
        <v>186</v>
      </c>
      <c r="M29" s="162"/>
      <c r="N29" s="163" t="s">
        <v>26</v>
      </c>
      <c r="O29" s="163" t="s">
        <v>24</v>
      </c>
      <c r="P29" s="163" t="s">
        <v>27</v>
      </c>
      <c r="Q29" s="873" t="s">
        <v>28</v>
      </c>
      <c r="R29" s="874"/>
      <c r="S29" s="875"/>
    </row>
    <row r="30" spans="1:19" s="122" customFormat="1" ht="18" customHeight="1">
      <c r="A30" s="442"/>
      <c r="B30" s="850"/>
      <c r="C30" s="864"/>
      <c r="D30" s="41" t="s">
        <v>69</v>
      </c>
      <c r="E30" s="42"/>
      <c r="F30" s="178">
        <v>0</v>
      </c>
      <c r="G30" s="166"/>
      <c r="H30" s="123"/>
      <c r="I30" s="187"/>
      <c r="J30" s="189"/>
      <c r="K30" s="901"/>
      <c r="L30" s="164" t="s">
        <v>49</v>
      </c>
      <c r="M30" s="162"/>
      <c r="N30" s="164" t="s">
        <v>360</v>
      </c>
      <c r="O30" s="165"/>
      <c r="P30" s="164">
        <f>'８－３　水稲算出基礎（加工用米）'!N12</f>
        <v>9638.859999999999</v>
      </c>
      <c r="Q30" s="876"/>
      <c r="R30" s="877"/>
      <c r="S30" s="878"/>
    </row>
    <row r="31" spans="1:19" s="122" customFormat="1" ht="18" customHeight="1">
      <c r="A31" s="442"/>
      <c r="B31" s="850"/>
      <c r="C31" s="864"/>
      <c r="D31" s="787" t="s">
        <v>292</v>
      </c>
      <c r="E31" s="31" t="s">
        <v>128</v>
      </c>
      <c r="F31" s="199">
        <v>0</v>
      </c>
      <c r="G31" s="166"/>
      <c r="H31" s="190"/>
      <c r="I31" s="190"/>
      <c r="J31" s="191"/>
      <c r="K31" s="901"/>
      <c r="L31" s="164" t="s">
        <v>48</v>
      </c>
      <c r="M31" s="162"/>
      <c r="N31" s="164" t="s">
        <v>361</v>
      </c>
      <c r="O31" s="165"/>
      <c r="P31" s="164">
        <f>'８－３　水稲算出基礎（加工用米）'!N16</f>
        <v>1463.6159999999998</v>
      </c>
      <c r="Q31" s="876"/>
      <c r="R31" s="877"/>
      <c r="S31" s="878"/>
    </row>
    <row r="32" spans="1:19" s="122" customFormat="1" ht="18" customHeight="1">
      <c r="A32" s="442"/>
      <c r="B32" s="850"/>
      <c r="C32" s="864"/>
      <c r="D32" s="787"/>
      <c r="E32" s="31" t="s">
        <v>127</v>
      </c>
      <c r="F32" s="199">
        <v>0</v>
      </c>
      <c r="G32" s="166"/>
      <c r="H32" s="192"/>
      <c r="I32" s="192"/>
      <c r="J32" s="193"/>
      <c r="K32" s="901"/>
      <c r="L32" s="164" t="s">
        <v>50</v>
      </c>
      <c r="M32" s="162"/>
      <c r="N32" s="165"/>
      <c r="O32" s="165"/>
      <c r="P32" s="164">
        <f>SUM(P30:P31)*R32</f>
        <v>3330.7427999999995</v>
      </c>
      <c r="Q32" s="166" t="s">
        <v>33</v>
      </c>
      <c r="R32" s="167">
        <v>0.3</v>
      </c>
      <c r="S32" s="124"/>
    </row>
    <row r="33" spans="2:19" ht="18" customHeight="1">
      <c r="B33" s="850"/>
      <c r="C33" s="864"/>
      <c r="D33" s="41" t="s">
        <v>70</v>
      </c>
      <c r="E33" s="42"/>
      <c r="F33" s="199">
        <v>0</v>
      </c>
      <c r="G33" s="166"/>
      <c r="H33" s="194"/>
      <c r="I33" s="195"/>
      <c r="J33" s="189"/>
      <c r="K33" s="901"/>
      <c r="L33" s="164" t="s">
        <v>51</v>
      </c>
      <c r="M33" s="162"/>
      <c r="N33" s="164"/>
      <c r="O33" s="165"/>
      <c r="P33" s="164">
        <f>'８－３　水稲算出基礎（加工用米）'!N20</f>
        <v>0</v>
      </c>
      <c r="Q33" s="868"/>
      <c r="R33" s="869"/>
      <c r="S33" s="870"/>
    </row>
    <row r="34" spans="2:19" ht="18" customHeight="1">
      <c r="B34" s="850"/>
      <c r="C34" s="864"/>
      <c r="D34" s="41" t="s">
        <v>95</v>
      </c>
      <c r="E34" s="42"/>
      <c r="F34" s="199">
        <v>0</v>
      </c>
      <c r="G34" s="166"/>
      <c r="H34" s="196"/>
      <c r="I34" s="197"/>
      <c r="J34" s="198"/>
      <c r="K34" s="901"/>
      <c r="L34" s="164" t="s">
        <v>52</v>
      </c>
      <c r="M34" s="162"/>
      <c r="N34" s="164" t="s">
        <v>361</v>
      </c>
      <c r="O34" s="165"/>
      <c r="P34" s="164">
        <f>'８－３　水稲算出基礎（加工用米）'!N24</f>
        <v>17563.242</v>
      </c>
      <c r="Q34" s="868"/>
      <c r="R34" s="869"/>
      <c r="S34" s="870"/>
    </row>
    <row r="35" spans="2:19" ht="18" customHeight="1">
      <c r="B35" s="850"/>
      <c r="C35" s="864"/>
      <c r="D35" s="41" t="s">
        <v>131</v>
      </c>
      <c r="E35" s="42"/>
      <c r="F35" s="199">
        <f>'８－３　水稲算出基礎（加工用米）'!V57</f>
        <v>7952.777777777778</v>
      </c>
      <c r="G35" s="889" t="s">
        <v>721</v>
      </c>
      <c r="H35" s="891"/>
      <c r="I35" s="891"/>
      <c r="J35" s="890"/>
      <c r="K35" s="901"/>
      <c r="L35" s="164" t="s">
        <v>290</v>
      </c>
      <c r="M35" s="162"/>
      <c r="N35" s="164"/>
      <c r="O35" s="165"/>
      <c r="P35" s="164">
        <f>'８－３　水稲算出基礎（加工用米）'!N28</f>
        <v>0</v>
      </c>
      <c r="Q35" s="868"/>
      <c r="R35" s="869"/>
      <c r="S35" s="870"/>
    </row>
    <row r="36" spans="2:19" ht="18" customHeight="1">
      <c r="B36" s="850"/>
      <c r="C36" s="864"/>
      <c r="D36" s="41" t="s">
        <v>96</v>
      </c>
      <c r="E36" s="42"/>
      <c r="F36" s="199">
        <v>0</v>
      </c>
      <c r="G36" s="164"/>
      <c r="H36" s="196"/>
      <c r="I36" s="197"/>
      <c r="J36" s="189"/>
      <c r="K36" s="901"/>
      <c r="L36" s="164" t="s">
        <v>53</v>
      </c>
      <c r="M36" s="162"/>
      <c r="N36" s="164" t="s">
        <v>362</v>
      </c>
      <c r="O36" s="165"/>
      <c r="P36" s="164">
        <f>'８－３　水稲算出基礎（加工用米）'!N32</f>
        <v>3811.2200000000003</v>
      </c>
      <c r="Q36" s="868"/>
      <c r="R36" s="869"/>
      <c r="S36" s="870"/>
    </row>
    <row r="37" spans="2:19" ht="18" customHeight="1" thickBot="1">
      <c r="B37" s="850"/>
      <c r="C37" s="864"/>
      <c r="D37" s="41" t="s">
        <v>71</v>
      </c>
      <c r="E37" s="42"/>
      <c r="F37" s="199">
        <f>'８－３　水稲算出基礎（加工用米）'!N57</f>
        <v>4131.101126436782</v>
      </c>
      <c r="G37" s="889" t="s">
        <v>721</v>
      </c>
      <c r="H37" s="891"/>
      <c r="I37" s="891"/>
      <c r="J37" s="890"/>
      <c r="K37" s="902"/>
      <c r="L37" s="455" t="s">
        <v>29</v>
      </c>
      <c r="M37" s="456"/>
      <c r="N37" s="455"/>
      <c r="O37" s="455"/>
      <c r="P37" s="455">
        <f>SUM(P30:P36)</f>
        <v>35807.680799999995</v>
      </c>
      <c r="Q37" s="903"/>
      <c r="R37" s="904"/>
      <c r="S37" s="905"/>
    </row>
    <row r="38" spans="1:10" s="457" customFormat="1" ht="18" customHeight="1">
      <c r="A38" s="442"/>
      <c r="B38" s="850"/>
      <c r="C38" s="864"/>
      <c r="D38" s="41" t="s">
        <v>0</v>
      </c>
      <c r="E38" s="42"/>
      <c r="F38" s="199">
        <v>0</v>
      </c>
      <c r="G38" s="166"/>
      <c r="H38" s="196"/>
      <c r="I38" s="197"/>
      <c r="J38" s="189"/>
    </row>
    <row r="39" spans="1:20" s="457" customFormat="1" ht="18" customHeight="1" thickBot="1">
      <c r="A39" s="442"/>
      <c r="B39" s="851"/>
      <c r="C39" s="865"/>
      <c r="D39" s="866" t="s">
        <v>233</v>
      </c>
      <c r="E39" s="867"/>
      <c r="F39" s="458">
        <f>SUM(F27:F38)</f>
        <v>33083.87890421456</v>
      </c>
      <c r="G39" s="459"/>
      <c r="H39" s="460"/>
      <c r="I39" s="461"/>
      <c r="J39" s="462"/>
      <c r="T39" s="365"/>
    </row>
    <row r="40" spans="1:23" s="457" customFormat="1" ht="18" customHeight="1">
      <c r="A40" s="442"/>
      <c r="B40" s="852" t="s">
        <v>237</v>
      </c>
      <c r="C40" s="855" t="s">
        <v>73</v>
      </c>
      <c r="D40" s="463" t="s">
        <v>130</v>
      </c>
      <c r="E40" s="464"/>
      <c r="F40" s="161">
        <f>J40*10</f>
        <v>470000</v>
      </c>
      <c r="G40" s="164"/>
      <c r="H40" s="465"/>
      <c r="I40" s="465" t="s">
        <v>384</v>
      </c>
      <c r="J40" s="466">
        <v>47000</v>
      </c>
      <c r="T40" s="122"/>
      <c r="U40" s="122"/>
      <c r="V40" s="122"/>
      <c r="W40" s="122"/>
    </row>
    <row r="41" spans="1:23" s="457" customFormat="1" ht="18" customHeight="1">
      <c r="A41" s="442"/>
      <c r="B41" s="853"/>
      <c r="C41" s="856"/>
      <c r="D41" s="41" t="s">
        <v>129</v>
      </c>
      <c r="E41" s="42"/>
      <c r="F41" s="158">
        <v>0</v>
      </c>
      <c r="G41" s="164"/>
      <c r="H41" s="467"/>
      <c r="I41" s="467"/>
      <c r="J41" s="468"/>
      <c r="T41" s="469"/>
      <c r="U41" s="447"/>
      <c r="V41" s="470"/>
      <c r="W41" s="469"/>
    </row>
    <row r="42" spans="1:23" s="457" customFormat="1" ht="18" customHeight="1">
      <c r="A42" s="442"/>
      <c r="B42" s="853"/>
      <c r="C42" s="857"/>
      <c r="D42" s="41" t="s">
        <v>72</v>
      </c>
      <c r="E42" s="42"/>
      <c r="F42" s="159">
        <v>0</v>
      </c>
      <c r="G42" s="164"/>
      <c r="H42" s="467"/>
      <c r="I42" s="467"/>
      <c r="J42" s="468"/>
      <c r="T42" s="122"/>
      <c r="U42" s="122"/>
      <c r="V42" s="122"/>
      <c r="W42" s="122"/>
    </row>
    <row r="43" spans="2:23" s="457" customFormat="1" ht="18" customHeight="1">
      <c r="B43" s="853"/>
      <c r="C43" s="857" t="s">
        <v>236</v>
      </c>
      <c r="D43" s="41" t="s">
        <v>293</v>
      </c>
      <c r="E43" s="42"/>
      <c r="F43" s="159">
        <v>0</v>
      </c>
      <c r="G43" s="164"/>
      <c r="H43" s="467"/>
      <c r="I43" s="467"/>
      <c r="J43" s="468"/>
      <c r="T43" s="416"/>
      <c r="U43" s="365"/>
      <c r="V43" s="122"/>
      <c r="W43" s="469"/>
    </row>
    <row r="44" spans="2:23" s="457" customFormat="1" ht="18" customHeight="1">
      <c r="B44" s="853"/>
      <c r="C44" s="858"/>
      <c r="D44" s="43" t="s">
        <v>1</v>
      </c>
      <c r="E44" s="44"/>
      <c r="F44" s="159">
        <v>0</v>
      </c>
      <c r="G44" s="164"/>
      <c r="H44" s="467"/>
      <c r="I44" s="467"/>
      <c r="J44" s="468"/>
      <c r="T44" s="416"/>
      <c r="U44" s="365"/>
      <c r="V44" s="122"/>
      <c r="W44" s="469"/>
    </row>
    <row r="45" spans="2:23" s="457" customFormat="1" ht="18" customHeight="1" thickBot="1">
      <c r="B45" s="854"/>
      <c r="C45" s="859" t="s">
        <v>98</v>
      </c>
      <c r="D45" s="860"/>
      <c r="E45" s="861"/>
      <c r="F45" s="477">
        <f>SUM(F40:F42)-SUM(F43:F44)</f>
        <v>470000</v>
      </c>
      <c r="G45" s="471"/>
      <c r="H45" s="472"/>
      <c r="I45" s="472"/>
      <c r="J45" s="473"/>
      <c r="T45" s="122"/>
      <c r="U45" s="122"/>
      <c r="V45" s="447"/>
      <c r="W45" s="122"/>
    </row>
    <row r="49" spans="4:6" ht="13.5">
      <c r="D49" s="442" t="s">
        <v>365</v>
      </c>
      <c r="F49" s="442">
        <f>F4-F26</f>
        <v>-25071.66769285628</v>
      </c>
    </row>
  </sheetData>
  <sheetProtection/>
  <mergeCells count="58">
    <mergeCell ref="Q31:S31"/>
    <mergeCell ref="D15:D17"/>
    <mergeCell ref="G35:J35"/>
    <mergeCell ref="C6:C26"/>
    <mergeCell ref="D18:D21"/>
    <mergeCell ref="D13:D14"/>
    <mergeCell ref="D22:D23"/>
    <mergeCell ref="G10:J10"/>
    <mergeCell ref="D27:D29"/>
    <mergeCell ref="R11:S11"/>
    <mergeCell ref="Q37:S37"/>
    <mergeCell ref="D39:E39"/>
    <mergeCell ref="R6:S6"/>
    <mergeCell ref="R7:S7"/>
    <mergeCell ref="R8:S8"/>
    <mergeCell ref="Q34:S34"/>
    <mergeCell ref="I14:J14"/>
    <mergeCell ref="Q14:S14"/>
    <mergeCell ref="D31:D32"/>
    <mergeCell ref="Q26:S26"/>
    <mergeCell ref="B40:B45"/>
    <mergeCell ref="C40:C42"/>
    <mergeCell ref="C43:C44"/>
    <mergeCell ref="C45:E45"/>
    <mergeCell ref="K12:K37"/>
    <mergeCell ref="G37:J37"/>
    <mergeCell ref="B6:B39"/>
    <mergeCell ref="D26:E26"/>
    <mergeCell ref="C27:C39"/>
    <mergeCell ref="G11:J11"/>
    <mergeCell ref="I13:J13"/>
    <mergeCell ref="Q13:S13"/>
    <mergeCell ref="Q25:S25"/>
    <mergeCell ref="Q15:S15"/>
    <mergeCell ref="Q16:S16"/>
    <mergeCell ref="Q17:S17"/>
    <mergeCell ref="Q21:S21"/>
    <mergeCell ref="Q19:S19"/>
    <mergeCell ref="Q29:S29"/>
    <mergeCell ref="Q30:S30"/>
    <mergeCell ref="Q20:S20"/>
    <mergeCell ref="Q36:S36"/>
    <mergeCell ref="R9:S9"/>
    <mergeCell ref="Q27:S27"/>
    <mergeCell ref="Q28:S28"/>
    <mergeCell ref="Q18:S18"/>
    <mergeCell ref="Q35:S35"/>
    <mergeCell ref="R10:S10"/>
    <mergeCell ref="B3:E3"/>
    <mergeCell ref="K3:S3"/>
    <mergeCell ref="B4:C5"/>
    <mergeCell ref="R4:S4"/>
    <mergeCell ref="R5:S5"/>
    <mergeCell ref="Q33:S33"/>
    <mergeCell ref="Q22:S22"/>
    <mergeCell ref="Q23:S23"/>
    <mergeCell ref="Q12:S12"/>
    <mergeCell ref="Q24:S2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5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1" sqref="A1"/>
    </sheetView>
  </sheetViews>
  <sheetFormatPr defaultColWidth="10.875" defaultRowHeight="13.5"/>
  <cols>
    <col min="1" max="1" width="1.625" style="442" customWidth="1"/>
    <col min="2" max="2" width="5.875" style="442" customWidth="1"/>
    <col min="3" max="3" width="10.625" style="442" customWidth="1"/>
    <col min="4" max="4" width="12.375" style="442" customWidth="1"/>
    <col min="5" max="5" width="14.625" style="442" customWidth="1"/>
    <col min="6" max="7" width="15.875" style="442" customWidth="1"/>
    <col min="8" max="8" width="10.875" style="442" customWidth="1"/>
    <col min="9" max="9" width="11.375" style="442" bestFit="1" customWidth="1"/>
    <col min="10" max="10" width="13.375" style="442" customWidth="1"/>
    <col min="11" max="11" width="7.125" style="442" customWidth="1"/>
    <col min="12" max="12" width="15.375" style="442" customWidth="1"/>
    <col min="13" max="13" width="9.375" style="442" bestFit="1" customWidth="1"/>
    <col min="14" max="14" width="10.875" style="442" customWidth="1"/>
    <col min="15" max="15" width="7.25390625" style="442" customWidth="1"/>
    <col min="16" max="16" width="9.625" style="442" customWidth="1"/>
    <col min="17" max="17" width="10.875" style="442" customWidth="1"/>
    <col min="18" max="18" width="7.50390625" style="442" customWidth="1"/>
    <col min="19" max="19" width="3.75390625" style="442" customWidth="1"/>
    <col min="20" max="16384" width="10.875" style="442" customWidth="1"/>
  </cols>
  <sheetData>
    <row r="1" spans="2:19" s="122" customFormat="1" ht="9.75" customHeight="1"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2:15" s="122" customFormat="1" ht="24.75" customHeight="1" thickBot="1">
      <c r="B2" s="122" t="s">
        <v>568</v>
      </c>
      <c r="H2" s="416" t="s">
        <v>280</v>
      </c>
      <c r="I2" s="122" t="s">
        <v>475</v>
      </c>
      <c r="K2" s="416" t="s">
        <v>281</v>
      </c>
      <c r="L2" s="122" t="s">
        <v>283</v>
      </c>
      <c r="N2" s="442"/>
      <c r="O2" s="442"/>
    </row>
    <row r="3" spans="2:19" s="122" customFormat="1" ht="18" customHeight="1">
      <c r="B3" s="843" t="s">
        <v>20</v>
      </c>
      <c r="C3" s="844"/>
      <c r="D3" s="844"/>
      <c r="E3" s="845"/>
      <c r="F3" s="443" t="s">
        <v>21</v>
      </c>
      <c r="G3" s="444"/>
      <c r="H3" s="383" t="s">
        <v>22</v>
      </c>
      <c r="I3" s="445"/>
      <c r="J3" s="445"/>
      <c r="K3" s="895" t="s">
        <v>242</v>
      </c>
      <c r="L3" s="896"/>
      <c r="M3" s="896"/>
      <c r="N3" s="896"/>
      <c r="O3" s="896"/>
      <c r="P3" s="896"/>
      <c r="Q3" s="896"/>
      <c r="R3" s="896"/>
      <c r="S3" s="897"/>
    </row>
    <row r="4" spans="2:19" s="122" customFormat="1" ht="18" customHeight="1">
      <c r="B4" s="882" t="s">
        <v>23</v>
      </c>
      <c r="C4" s="883"/>
      <c r="D4" s="166" t="s">
        <v>235</v>
      </c>
      <c r="E4" s="183"/>
      <c r="F4" s="178">
        <f>+R11</f>
        <v>1493138.5</v>
      </c>
      <c r="G4" s="166" t="s">
        <v>214</v>
      </c>
      <c r="H4" s="123"/>
      <c r="I4" s="123"/>
      <c r="J4" s="123"/>
      <c r="K4" s="175" t="s">
        <v>567</v>
      </c>
      <c r="L4" s="176" t="s">
        <v>287</v>
      </c>
      <c r="M4" s="176" t="s">
        <v>24</v>
      </c>
      <c r="N4" s="176" t="s">
        <v>23</v>
      </c>
      <c r="O4" s="176" t="s">
        <v>567</v>
      </c>
      <c r="P4" s="176" t="s">
        <v>287</v>
      </c>
      <c r="Q4" s="176" t="s">
        <v>24</v>
      </c>
      <c r="R4" s="898" t="s">
        <v>23</v>
      </c>
      <c r="S4" s="899"/>
    </row>
    <row r="5" spans="2:19" s="122" customFormat="1" ht="18" customHeight="1">
      <c r="B5" s="882"/>
      <c r="C5" s="883"/>
      <c r="D5" s="166" t="s">
        <v>91</v>
      </c>
      <c r="E5" s="183"/>
      <c r="F5" s="178">
        <v>0</v>
      </c>
      <c r="G5" s="164"/>
      <c r="H5" s="162"/>
      <c r="I5" s="162"/>
      <c r="J5" s="162"/>
      <c r="K5" s="177">
        <v>7</v>
      </c>
      <c r="L5" s="178">
        <v>5515</v>
      </c>
      <c r="M5" s="178">
        <v>35.8</v>
      </c>
      <c r="N5" s="178">
        <f aca="true" t="shared" si="0" ref="N5:N11">L5*M5</f>
        <v>197436.99999999997</v>
      </c>
      <c r="O5" s="178"/>
      <c r="P5" s="178"/>
      <c r="Q5" s="178"/>
      <c r="R5" s="889">
        <f>P5*Q5</f>
        <v>0</v>
      </c>
      <c r="S5" s="890"/>
    </row>
    <row r="6" spans="2:19" s="122" customFormat="1" ht="18" customHeight="1">
      <c r="B6" s="849" t="s">
        <v>240</v>
      </c>
      <c r="C6" s="846" t="s">
        <v>226</v>
      </c>
      <c r="D6" s="178" t="s">
        <v>59</v>
      </c>
      <c r="E6" s="179"/>
      <c r="F6" s="178">
        <f>P15</f>
        <v>57024</v>
      </c>
      <c r="G6" s="164" t="s">
        <v>215</v>
      </c>
      <c r="H6" s="162"/>
      <c r="I6" s="162"/>
      <c r="J6" s="162"/>
      <c r="K6" s="474">
        <v>8</v>
      </c>
      <c r="L6" s="180">
        <v>12860</v>
      </c>
      <c r="M6" s="178">
        <v>43</v>
      </c>
      <c r="N6" s="178">
        <f t="shared" si="0"/>
        <v>552980</v>
      </c>
      <c r="O6" s="178"/>
      <c r="P6" s="178"/>
      <c r="Q6" s="178"/>
      <c r="R6" s="889">
        <f>P6*Q6</f>
        <v>0</v>
      </c>
      <c r="S6" s="890"/>
    </row>
    <row r="7" spans="2:19" s="122" customFormat="1" ht="18" customHeight="1">
      <c r="B7" s="850"/>
      <c r="C7" s="847"/>
      <c r="D7" s="178" t="s">
        <v>60</v>
      </c>
      <c r="E7" s="179"/>
      <c r="F7" s="178">
        <f>P22</f>
        <v>55740</v>
      </c>
      <c r="G7" s="166" t="s">
        <v>369</v>
      </c>
      <c r="H7" s="123"/>
      <c r="I7" s="123"/>
      <c r="J7" s="184"/>
      <c r="K7" s="181">
        <v>9</v>
      </c>
      <c r="L7" s="182">
        <v>11020</v>
      </c>
      <c r="M7" s="178">
        <v>40.1</v>
      </c>
      <c r="N7" s="178">
        <f t="shared" si="0"/>
        <v>441902</v>
      </c>
      <c r="O7" s="178"/>
      <c r="P7" s="178"/>
      <c r="Q7" s="178"/>
      <c r="R7" s="889">
        <f>P7*Q7</f>
        <v>0</v>
      </c>
      <c r="S7" s="890"/>
    </row>
    <row r="8" spans="2:19" s="122" customFormat="1" ht="18" customHeight="1">
      <c r="B8" s="850"/>
      <c r="C8" s="847"/>
      <c r="D8" s="178" t="s">
        <v>61</v>
      </c>
      <c r="E8" s="179"/>
      <c r="F8" s="178">
        <f>P28</f>
        <v>103961</v>
      </c>
      <c r="G8" s="164" t="s">
        <v>370</v>
      </c>
      <c r="H8" s="162"/>
      <c r="I8" s="162"/>
      <c r="J8" s="185"/>
      <c r="K8" s="179">
        <v>10</v>
      </c>
      <c r="L8" s="178">
        <v>7355</v>
      </c>
      <c r="M8" s="178">
        <v>40.9</v>
      </c>
      <c r="N8" s="178">
        <f t="shared" si="0"/>
        <v>300819.5</v>
      </c>
      <c r="O8" s="178"/>
      <c r="P8" s="178"/>
      <c r="Q8" s="178"/>
      <c r="R8" s="889">
        <f>P8*Q8</f>
        <v>0</v>
      </c>
      <c r="S8" s="890"/>
    </row>
    <row r="9" spans="2:19" s="122" customFormat="1" ht="18" customHeight="1">
      <c r="B9" s="850"/>
      <c r="C9" s="847"/>
      <c r="D9" s="178" t="s">
        <v>92</v>
      </c>
      <c r="E9" s="179"/>
      <c r="F9" s="178">
        <f>P37</f>
        <v>35076.649999999994</v>
      </c>
      <c r="G9" s="164" t="s">
        <v>371</v>
      </c>
      <c r="H9" s="162"/>
      <c r="I9" s="162"/>
      <c r="J9" s="185"/>
      <c r="K9" s="179"/>
      <c r="L9" s="178"/>
      <c r="M9" s="178"/>
      <c r="N9" s="178">
        <f t="shared" si="0"/>
        <v>0</v>
      </c>
      <c r="O9" s="178"/>
      <c r="P9" s="178"/>
      <c r="Q9" s="178"/>
      <c r="R9" s="889">
        <f>P9*Q9</f>
        <v>0</v>
      </c>
      <c r="S9" s="890"/>
    </row>
    <row r="10" spans="2:19" s="122" customFormat="1" ht="18" customHeight="1">
      <c r="B10" s="850"/>
      <c r="C10" s="847"/>
      <c r="D10" s="178" t="s">
        <v>62</v>
      </c>
      <c r="E10" s="179"/>
      <c r="F10" s="178">
        <f>'８－４　きく算出基礎'!V20</f>
        <v>109916.025</v>
      </c>
      <c r="G10" s="889" t="s">
        <v>644</v>
      </c>
      <c r="H10" s="891"/>
      <c r="I10" s="891"/>
      <c r="J10" s="890"/>
      <c r="K10" s="179"/>
      <c r="L10" s="178"/>
      <c r="M10" s="178"/>
      <c r="N10" s="178">
        <f t="shared" si="0"/>
        <v>0</v>
      </c>
      <c r="O10" s="178"/>
      <c r="P10" s="178"/>
      <c r="Q10" s="178"/>
      <c r="R10" s="889"/>
      <c r="S10" s="890"/>
    </row>
    <row r="11" spans="2:19" s="122" customFormat="1" ht="18" customHeight="1" thickBot="1">
      <c r="B11" s="850"/>
      <c r="C11" s="847"/>
      <c r="D11" s="178" t="s">
        <v>6</v>
      </c>
      <c r="E11" s="179"/>
      <c r="F11" s="178">
        <f>'８－４　きく算出基礎'!V34</f>
        <v>6770</v>
      </c>
      <c r="G11" s="889" t="s">
        <v>644</v>
      </c>
      <c r="H11" s="891"/>
      <c r="I11" s="891"/>
      <c r="J11" s="890"/>
      <c r="K11" s="447"/>
      <c r="L11" s="180"/>
      <c r="M11" s="180"/>
      <c r="N11" s="178">
        <f t="shared" si="0"/>
        <v>0</v>
      </c>
      <c r="O11" s="448" t="s">
        <v>25</v>
      </c>
      <c r="P11" s="449">
        <f>SUM(L5:L11,P5:Q10)</f>
        <v>36750</v>
      </c>
      <c r="Q11" s="450">
        <f>R11/P11</f>
        <v>40.629619047619045</v>
      </c>
      <c r="R11" s="884">
        <f>SUM(N5:N11,R5:S10)</f>
        <v>1493138.5</v>
      </c>
      <c r="S11" s="885"/>
    </row>
    <row r="12" spans="2:19" s="122" customFormat="1" ht="18" customHeight="1" thickTop="1">
      <c r="B12" s="850"/>
      <c r="C12" s="847"/>
      <c r="D12" s="178" t="s">
        <v>7</v>
      </c>
      <c r="E12" s="179"/>
      <c r="F12" s="178">
        <v>0</v>
      </c>
      <c r="G12" s="164"/>
      <c r="H12" s="162"/>
      <c r="I12" s="162"/>
      <c r="J12" s="185"/>
      <c r="K12" s="900" t="s">
        <v>241</v>
      </c>
      <c r="L12" s="475" t="s">
        <v>183</v>
      </c>
      <c r="M12" s="172" t="s">
        <v>9</v>
      </c>
      <c r="N12" s="173" t="s">
        <v>286</v>
      </c>
      <c r="O12" s="173" t="s">
        <v>24</v>
      </c>
      <c r="P12" s="173" t="s">
        <v>27</v>
      </c>
      <c r="Q12" s="886" t="s">
        <v>28</v>
      </c>
      <c r="R12" s="887"/>
      <c r="S12" s="888"/>
    </row>
    <row r="13" spans="2:19" s="122" customFormat="1" ht="18" customHeight="1">
      <c r="B13" s="850"/>
      <c r="C13" s="847"/>
      <c r="D13" s="879" t="s">
        <v>63</v>
      </c>
      <c r="E13" s="178" t="s">
        <v>210</v>
      </c>
      <c r="F13" s="178">
        <f>'（参考）きく資本装備'!L12/10*'７－４　きく部門収支'!H13</f>
        <v>4524</v>
      </c>
      <c r="G13" s="164" t="s">
        <v>216</v>
      </c>
      <c r="H13" s="451">
        <v>0.01</v>
      </c>
      <c r="I13" s="891" t="s">
        <v>222</v>
      </c>
      <c r="J13" s="890"/>
      <c r="K13" s="850"/>
      <c r="L13" s="478" t="s">
        <v>569</v>
      </c>
      <c r="M13" s="171" t="s">
        <v>57</v>
      </c>
      <c r="N13" s="349">
        <v>0.64</v>
      </c>
      <c r="O13" s="128">
        <v>89100</v>
      </c>
      <c r="P13" s="128">
        <f>N13*O13</f>
        <v>57024</v>
      </c>
      <c r="Q13" s="889" t="s">
        <v>570</v>
      </c>
      <c r="R13" s="906"/>
      <c r="S13" s="907"/>
    </row>
    <row r="14" spans="2:19" s="122" customFormat="1" ht="18" customHeight="1">
      <c r="B14" s="850"/>
      <c r="C14" s="847"/>
      <c r="D14" s="880"/>
      <c r="E14" s="178" t="s">
        <v>211</v>
      </c>
      <c r="F14" s="178">
        <f>'（参考）きく資本装備'!L37/10*'７－４　きく部門収支'!H14</f>
        <v>26238.89333333333</v>
      </c>
      <c r="G14" s="164" t="s">
        <v>216</v>
      </c>
      <c r="H14" s="451">
        <v>0.05</v>
      </c>
      <c r="I14" s="891" t="s">
        <v>222</v>
      </c>
      <c r="J14" s="890"/>
      <c r="K14" s="901"/>
      <c r="L14" s="174"/>
      <c r="M14" s="171"/>
      <c r="N14" s="128"/>
      <c r="O14" s="128"/>
      <c r="P14" s="128">
        <f>N14*O14</f>
        <v>0</v>
      </c>
      <c r="Q14" s="892"/>
      <c r="R14" s="893"/>
      <c r="S14" s="894"/>
    </row>
    <row r="15" spans="2:19" s="122" customFormat="1" ht="18" customHeight="1" thickBot="1">
      <c r="B15" s="850"/>
      <c r="C15" s="847"/>
      <c r="D15" s="879" t="s">
        <v>93</v>
      </c>
      <c r="E15" s="178" t="s">
        <v>210</v>
      </c>
      <c r="F15" s="178">
        <f>'（参考）きく資本装備'!P12/10</f>
        <v>29796</v>
      </c>
      <c r="G15" s="164" t="s">
        <v>222</v>
      </c>
      <c r="H15" s="162"/>
      <c r="I15" s="162"/>
      <c r="J15" s="185"/>
      <c r="K15" s="901"/>
      <c r="L15" s="452" t="s">
        <v>29</v>
      </c>
      <c r="M15" s="453"/>
      <c r="N15" s="452"/>
      <c r="O15" s="452"/>
      <c r="P15" s="452">
        <f>SUM(P13:P14)</f>
        <v>57024</v>
      </c>
      <c r="Q15" s="868"/>
      <c r="R15" s="869"/>
      <c r="S15" s="870"/>
    </row>
    <row r="16" spans="2:19" s="122" customFormat="1" ht="18" customHeight="1" thickTop="1">
      <c r="B16" s="850"/>
      <c r="C16" s="847"/>
      <c r="D16" s="881"/>
      <c r="E16" s="178" t="s">
        <v>211</v>
      </c>
      <c r="F16" s="178">
        <f>'（参考）きく資本装備'!P37/10</f>
        <v>79582.55238095237</v>
      </c>
      <c r="G16" s="164" t="s">
        <v>222</v>
      </c>
      <c r="H16" s="162"/>
      <c r="I16" s="162"/>
      <c r="J16" s="185"/>
      <c r="K16" s="901"/>
      <c r="L16" s="476" t="s">
        <v>184</v>
      </c>
      <c r="M16" s="168"/>
      <c r="N16" s="169" t="s">
        <v>286</v>
      </c>
      <c r="O16" s="169" t="s">
        <v>24</v>
      </c>
      <c r="P16" s="170" t="s">
        <v>27</v>
      </c>
      <c r="Q16" s="873" t="s">
        <v>28</v>
      </c>
      <c r="R16" s="874"/>
      <c r="S16" s="875"/>
    </row>
    <row r="17" spans="2:19" s="122" customFormat="1" ht="18" customHeight="1">
      <c r="B17" s="850"/>
      <c r="C17" s="847"/>
      <c r="D17" s="880"/>
      <c r="E17" s="178" t="s">
        <v>64</v>
      </c>
      <c r="F17" s="178">
        <f>'（参考）水稲資本装備'!P56</f>
        <v>0</v>
      </c>
      <c r="G17" s="164" t="s">
        <v>222</v>
      </c>
      <c r="H17" s="162"/>
      <c r="I17" s="162"/>
      <c r="J17" s="185"/>
      <c r="K17" s="901"/>
      <c r="L17" s="166" t="s">
        <v>190</v>
      </c>
      <c r="M17" s="171"/>
      <c r="N17" s="164" t="s">
        <v>355</v>
      </c>
      <c r="O17" s="165"/>
      <c r="P17" s="164">
        <f>'８－４　きく算出基礎'!G7</f>
        <v>11400</v>
      </c>
      <c r="Q17" s="868"/>
      <c r="R17" s="869"/>
      <c r="S17" s="870"/>
    </row>
    <row r="18" spans="1:19" s="122" customFormat="1" ht="18" customHeight="1">
      <c r="A18" s="442"/>
      <c r="B18" s="850"/>
      <c r="C18" s="847"/>
      <c r="D18" s="862" t="s">
        <v>291</v>
      </c>
      <c r="E18" s="182" t="s">
        <v>128</v>
      </c>
      <c r="F18" s="178">
        <v>0</v>
      </c>
      <c r="G18" s="164"/>
      <c r="H18" s="162"/>
      <c r="I18" s="162"/>
      <c r="J18" s="185"/>
      <c r="K18" s="901"/>
      <c r="L18" s="166" t="s">
        <v>188</v>
      </c>
      <c r="M18" s="171"/>
      <c r="N18" s="164" t="s">
        <v>305</v>
      </c>
      <c r="O18" s="165"/>
      <c r="P18" s="164">
        <f>'８－４　きく算出基礎'!G11</f>
        <v>6630</v>
      </c>
      <c r="Q18" s="868"/>
      <c r="R18" s="869"/>
      <c r="S18" s="870"/>
    </row>
    <row r="19" spans="1:19" s="122" customFormat="1" ht="18" customHeight="1">
      <c r="A19" s="442"/>
      <c r="B19" s="850"/>
      <c r="C19" s="847"/>
      <c r="D19" s="862"/>
      <c r="E19" s="182" t="s">
        <v>124</v>
      </c>
      <c r="F19" s="178">
        <f>'５－２　きく作業時間'!AQ23*J19</f>
        <v>4400</v>
      </c>
      <c r="G19" s="164"/>
      <c r="H19" s="162"/>
      <c r="I19" s="195" t="s">
        <v>375</v>
      </c>
      <c r="J19" s="454">
        <v>1100</v>
      </c>
      <c r="K19" s="901"/>
      <c r="L19" s="164" t="s">
        <v>189</v>
      </c>
      <c r="M19" s="162"/>
      <c r="N19" s="164" t="s">
        <v>305</v>
      </c>
      <c r="O19" s="165"/>
      <c r="P19" s="164">
        <f>'８－４　きく算出基礎'!G16</f>
        <v>36480</v>
      </c>
      <c r="Q19" s="868"/>
      <c r="R19" s="869"/>
      <c r="S19" s="870"/>
    </row>
    <row r="20" spans="1:19" s="122" customFormat="1" ht="18" customHeight="1">
      <c r="A20" s="442"/>
      <c r="B20" s="850"/>
      <c r="C20" s="847"/>
      <c r="D20" s="862"/>
      <c r="E20" s="182" t="s">
        <v>125</v>
      </c>
      <c r="F20" s="178">
        <f>'５－２　きく作業時間'!AR23*'７－４　きく部門収支'!J20</f>
        <v>593244</v>
      </c>
      <c r="G20" s="164"/>
      <c r="H20" s="162"/>
      <c r="I20" s="195" t="s">
        <v>376</v>
      </c>
      <c r="J20" s="454">
        <v>900</v>
      </c>
      <c r="K20" s="901"/>
      <c r="L20" s="164" t="s">
        <v>191</v>
      </c>
      <c r="M20" s="162"/>
      <c r="N20" s="164"/>
      <c r="O20" s="165"/>
      <c r="P20" s="164">
        <f>'８－４　きく算出基礎'!G20</f>
        <v>1230</v>
      </c>
      <c r="Q20" s="868"/>
      <c r="R20" s="869"/>
      <c r="S20" s="870"/>
    </row>
    <row r="21" spans="1:19" s="122" customFormat="1" ht="18" customHeight="1">
      <c r="A21" s="442"/>
      <c r="B21" s="850"/>
      <c r="C21" s="847"/>
      <c r="D21" s="862"/>
      <c r="E21" s="182" t="s">
        <v>126</v>
      </c>
      <c r="F21" s="178">
        <f>(F19+F20)*0.012</f>
        <v>7171.728</v>
      </c>
      <c r="G21" s="164"/>
      <c r="H21" s="162"/>
      <c r="I21" s="162"/>
      <c r="J21" s="185"/>
      <c r="K21" s="901"/>
      <c r="L21" s="164" t="s">
        <v>192</v>
      </c>
      <c r="M21" s="162"/>
      <c r="N21" s="164" t="s">
        <v>355</v>
      </c>
      <c r="O21" s="164"/>
      <c r="P21" s="164">
        <f>'８－４　きく算出基礎'!G24</f>
        <v>0</v>
      </c>
      <c r="Q21" s="868"/>
      <c r="R21" s="869"/>
      <c r="S21" s="870"/>
    </row>
    <row r="22" spans="1:19" s="122" customFormat="1" ht="18" customHeight="1" thickBot="1">
      <c r="A22" s="442"/>
      <c r="B22" s="850"/>
      <c r="C22" s="847"/>
      <c r="D22" s="862" t="s">
        <v>65</v>
      </c>
      <c r="E22" s="182" t="s">
        <v>66</v>
      </c>
      <c r="F22" s="178">
        <v>0</v>
      </c>
      <c r="G22" s="164"/>
      <c r="H22" s="162"/>
      <c r="I22" s="162"/>
      <c r="J22" s="185" t="s">
        <v>374</v>
      </c>
      <c r="K22" s="901"/>
      <c r="L22" s="452" t="s">
        <v>29</v>
      </c>
      <c r="M22" s="453"/>
      <c r="N22" s="452"/>
      <c r="O22" s="452"/>
      <c r="P22" s="452">
        <f>SUM(P17:P21)</f>
        <v>55740</v>
      </c>
      <c r="Q22" s="868"/>
      <c r="R22" s="869"/>
      <c r="S22" s="870"/>
    </row>
    <row r="23" spans="1:19" s="122" customFormat="1" ht="18" customHeight="1" thickTop="1">
      <c r="A23" s="442"/>
      <c r="B23" s="850"/>
      <c r="C23" s="847"/>
      <c r="D23" s="862"/>
      <c r="E23" s="182" t="s">
        <v>94</v>
      </c>
      <c r="F23" s="178">
        <v>0</v>
      </c>
      <c r="G23" s="164"/>
      <c r="H23" s="162"/>
      <c r="I23" s="162"/>
      <c r="J23" s="185" t="s">
        <v>374</v>
      </c>
      <c r="K23" s="901"/>
      <c r="L23" s="164" t="s">
        <v>185</v>
      </c>
      <c r="M23" s="162"/>
      <c r="N23" s="163" t="s">
        <v>26</v>
      </c>
      <c r="O23" s="163" t="s">
        <v>24</v>
      </c>
      <c r="P23" s="163" t="s">
        <v>27</v>
      </c>
      <c r="Q23" s="873" t="s">
        <v>28</v>
      </c>
      <c r="R23" s="874"/>
      <c r="S23" s="875"/>
    </row>
    <row r="24" spans="1:19" s="122" customFormat="1" ht="18" customHeight="1">
      <c r="A24" s="442"/>
      <c r="B24" s="850"/>
      <c r="C24" s="847"/>
      <c r="D24" s="178" t="s">
        <v>67</v>
      </c>
      <c r="E24" s="179"/>
      <c r="F24" s="178">
        <f>I24</f>
        <v>3000</v>
      </c>
      <c r="G24" s="164"/>
      <c r="H24" s="162"/>
      <c r="I24" s="123">
        <v>3000</v>
      </c>
      <c r="J24" s="185" t="s">
        <v>374</v>
      </c>
      <c r="K24" s="901"/>
      <c r="L24" s="164" t="s">
        <v>30</v>
      </c>
      <c r="M24" s="162"/>
      <c r="N24" s="164" t="s">
        <v>641</v>
      </c>
      <c r="O24" s="164"/>
      <c r="P24" s="164">
        <f>'８－４　きく算出基礎'!G36</f>
        <v>24173</v>
      </c>
      <c r="Q24" s="868"/>
      <c r="R24" s="869"/>
      <c r="S24" s="870"/>
    </row>
    <row r="25" spans="1:19" s="122" customFormat="1" ht="18" customHeight="1">
      <c r="A25" s="442"/>
      <c r="B25" s="850"/>
      <c r="C25" s="847"/>
      <c r="D25" s="178" t="s">
        <v>187</v>
      </c>
      <c r="E25" s="179"/>
      <c r="F25" s="178">
        <f>SUM(F6:F24)/99</f>
        <v>11277.220694083691</v>
      </c>
      <c r="G25" s="186" t="s">
        <v>243</v>
      </c>
      <c r="H25" s="200">
        <v>0.01</v>
      </c>
      <c r="I25" s="123"/>
      <c r="J25" s="184"/>
      <c r="K25" s="901"/>
      <c r="L25" s="164" t="s">
        <v>31</v>
      </c>
      <c r="M25" s="162"/>
      <c r="N25" s="164" t="s">
        <v>642</v>
      </c>
      <c r="O25" s="164"/>
      <c r="P25" s="164">
        <f>'８－４　きく算出基礎'!G51</f>
        <v>51655</v>
      </c>
      <c r="Q25" s="868"/>
      <c r="R25" s="869"/>
      <c r="S25" s="870"/>
    </row>
    <row r="26" spans="1:19" s="122" customFormat="1" ht="18" customHeight="1">
      <c r="A26" s="442"/>
      <c r="B26" s="850"/>
      <c r="C26" s="848"/>
      <c r="D26" s="871" t="s">
        <v>234</v>
      </c>
      <c r="E26" s="872"/>
      <c r="F26" s="178">
        <f>SUM(F6:F25)</f>
        <v>1127722.0694083693</v>
      </c>
      <c r="G26" s="164"/>
      <c r="H26" s="123"/>
      <c r="I26" s="123"/>
      <c r="J26" s="184"/>
      <c r="K26" s="901"/>
      <c r="L26" s="164" t="s">
        <v>32</v>
      </c>
      <c r="M26" s="162"/>
      <c r="N26" s="164" t="s">
        <v>357</v>
      </c>
      <c r="O26" s="164"/>
      <c r="P26" s="164">
        <f>'８－４　きく算出基礎'!G53</f>
        <v>17440</v>
      </c>
      <c r="Q26" s="868"/>
      <c r="R26" s="869"/>
      <c r="S26" s="870"/>
    </row>
    <row r="27" spans="1:19" s="122" customFormat="1" ht="18" customHeight="1">
      <c r="A27" s="442"/>
      <c r="B27" s="850"/>
      <c r="C27" s="863" t="s">
        <v>217</v>
      </c>
      <c r="D27" s="784" t="s">
        <v>68</v>
      </c>
      <c r="E27" s="41" t="s">
        <v>3</v>
      </c>
      <c r="F27" s="178">
        <v>55890</v>
      </c>
      <c r="G27" s="166" t="s">
        <v>645</v>
      </c>
      <c r="H27" s="162"/>
      <c r="J27" s="265"/>
      <c r="K27" s="901"/>
      <c r="L27" s="164" t="s">
        <v>640</v>
      </c>
      <c r="M27" s="162"/>
      <c r="N27" s="164" t="s">
        <v>643</v>
      </c>
      <c r="O27" s="164"/>
      <c r="P27" s="164">
        <f>'８－４　きく算出基礎'!G57</f>
        <v>10693</v>
      </c>
      <c r="Q27" s="868"/>
      <c r="R27" s="869"/>
      <c r="S27" s="870"/>
    </row>
    <row r="28" spans="1:19" s="122" customFormat="1" ht="18" customHeight="1" thickBot="1">
      <c r="A28" s="442"/>
      <c r="B28" s="850"/>
      <c r="C28" s="864"/>
      <c r="D28" s="785"/>
      <c r="E28" s="41" t="s">
        <v>4</v>
      </c>
      <c r="F28" s="199">
        <f>P11*2.1*1.08</f>
        <v>83349</v>
      </c>
      <c r="G28" s="166" t="s">
        <v>646</v>
      </c>
      <c r="H28" s="187"/>
      <c r="I28" s="187"/>
      <c r="J28" s="188"/>
      <c r="K28" s="901"/>
      <c r="L28" s="452" t="s">
        <v>29</v>
      </c>
      <c r="M28" s="453"/>
      <c r="N28" s="452"/>
      <c r="O28" s="452"/>
      <c r="P28" s="452">
        <f>SUM(P24:P27)</f>
        <v>103961</v>
      </c>
      <c r="Q28" s="868"/>
      <c r="R28" s="869"/>
      <c r="S28" s="870"/>
    </row>
    <row r="29" spans="1:19" s="122" customFormat="1" ht="18" customHeight="1" thickTop="1">
      <c r="A29" s="442"/>
      <c r="B29" s="850"/>
      <c r="C29" s="864"/>
      <c r="D29" s="786"/>
      <c r="E29" s="41" t="s">
        <v>8</v>
      </c>
      <c r="F29" s="178">
        <f>F4*0.145</f>
        <v>216505.0825</v>
      </c>
      <c r="G29" s="166" t="s">
        <v>647</v>
      </c>
      <c r="H29" s="123"/>
      <c r="I29" s="187"/>
      <c r="J29" s="266"/>
      <c r="K29" s="901"/>
      <c r="L29" s="164" t="s">
        <v>186</v>
      </c>
      <c r="M29" s="162"/>
      <c r="N29" s="163" t="s">
        <v>26</v>
      </c>
      <c r="O29" s="163" t="s">
        <v>24</v>
      </c>
      <c r="P29" s="163" t="s">
        <v>27</v>
      </c>
      <c r="Q29" s="873" t="s">
        <v>28</v>
      </c>
      <c r="R29" s="874"/>
      <c r="S29" s="875"/>
    </row>
    <row r="30" spans="1:19" s="122" customFormat="1" ht="18" customHeight="1">
      <c r="A30" s="442"/>
      <c r="B30" s="850"/>
      <c r="C30" s="864"/>
      <c r="D30" s="41" t="s">
        <v>69</v>
      </c>
      <c r="E30" s="42"/>
      <c r="F30" s="178">
        <v>0</v>
      </c>
      <c r="G30" s="166"/>
      <c r="H30" s="123"/>
      <c r="I30" s="187"/>
      <c r="J30" s="189"/>
      <c r="K30" s="901"/>
      <c r="L30" s="164" t="s">
        <v>49</v>
      </c>
      <c r="M30" s="162"/>
      <c r="N30" s="164" t="s">
        <v>360</v>
      </c>
      <c r="O30" s="165"/>
      <c r="P30" s="164">
        <f>'８－４　きく算出基礎'!N10</f>
        <v>546.5999999999999</v>
      </c>
      <c r="Q30" s="876"/>
      <c r="R30" s="877"/>
      <c r="S30" s="878"/>
    </row>
    <row r="31" spans="1:19" s="122" customFormat="1" ht="18" customHeight="1">
      <c r="A31" s="442"/>
      <c r="B31" s="850"/>
      <c r="C31" s="864"/>
      <c r="D31" s="787" t="s">
        <v>292</v>
      </c>
      <c r="E31" s="31" t="s">
        <v>128</v>
      </c>
      <c r="F31" s="199">
        <v>0</v>
      </c>
      <c r="G31" s="166"/>
      <c r="H31" s="190"/>
      <c r="I31" s="190"/>
      <c r="J31" s="191"/>
      <c r="K31" s="901"/>
      <c r="L31" s="164" t="s">
        <v>48</v>
      </c>
      <c r="M31" s="162"/>
      <c r="N31" s="164" t="s">
        <v>361</v>
      </c>
      <c r="O31" s="165"/>
      <c r="P31" s="164">
        <f>'８－４　きく算出基礎'!N15</f>
        <v>14781.300000000001</v>
      </c>
      <c r="Q31" s="876"/>
      <c r="R31" s="877"/>
      <c r="S31" s="878"/>
    </row>
    <row r="32" spans="1:19" s="122" customFormat="1" ht="18" customHeight="1">
      <c r="A32" s="442"/>
      <c r="B32" s="850"/>
      <c r="C32" s="864"/>
      <c r="D32" s="787"/>
      <c r="E32" s="31" t="s">
        <v>127</v>
      </c>
      <c r="F32" s="199">
        <v>0</v>
      </c>
      <c r="G32" s="166"/>
      <c r="H32" s="192"/>
      <c r="I32" s="192"/>
      <c r="J32" s="193"/>
      <c r="K32" s="901"/>
      <c r="L32" s="164" t="s">
        <v>50</v>
      </c>
      <c r="M32" s="162"/>
      <c r="N32" s="165"/>
      <c r="O32" s="165"/>
      <c r="P32" s="164">
        <f>SUM(P30:P31)*R32</f>
        <v>4598.37</v>
      </c>
      <c r="Q32" s="166" t="s">
        <v>33</v>
      </c>
      <c r="R32" s="167">
        <v>0.3</v>
      </c>
      <c r="S32" s="124"/>
    </row>
    <row r="33" spans="2:19" ht="18" customHeight="1">
      <c r="B33" s="850"/>
      <c r="C33" s="864"/>
      <c r="D33" s="41" t="s">
        <v>70</v>
      </c>
      <c r="E33" s="42"/>
      <c r="F33" s="199">
        <v>0</v>
      </c>
      <c r="G33" s="166"/>
      <c r="H33" s="194"/>
      <c r="I33" s="195"/>
      <c r="J33" s="189"/>
      <c r="K33" s="901"/>
      <c r="L33" s="164" t="s">
        <v>51</v>
      </c>
      <c r="M33" s="162"/>
      <c r="N33" s="164"/>
      <c r="O33" s="165"/>
      <c r="P33" s="164">
        <f>'８－４　きく算出基礎'!N19</f>
        <v>1295.28</v>
      </c>
      <c r="Q33" s="868"/>
      <c r="R33" s="869"/>
      <c r="S33" s="870"/>
    </row>
    <row r="34" spans="2:19" ht="18" customHeight="1">
      <c r="B34" s="850"/>
      <c r="C34" s="864"/>
      <c r="D34" s="41" t="s">
        <v>95</v>
      </c>
      <c r="E34" s="42"/>
      <c r="F34" s="199">
        <v>0</v>
      </c>
      <c r="G34" s="166"/>
      <c r="H34" s="196"/>
      <c r="I34" s="197"/>
      <c r="J34" s="198"/>
      <c r="K34" s="901"/>
      <c r="L34" s="164" t="s">
        <v>52</v>
      </c>
      <c r="M34" s="162"/>
      <c r="N34" s="164" t="s">
        <v>361</v>
      </c>
      <c r="O34" s="165"/>
      <c r="P34" s="164">
        <f>'８－４　きく算出基礎'!N23</f>
        <v>0</v>
      </c>
      <c r="Q34" s="868"/>
      <c r="R34" s="869"/>
      <c r="S34" s="870"/>
    </row>
    <row r="35" spans="2:19" ht="18" customHeight="1">
      <c r="B35" s="850"/>
      <c r="C35" s="864"/>
      <c r="D35" s="41" t="s">
        <v>131</v>
      </c>
      <c r="E35" s="42"/>
      <c r="F35" s="199">
        <f>'８－４　きく算出基礎'!V57</f>
        <v>2740</v>
      </c>
      <c r="G35" s="889" t="s">
        <v>644</v>
      </c>
      <c r="H35" s="891"/>
      <c r="I35" s="891"/>
      <c r="J35" s="890"/>
      <c r="K35" s="901"/>
      <c r="L35" s="164" t="s">
        <v>289</v>
      </c>
      <c r="M35" s="162"/>
      <c r="N35" s="164"/>
      <c r="O35" s="165"/>
      <c r="P35" s="164">
        <f>'８－４　きく算出基礎'!N27</f>
        <v>0</v>
      </c>
      <c r="Q35" s="868"/>
      <c r="R35" s="869"/>
      <c r="S35" s="870"/>
    </row>
    <row r="36" spans="2:19" ht="18" customHeight="1">
      <c r="B36" s="850"/>
      <c r="C36" s="864"/>
      <c r="D36" s="41" t="s">
        <v>96</v>
      </c>
      <c r="E36" s="42"/>
      <c r="F36" s="199">
        <v>0</v>
      </c>
      <c r="G36" s="164"/>
      <c r="H36" s="196"/>
      <c r="I36" s="197"/>
      <c r="J36" s="189"/>
      <c r="K36" s="901"/>
      <c r="L36" s="164" t="s">
        <v>53</v>
      </c>
      <c r="M36" s="162"/>
      <c r="N36" s="164" t="s">
        <v>362</v>
      </c>
      <c r="O36" s="165"/>
      <c r="P36" s="164">
        <f>'８－４　きく算出基礎'!N31</f>
        <v>13855.099999999999</v>
      </c>
      <c r="Q36" s="868"/>
      <c r="R36" s="869"/>
      <c r="S36" s="870"/>
    </row>
    <row r="37" spans="2:19" ht="18" customHeight="1" thickBot="1">
      <c r="B37" s="850"/>
      <c r="C37" s="864"/>
      <c r="D37" s="41" t="s">
        <v>71</v>
      </c>
      <c r="E37" s="42"/>
      <c r="F37" s="199">
        <f>'８－３　水稲算出基礎（加工用米）'!N57</f>
        <v>4131.101126436782</v>
      </c>
      <c r="G37" s="889" t="s">
        <v>644</v>
      </c>
      <c r="H37" s="891"/>
      <c r="I37" s="891"/>
      <c r="J37" s="890"/>
      <c r="K37" s="902"/>
      <c r="L37" s="455" t="s">
        <v>29</v>
      </c>
      <c r="M37" s="456"/>
      <c r="N37" s="455"/>
      <c r="O37" s="455"/>
      <c r="P37" s="455">
        <f>SUM(P30:P36)</f>
        <v>35076.649999999994</v>
      </c>
      <c r="Q37" s="903"/>
      <c r="R37" s="904"/>
      <c r="S37" s="905"/>
    </row>
    <row r="38" spans="1:10" s="457" customFormat="1" ht="18" customHeight="1">
      <c r="A38" s="442"/>
      <c r="B38" s="850"/>
      <c r="C38" s="864"/>
      <c r="D38" s="41" t="s">
        <v>0</v>
      </c>
      <c r="E38" s="42"/>
      <c r="F38" s="199">
        <v>0</v>
      </c>
      <c r="G38" s="166"/>
      <c r="H38" s="196"/>
      <c r="I38" s="197"/>
      <c r="J38" s="189"/>
    </row>
    <row r="39" spans="1:20" s="457" customFormat="1" ht="18" customHeight="1" thickBot="1">
      <c r="A39" s="442"/>
      <c r="B39" s="851"/>
      <c r="C39" s="865"/>
      <c r="D39" s="866" t="s">
        <v>233</v>
      </c>
      <c r="E39" s="867"/>
      <c r="F39" s="458">
        <f>SUM(F27:F38)</f>
        <v>362615.1836264368</v>
      </c>
      <c r="G39" s="459"/>
      <c r="H39" s="460"/>
      <c r="I39" s="461"/>
      <c r="J39" s="462"/>
      <c r="T39" s="365"/>
    </row>
    <row r="40" spans="1:23" s="457" customFormat="1" ht="18" customHeight="1">
      <c r="A40" s="442"/>
      <c r="B40" s="852" t="s">
        <v>237</v>
      </c>
      <c r="C40" s="855" t="s">
        <v>73</v>
      </c>
      <c r="D40" s="463" t="s">
        <v>130</v>
      </c>
      <c r="E40" s="464"/>
      <c r="F40" s="161">
        <f>J40</f>
        <v>18000</v>
      </c>
      <c r="G40" s="164"/>
      <c r="H40" s="465"/>
      <c r="I40" s="465"/>
      <c r="J40" s="466">
        <v>18000</v>
      </c>
      <c r="T40" s="122"/>
      <c r="U40" s="122"/>
      <c r="V40" s="122"/>
      <c r="W40" s="122"/>
    </row>
    <row r="41" spans="1:23" s="457" customFormat="1" ht="18" customHeight="1">
      <c r="A41" s="442"/>
      <c r="B41" s="853"/>
      <c r="C41" s="856"/>
      <c r="D41" s="41" t="s">
        <v>129</v>
      </c>
      <c r="E41" s="42"/>
      <c r="F41" s="158">
        <v>0</v>
      </c>
      <c r="G41" s="164"/>
      <c r="H41" s="467"/>
      <c r="I41" s="467"/>
      <c r="J41" s="468"/>
      <c r="T41" s="469"/>
      <c r="U41" s="447"/>
      <c r="V41" s="470"/>
      <c r="W41" s="469"/>
    </row>
    <row r="42" spans="1:23" s="457" customFormat="1" ht="18" customHeight="1">
      <c r="A42" s="442"/>
      <c r="B42" s="853"/>
      <c r="C42" s="857"/>
      <c r="D42" s="41" t="s">
        <v>72</v>
      </c>
      <c r="E42" s="42"/>
      <c r="F42" s="159">
        <v>0</v>
      </c>
      <c r="G42" s="164"/>
      <c r="H42" s="467"/>
      <c r="I42" s="467"/>
      <c r="J42" s="468"/>
      <c r="T42" s="122"/>
      <c r="U42" s="122"/>
      <c r="V42" s="122"/>
      <c r="W42" s="122"/>
    </row>
    <row r="43" spans="2:23" s="457" customFormat="1" ht="18" customHeight="1">
      <c r="B43" s="853"/>
      <c r="C43" s="857" t="s">
        <v>236</v>
      </c>
      <c r="D43" s="41" t="s">
        <v>293</v>
      </c>
      <c r="E43" s="42"/>
      <c r="F43" s="159">
        <v>0</v>
      </c>
      <c r="G43" s="164"/>
      <c r="H43" s="467"/>
      <c r="I43" s="467"/>
      <c r="J43" s="468"/>
      <c r="T43" s="416"/>
      <c r="U43" s="365"/>
      <c r="V43" s="122"/>
      <c r="W43" s="469"/>
    </row>
    <row r="44" spans="2:23" s="457" customFormat="1" ht="18" customHeight="1">
      <c r="B44" s="853"/>
      <c r="C44" s="858"/>
      <c r="D44" s="43" t="s">
        <v>1</v>
      </c>
      <c r="E44" s="44"/>
      <c r="F44" s="159">
        <v>0</v>
      </c>
      <c r="G44" s="164"/>
      <c r="H44" s="467"/>
      <c r="I44" s="467"/>
      <c r="J44" s="468"/>
      <c r="T44" s="416"/>
      <c r="U44" s="365"/>
      <c r="V44" s="122"/>
      <c r="W44" s="469"/>
    </row>
    <row r="45" spans="2:23" s="457" customFormat="1" ht="18" customHeight="1" thickBot="1">
      <c r="B45" s="854"/>
      <c r="C45" s="859" t="s">
        <v>98</v>
      </c>
      <c r="D45" s="860"/>
      <c r="E45" s="861"/>
      <c r="F45" s="477">
        <f>SUM(F40:F42)-SUM(F43:F44)</f>
        <v>18000</v>
      </c>
      <c r="G45" s="471"/>
      <c r="H45" s="472"/>
      <c r="I45" s="472"/>
      <c r="J45" s="473"/>
      <c r="T45" s="122"/>
      <c r="U45" s="122"/>
      <c r="V45" s="447"/>
      <c r="W45" s="122"/>
    </row>
    <row r="49" spans="4:6" ht="13.5">
      <c r="D49" s="442" t="s">
        <v>365</v>
      </c>
      <c r="F49" s="442">
        <f>F4-F26</f>
        <v>365416.43059163075</v>
      </c>
    </row>
  </sheetData>
  <sheetProtection/>
  <mergeCells count="58">
    <mergeCell ref="D39:E39"/>
    <mergeCell ref="B40:B45"/>
    <mergeCell ref="C40:C42"/>
    <mergeCell ref="C43:C44"/>
    <mergeCell ref="C45:E45"/>
    <mergeCell ref="Q34:S34"/>
    <mergeCell ref="G35:J35"/>
    <mergeCell ref="Q35:S35"/>
    <mergeCell ref="Q36:S36"/>
    <mergeCell ref="G37:J37"/>
    <mergeCell ref="Q37:S37"/>
    <mergeCell ref="D26:E26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D18:D21"/>
    <mergeCell ref="Q18:S18"/>
    <mergeCell ref="Q19:S19"/>
    <mergeCell ref="Q20:S20"/>
    <mergeCell ref="Q21:S21"/>
    <mergeCell ref="D22:D23"/>
    <mergeCell ref="Q22:S22"/>
    <mergeCell ref="Q23:S23"/>
    <mergeCell ref="D13:D14"/>
    <mergeCell ref="I13:J13"/>
    <mergeCell ref="Q13:S13"/>
    <mergeCell ref="I14:J14"/>
    <mergeCell ref="Q14:S14"/>
    <mergeCell ref="D15:D17"/>
    <mergeCell ref="Q15:S15"/>
    <mergeCell ref="Q16:S16"/>
    <mergeCell ref="Q17:S17"/>
    <mergeCell ref="R9:S9"/>
    <mergeCell ref="G10:J10"/>
    <mergeCell ref="R10:S10"/>
    <mergeCell ref="G11:J11"/>
    <mergeCell ref="R11:S11"/>
    <mergeCell ref="K12:K37"/>
    <mergeCell ref="Q12:S12"/>
    <mergeCell ref="Q24:S24"/>
    <mergeCell ref="Q25:S25"/>
    <mergeCell ref="Q33:S33"/>
    <mergeCell ref="B3:E3"/>
    <mergeCell ref="K3:S3"/>
    <mergeCell ref="B4:C5"/>
    <mergeCell ref="R4:S4"/>
    <mergeCell ref="R5:S5"/>
    <mergeCell ref="B6:B39"/>
    <mergeCell ref="C6:C26"/>
    <mergeCell ref="R6:S6"/>
    <mergeCell ref="R7:S7"/>
    <mergeCell ref="R8:S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.625" style="151" customWidth="1"/>
    <col min="2" max="2" width="3.625" style="151" customWidth="1"/>
    <col min="3" max="3" width="19.50390625" style="151" customWidth="1"/>
    <col min="4" max="7" width="8.625" style="151" customWidth="1"/>
    <col min="8" max="8" width="2.375" style="151" customWidth="1"/>
    <col min="9" max="9" width="3.625" style="151" customWidth="1"/>
    <col min="10" max="10" width="15.625" style="151" customWidth="1"/>
    <col min="11" max="14" width="8.625" style="151" customWidth="1"/>
    <col min="15" max="15" width="3.50390625" style="151" customWidth="1"/>
    <col min="16" max="16" width="15.625" style="421" customWidth="1"/>
    <col min="17" max="17" width="8.625" style="151" customWidth="1"/>
    <col min="18" max="18" width="8.625" style="479" customWidth="1"/>
    <col min="19" max="21" width="8.625" style="151" customWidth="1"/>
    <col min="22" max="22" width="10.625" style="479" customWidth="1"/>
    <col min="23" max="23" width="4.00390625" style="151" customWidth="1"/>
    <col min="24" max="16384" width="9.00390625" style="151" customWidth="1"/>
  </cols>
  <sheetData>
    <row r="1" ht="9.75" customHeight="1">
      <c r="A1" s="151" t="s">
        <v>396</v>
      </c>
    </row>
    <row r="2" spans="2:15" ht="24.75" customHeight="1">
      <c r="B2" s="151" t="s">
        <v>457</v>
      </c>
      <c r="C2" s="480"/>
      <c r="D2" s="160"/>
      <c r="E2" s="160"/>
      <c r="F2" s="480"/>
      <c r="G2" s="122"/>
      <c r="H2" s="122"/>
      <c r="I2" s="122"/>
      <c r="J2" s="122"/>
      <c r="K2" s="122"/>
      <c r="L2" s="122"/>
      <c r="M2" s="122"/>
      <c r="N2" s="122"/>
      <c r="O2" s="160"/>
    </row>
    <row r="3" spans="2:16" ht="15" customHeight="1" thickBot="1">
      <c r="B3" s="151" t="s">
        <v>238</v>
      </c>
      <c r="I3" s="160" t="s">
        <v>239</v>
      </c>
      <c r="P3" s="151" t="s">
        <v>259</v>
      </c>
    </row>
    <row r="4" spans="2:22" ht="15" customHeight="1">
      <c r="B4" s="481" t="s">
        <v>89</v>
      </c>
      <c r="C4" s="258" t="s">
        <v>194</v>
      </c>
      <c r="D4" s="258" t="s">
        <v>154</v>
      </c>
      <c r="E4" s="258" t="s">
        <v>155</v>
      </c>
      <c r="F4" s="258" t="s">
        <v>24</v>
      </c>
      <c r="G4" s="482" t="s">
        <v>156</v>
      </c>
      <c r="H4" s="144"/>
      <c r="I4" s="944" t="s">
        <v>89</v>
      </c>
      <c r="J4" s="942" t="s">
        <v>198</v>
      </c>
      <c r="K4" s="483" t="s">
        <v>195</v>
      </c>
      <c r="L4" s="483" t="s">
        <v>157</v>
      </c>
      <c r="M4" s="942" t="s">
        <v>24</v>
      </c>
      <c r="N4" s="949" t="s">
        <v>156</v>
      </c>
      <c r="O4" s="160"/>
      <c r="P4" s="484" t="s">
        <v>201</v>
      </c>
      <c r="Q4" s="485" t="s">
        <v>202</v>
      </c>
      <c r="R4" s="485" t="s">
        <v>203</v>
      </c>
      <c r="S4" s="485" t="s">
        <v>204</v>
      </c>
      <c r="T4" s="946" t="s">
        <v>205</v>
      </c>
      <c r="U4" s="845"/>
      <c r="V4" s="486" t="s">
        <v>206</v>
      </c>
    </row>
    <row r="5" spans="2:24" ht="15" customHeight="1">
      <c r="B5" s="941" t="s">
        <v>190</v>
      </c>
      <c r="C5" s="66"/>
      <c r="D5" s="66"/>
      <c r="E5" s="282" t="s">
        <v>407</v>
      </c>
      <c r="F5" s="66"/>
      <c r="G5" s="369">
        <f>D5*F5</f>
        <v>0</v>
      </c>
      <c r="H5" s="145"/>
      <c r="I5" s="945"/>
      <c r="J5" s="943"/>
      <c r="K5" s="487" t="s">
        <v>159</v>
      </c>
      <c r="L5" s="487" t="s">
        <v>325</v>
      </c>
      <c r="M5" s="943"/>
      <c r="N5" s="950"/>
      <c r="O5" s="160"/>
      <c r="P5" s="488" t="s">
        <v>463</v>
      </c>
      <c r="Q5" s="182"/>
      <c r="R5" s="446" t="s">
        <v>105</v>
      </c>
      <c r="S5" s="182"/>
      <c r="T5" s="947" t="s">
        <v>464</v>
      </c>
      <c r="U5" s="948"/>
      <c r="V5" s="491">
        <v>5806.666666666667</v>
      </c>
      <c r="X5" s="151" t="s">
        <v>411</v>
      </c>
    </row>
    <row r="6" spans="2:22" ht="15" customHeight="1">
      <c r="B6" s="915"/>
      <c r="C6" s="66"/>
      <c r="D6" s="66"/>
      <c r="E6" s="282" t="s">
        <v>158</v>
      </c>
      <c r="F6" s="66"/>
      <c r="G6" s="492">
        <f>D6*F6</f>
        <v>0</v>
      </c>
      <c r="H6" s="145"/>
      <c r="I6" s="951" t="s">
        <v>197</v>
      </c>
      <c r="J6" s="66" t="s">
        <v>322</v>
      </c>
      <c r="K6" s="262">
        <v>4.2</v>
      </c>
      <c r="L6" s="262">
        <v>13</v>
      </c>
      <c r="M6" s="262">
        <v>84.7</v>
      </c>
      <c r="N6" s="493">
        <f aca="true" t="shared" si="0" ref="N6:N11">K6*L6*M6</f>
        <v>4624.62</v>
      </c>
      <c r="O6" s="160"/>
      <c r="P6" s="488"/>
      <c r="Q6" s="182"/>
      <c r="R6" s="446" t="s">
        <v>263</v>
      </c>
      <c r="S6" s="182"/>
      <c r="T6" s="947"/>
      <c r="U6" s="948"/>
      <c r="V6" s="491"/>
    </row>
    <row r="7" spans="2:22" ht="15" customHeight="1" thickBot="1">
      <c r="B7" s="916"/>
      <c r="C7" s="494" t="s">
        <v>160</v>
      </c>
      <c r="D7" s="494"/>
      <c r="E7" s="494"/>
      <c r="F7" s="494"/>
      <c r="G7" s="495">
        <f>SUM(G5:G6)</f>
        <v>0</v>
      </c>
      <c r="H7" s="145"/>
      <c r="I7" s="952"/>
      <c r="J7" s="66" t="s">
        <v>323</v>
      </c>
      <c r="K7" s="262">
        <v>2.6</v>
      </c>
      <c r="L7" s="262">
        <f>5+6.5</f>
        <v>11.5</v>
      </c>
      <c r="M7" s="262">
        <v>84.7</v>
      </c>
      <c r="N7" s="493">
        <f t="shared" si="0"/>
        <v>2532.53</v>
      </c>
      <c r="O7" s="160"/>
      <c r="P7" s="488"/>
      <c r="Q7" s="182"/>
      <c r="R7" s="446" t="s">
        <v>264</v>
      </c>
      <c r="S7" s="182"/>
      <c r="T7" s="947"/>
      <c r="U7" s="948"/>
      <c r="V7" s="491"/>
    </row>
    <row r="8" spans="2:22" ht="15" customHeight="1" thickTop="1">
      <c r="B8" s="914" t="s">
        <v>188</v>
      </c>
      <c r="C8" s="66" t="s">
        <v>751</v>
      </c>
      <c r="D8" s="66">
        <v>10</v>
      </c>
      <c r="E8" s="282" t="s">
        <v>306</v>
      </c>
      <c r="F8" s="66">
        <v>3840</v>
      </c>
      <c r="G8" s="492">
        <f>D8*F8</f>
        <v>38400</v>
      </c>
      <c r="H8" s="145"/>
      <c r="I8" s="952"/>
      <c r="J8" s="66" t="s">
        <v>331</v>
      </c>
      <c r="K8" s="262">
        <v>1.2</v>
      </c>
      <c r="L8" s="262">
        <v>3</v>
      </c>
      <c r="M8" s="262">
        <v>84.7</v>
      </c>
      <c r="N8" s="493">
        <f t="shared" si="0"/>
        <v>304.91999999999996</v>
      </c>
      <c r="O8" s="160"/>
      <c r="P8" s="488"/>
      <c r="Q8" s="182"/>
      <c r="R8" s="446" t="s">
        <v>264</v>
      </c>
      <c r="S8" s="182"/>
      <c r="T8" s="947"/>
      <c r="U8" s="948"/>
      <c r="V8" s="491"/>
    </row>
    <row r="9" spans="2:22" ht="15" customHeight="1">
      <c r="B9" s="915"/>
      <c r="C9" s="66"/>
      <c r="D9" s="66">
        <v>0</v>
      </c>
      <c r="E9" s="282" t="s">
        <v>158</v>
      </c>
      <c r="F9" s="66"/>
      <c r="G9" s="492">
        <f>D9*F9</f>
        <v>0</v>
      </c>
      <c r="H9" s="145"/>
      <c r="I9" s="952"/>
      <c r="J9" s="496" t="s">
        <v>326</v>
      </c>
      <c r="K9" s="497">
        <v>4.3</v>
      </c>
      <c r="L9" s="497">
        <v>5</v>
      </c>
      <c r="M9" s="262">
        <v>84.7</v>
      </c>
      <c r="N9" s="498">
        <f t="shared" si="0"/>
        <v>1821.05</v>
      </c>
      <c r="O9" s="160"/>
      <c r="P9" s="488"/>
      <c r="Q9" s="182"/>
      <c r="R9" s="446" t="s">
        <v>263</v>
      </c>
      <c r="S9" s="182"/>
      <c r="T9" s="947"/>
      <c r="U9" s="948"/>
      <c r="V9" s="491"/>
    </row>
    <row r="10" spans="2:22" ht="15" customHeight="1">
      <c r="B10" s="915"/>
      <c r="C10" s="66"/>
      <c r="D10" s="66"/>
      <c r="E10" s="282" t="s">
        <v>158</v>
      </c>
      <c r="F10" s="66"/>
      <c r="G10" s="492">
        <f>D10*F10</f>
        <v>0</v>
      </c>
      <c r="H10" s="145"/>
      <c r="I10" s="952"/>
      <c r="J10" s="499"/>
      <c r="K10" s="500"/>
      <c r="L10" s="500"/>
      <c r="M10" s="262"/>
      <c r="N10" s="501"/>
      <c r="O10" s="160"/>
      <c r="P10" s="488"/>
      <c r="Q10" s="182"/>
      <c r="R10" s="446"/>
      <c r="S10" s="182"/>
      <c r="T10" s="489"/>
      <c r="U10" s="490"/>
      <c r="V10" s="491"/>
    </row>
    <row r="11" spans="2:22" ht="15" customHeight="1" thickBot="1">
      <c r="B11" s="916"/>
      <c r="C11" s="502" t="s">
        <v>161</v>
      </c>
      <c r="D11" s="503"/>
      <c r="E11" s="503"/>
      <c r="F11" s="503"/>
      <c r="G11" s="504">
        <f>SUM(G8:G10)</f>
        <v>38400</v>
      </c>
      <c r="H11" s="145"/>
      <c r="I11" s="952"/>
      <c r="J11" s="505" t="s">
        <v>328</v>
      </c>
      <c r="K11" s="506">
        <v>1.2</v>
      </c>
      <c r="L11" s="506">
        <v>3.5</v>
      </c>
      <c r="M11" s="262">
        <v>84.7</v>
      </c>
      <c r="N11" s="507">
        <f t="shared" si="0"/>
        <v>355.74</v>
      </c>
      <c r="O11" s="160"/>
      <c r="P11" s="488"/>
      <c r="Q11" s="182"/>
      <c r="R11" s="446" t="s">
        <v>266</v>
      </c>
      <c r="S11" s="182"/>
      <c r="T11" s="947"/>
      <c r="U11" s="948"/>
      <c r="V11" s="491"/>
    </row>
    <row r="12" spans="2:22" ht="15" customHeight="1" thickBot="1" thickTop="1">
      <c r="B12" s="914" t="s">
        <v>189</v>
      </c>
      <c r="C12" s="66" t="s">
        <v>752</v>
      </c>
      <c r="D12" s="66">
        <v>350</v>
      </c>
      <c r="E12" s="282" t="s">
        <v>320</v>
      </c>
      <c r="F12" s="66">
        <f>3210/20</f>
        <v>160.5</v>
      </c>
      <c r="G12" s="492">
        <f>D12*F12</f>
        <v>56175</v>
      </c>
      <c r="H12" s="145"/>
      <c r="I12" s="953"/>
      <c r="J12" s="502" t="s">
        <v>265</v>
      </c>
      <c r="K12" s="508">
        <f>SUM(K6:K9)</f>
        <v>12.3</v>
      </c>
      <c r="L12" s="508">
        <f>SUM(L6:L11)</f>
        <v>36</v>
      </c>
      <c r="M12" s="508"/>
      <c r="N12" s="509">
        <f>SUM(N6:N11)</f>
        <v>9638.859999999999</v>
      </c>
      <c r="O12" s="160"/>
      <c r="P12" s="488"/>
      <c r="Q12" s="182"/>
      <c r="R12" s="446" t="s">
        <v>268</v>
      </c>
      <c r="S12" s="182"/>
      <c r="T12" s="947"/>
      <c r="U12" s="948"/>
      <c r="V12" s="491"/>
    </row>
    <row r="13" spans="2:22" ht="15" customHeight="1" thickTop="1">
      <c r="B13" s="915"/>
      <c r="C13" s="66"/>
      <c r="D13" s="66"/>
      <c r="E13" s="282" t="s">
        <v>319</v>
      </c>
      <c r="F13" s="66"/>
      <c r="G13" s="492">
        <f>D13*F13</f>
        <v>0</v>
      </c>
      <c r="H13" s="145"/>
      <c r="I13" s="908" t="s">
        <v>267</v>
      </c>
      <c r="J13" s="66" t="s">
        <v>324</v>
      </c>
      <c r="K13" s="262">
        <v>2.8</v>
      </c>
      <c r="L13" s="262">
        <v>3.3</v>
      </c>
      <c r="M13" s="262">
        <v>158.4</v>
      </c>
      <c r="N13" s="493">
        <f>K13*L13*M13</f>
        <v>1463.6159999999998</v>
      </c>
      <c r="O13" s="160"/>
      <c r="P13" s="488"/>
      <c r="Q13" s="182"/>
      <c r="R13" s="446" t="s">
        <v>264</v>
      </c>
      <c r="S13" s="182"/>
      <c r="T13" s="947"/>
      <c r="U13" s="948"/>
      <c r="V13" s="491"/>
    </row>
    <row r="14" spans="2:22" ht="15" customHeight="1">
      <c r="B14" s="915"/>
      <c r="C14" s="66"/>
      <c r="D14" s="66"/>
      <c r="E14" s="282"/>
      <c r="F14" s="66"/>
      <c r="G14" s="492">
        <f>D14*F14</f>
        <v>0</v>
      </c>
      <c r="H14" s="145"/>
      <c r="I14" s="909"/>
      <c r="J14" s="66"/>
      <c r="K14" s="262"/>
      <c r="L14" s="262"/>
      <c r="M14" s="262"/>
      <c r="N14" s="493">
        <f>K14*L14*M14</f>
        <v>0</v>
      </c>
      <c r="O14" s="160"/>
      <c r="P14" s="488"/>
      <c r="Q14" s="182"/>
      <c r="R14" s="446" t="s">
        <v>263</v>
      </c>
      <c r="S14" s="182"/>
      <c r="T14" s="947"/>
      <c r="U14" s="948"/>
      <c r="V14" s="491"/>
    </row>
    <row r="15" spans="2:22" ht="15" customHeight="1">
      <c r="B15" s="915"/>
      <c r="C15" s="66"/>
      <c r="D15" s="66"/>
      <c r="E15" s="66"/>
      <c r="F15" s="66"/>
      <c r="G15" s="492">
        <f>D15*F15</f>
        <v>0</v>
      </c>
      <c r="H15" s="145"/>
      <c r="I15" s="909"/>
      <c r="J15" s="66"/>
      <c r="K15" s="262"/>
      <c r="L15" s="262"/>
      <c r="M15" s="262"/>
      <c r="N15" s="493">
        <f>K15*L15*M15</f>
        <v>0</v>
      </c>
      <c r="O15" s="160"/>
      <c r="P15" s="488"/>
      <c r="Q15" s="182"/>
      <c r="R15" s="446" t="s">
        <v>207</v>
      </c>
      <c r="S15" s="182"/>
      <c r="T15" s="947"/>
      <c r="U15" s="948"/>
      <c r="V15" s="491"/>
    </row>
    <row r="16" spans="2:22" ht="15" customHeight="1" thickBot="1">
      <c r="B16" s="916"/>
      <c r="C16" s="502" t="s">
        <v>161</v>
      </c>
      <c r="D16" s="503"/>
      <c r="E16" s="503"/>
      <c r="F16" s="503"/>
      <c r="G16" s="504">
        <f>SUM(G12:G15)</f>
        <v>56175</v>
      </c>
      <c r="H16" s="145"/>
      <c r="I16" s="910"/>
      <c r="J16" s="510" t="s">
        <v>265</v>
      </c>
      <c r="K16" s="511">
        <f>SUM(K13:K15)</f>
        <v>2.8</v>
      </c>
      <c r="L16" s="511">
        <f>SUM(L13:L15)</f>
        <v>3.3</v>
      </c>
      <c r="M16" s="511"/>
      <c r="N16" s="512">
        <f>SUM(N13:N15)</f>
        <v>1463.6159999999998</v>
      </c>
      <c r="O16" s="160"/>
      <c r="P16" s="488"/>
      <c r="Q16" s="182"/>
      <c r="R16" s="446" t="s">
        <v>207</v>
      </c>
      <c r="S16" s="182"/>
      <c r="T16" s="947"/>
      <c r="U16" s="948"/>
      <c r="V16" s="491"/>
    </row>
    <row r="17" spans="2:22" ht="15" customHeight="1" thickTop="1">
      <c r="B17" s="914" t="s">
        <v>191</v>
      </c>
      <c r="C17" s="66"/>
      <c r="D17" s="66"/>
      <c r="E17" s="282" t="s">
        <v>162</v>
      </c>
      <c r="F17" s="66"/>
      <c r="G17" s="492">
        <f>D17*F17</f>
        <v>0</v>
      </c>
      <c r="H17" s="145"/>
      <c r="I17" s="908" t="s">
        <v>199</v>
      </c>
      <c r="J17" s="66"/>
      <c r="K17" s="262"/>
      <c r="L17" s="262"/>
      <c r="M17" s="262"/>
      <c r="N17" s="493">
        <f>K17*L17*M17</f>
        <v>0</v>
      </c>
      <c r="O17" s="160"/>
      <c r="P17" s="488"/>
      <c r="Q17" s="182"/>
      <c r="R17" s="446"/>
      <c r="S17" s="182"/>
      <c r="T17" s="947"/>
      <c r="U17" s="948"/>
      <c r="V17" s="491"/>
    </row>
    <row r="18" spans="2:22" ht="15" customHeight="1">
      <c r="B18" s="915"/>
      <c r="C18" s="66"/>
      <c r="D18" s="66"/>
      <c r="E18" s="282"/>
      <c r="F18" s="66"/>
      <c r="G18" s="492">
        <f>D18*F18</f>
        <v>0</v>
      </c>
      <c r="H18" s="145"/>
      <c r="I18" s="909"/>
      <c r="J18" s="66"/>
      <c r="K18" s="262"/>
      <c r="L18" s="262"/>
      <c r="M18" s="262"/>
      <c r="N18" s="493">
        <f>K18*L18*M18</f>
        <v>0</v>
      </c>
      <c r="O18" s="160"/>
      <c r="P18" s="488"/>
      <c r="Q18" s="182"/>
      <c r="R18" s="446"/>
      <c r="S18" s="182"/>
      <c r="T18" s="947"/>
      <c r="U18" s="948"/>
      <c r="V18" s="491"/>
    </row>
    <row r="19" spans="2:22" ht="15" customHeight="1">
      <c r="B19" s="915"/>
      <c r="C19" s="66"/>
      <c r="D19" s="66"/>
      <c r="E19" s="66"/>
      <c r="F19" s="66"/>
      <c r="G19" s="492">
        <f>D19*F19</f>
        <v>0</v>
      </c>
      <c r="H19" s="145"/>
      <c r="I19" s="909"/>
      <c r="J19" s="66"/>
      <c r="K19" s="262"/>
      <c r="L19" s="262"/>
      <c r="M19" s="262"/>
      <c r="N19" s="493">
        <f>K19*L19*M19</f>
        <v>0</v>
      </c>
      <c r="O19" s="160"/>
      <c r="P19" s="488"/>
      <c r="Q19" s="182"/>
      <c r="R19" s="446"/>
      <c r="S19" s="182"/>
      <c r="T19" s="947"/>
      <c r="U19" s="948"/>
      <c r="V19" s="491"/>
    </row>
    <row r="20" spans="2:22" ht="15" customHeight="1" thickBot="1">
      <c r="B20" s="916"/>
      <c r="C20" s="502" t="s">
        <v>161</v>
      </c>
      <c r="D20" s="503"/>
      <c r="E20" s="503"/>
      <c r="F20" s="503"/>
      <c r="G20" s="504">
        <f>SUM(G17:G19)</f>
        <v>0</v>
      </c>
      <c r="H20" s="145"/>
      <c r="I20" s="910"/>
      <c r="J20" s="510" t="s">
        <v>269</v>
      </c>
      <c r="K20" s="511">
        <f>SUM(K17:K19)</f>
        <v>0</v>
      </c>
      <c r="L20" s="513">
        <f>SUM(L17:L19)</f>
        <v>0</v>
      </c>
      <c r="M20" s="514"/>
      <c r="N20" s="512">
        <f>SUM(N17:N19)</f>
        <v>0</v>
      </c>
      <c r="O20" s="160"/>
      <c r="P20" s="488"/>
      <c r="Q20" s="182"/>
      <c r="R20" s="446"/>
      <c r="S20" s="182"/>
      <c r="T20" s="947"/>
      <c r="U20" s="948"/>
      <c r="V20" s="491"/>
    </row>
    <row r="21" spans="2:22" ht="15" customHeight="1" thickBot="1" thickTop="1">
      <c r="B21" s="914" t="s">
        <v>192</v>
      </c>
      <c r="C21" s="66" t="s">
        <v>315</v>
      </c>
      <c r="D21" s="66">
        <f>131*4.3</f>
        <v>563.3</v>
      </c>
      <c r="E21" s="282" t="s">
        <v>321</v>
      </c>
      <c r="F21" s="66">
        <f>510/20</f>
        <v>25.5</v>
      </c>
      <c r="G21" s="492">
        <f>D21*F21</f>
        <v>14364.15</v>
      </c>
      <c r="H21" s="145"/>
      <c r="I21" s="908" t="s">
        <v>200</v>
      </c>
      <c r="J21" s="66" t="s">
        <v>327</v>
      </c>
      <c r="K21" s="262">
        <v>28.2</v>
      </c>
      <c r="L21" s="262">
        <v>6.1</v>
      </c>
      <c r="M21" s="262">
        <v>102.1</v>
      </c>
      <c r="N21" s="493">
        <f>K21*L21*M21</f>
        <v>17563.242</v>
      </c>
      <c r="O21" s="160"/>
      <c r="P21" s="515" t="s">
        <v>29</v>
      </c>
      <c r="Q21" s="516"/>
      <c r="R21" s="516"/>
      <c r="S21" s="516"/>
      <c r="T21" s="955"/>
      <c r="U21" s="956"/>
      <c r="V21" s="517">
        <f>SUM(V5:V20)</f>
        <v>5806.666666666667</v>
      </c>
    </row>
    <row r="22" spans="2:15" ht="15" customHeight="1">
      <c r="B22" s="915"/>
      <c r="C22" s="66"/>
      <c r="D22" s="66"/>
      <c r="E22" s="282" t="s">
        <v>163</v>
      </c>
      <c r="F22" s="66"/>
      <c r="G22" s="492">
        <f>D22*F22</f>
        <v>0</v>
      </c>
      <c r="H22" s="145"/>
      <c r="I22" s="909"/>
      <c r="J22" s="66"/>
      <c r="K22" s="262"/>
      <c r="L22" s="262"/>
      <c r="M22" s="262"/>
      <c r="N22" s="493">
        <f>K22*L22*M22</f>
        <v>0</v>
      </c>
      <c r="O22" s="160"/>
    </row>
    <row r="23" spans="2:16" ht="15" customHeight="1" thickBot="1">
      <c r="B23" s="915"/>
      <c r="C23" s="66"/>
      <c r="D23" s="66"/>
      <c r="E23" s="282" t="s">
        <v>163</v>
      </c>
      <c r="F23" s="66"/>
      <c r="G23" s="492">
        <f>D23*F23</f>
        <v>0</v>
      </c>
      <c r="H23" s="145"/>
      <c r="I23" s="909"/>
      <c r="J23" s="66"/>
      <c r="K23" s="262"/>
      <c r="L23" s="262"/>
      <c r="M23" s="262"/>
      <c r="N23" s="493">
        <f>K23*L23*M23</f>
        <v>0</v>
      </c>
      <c r="O23" s="160"/>
      <c r="P23" s="151" t="s">
        <v>260</v>
      </c>
    </row>
    <row r="24" spans="2:22" ht="15" customHeight="1" thickBot="1">
      <c r="B24" s="940"/>
      <c r="C24" s="518" t="s">
        <v>164</v>
      </c>
      <c r="D24" s="69"/>
      <c r="E24" s="69"/>
      <c r="F24" s="69"/>
      <c r="G24" s="347">
        <f>SUM(G21:G23)</f>
        <v>14364.15</v>
      </c>
      <c r="H24" s="145"/>
      <c r="I24" s="910"/>
      <c r="J24" s="510" t="s">
        <v>269</v>
      </c>
      <c r="K24" s="511">
        <f>SUM(K21:K23)</f>
        <v>28.2</v>
      </c>
      <c r="L24" s="513">
        <f>SUM(L21:L23)</f>
        <v>6.1</v>
      </c>
      <c r="M24" s="514"/>
      <c r="N24" s="512">
        <f>SUM(N21:N23)</f>
        <v>17563.242</v>
      </c>
      <c r="O24" s="160"/>
      <c r="P24" s="484" t="s">
        <v>208</v>
      </c>
      <c r="Q24" s="485" t="s">
        <v>202</v>
      </c>
      <c r="R24" s="485" t="s">
        <v>203</v>
      </c>
      <c r="S24" s="485" t="s">
        <v>270</v>
      </c>
      <c r="T24" s="485" t="s">
        <v>205</v>
      </c>
      <c r="U24" s="443" t="s">
        <v>209</v>
      </c>
      <c r="V24" s="486" t="s">
        <v>206</v>
      </c>
    </row>
    <row r="25" spans="9:22" ht="15" customHeight="1" thickTop="1">
      <c r="I25" s="908" t="s">
        <v>289</v>
      </c>
      <c r="J25" s="66"/>
      <c r="K25" s="262"/>
      <c r="L25" s="262"/>
      <c r="M25" s="262"/>
      <c r="N25" s="493">
        <f>K25*L25*M25</f>
        <v>0</v>
      </c>
      <c r="O25" s="160"/>
      <c r="P25" s="488" t="s">
        <v>338</v>
      </c>
      <c r="Q25" s="182">
        <v>10</v>
      </c>
      <c r="R25" s="446" t="s">
        <v>264</v>
      </c>
      <c r="S25" s="182">
        <v>500</v>
      </c>
      <c r="T25" s="182">
        <v>2</v>
      </c>
      <c r="U25" s="174">
        <v>30</v>
      </c>
      <c r="V25" s="491">
        <f>Q25*S25/T25/U25</f>
        <v>83.33333333333333</v>
      </c>
    </row>
    <row r="26" spans="2:22" ht="15" customHeight="1" thickBot="1">
      <c r="B26" s="160" t="s">
        <v>271</v>
      </c>
      <c r="C26" s="160"/>
      <c r="D26" s="480"/>
      <c r="E26" s="160"/>
      <c r="F26" s="480"/>
      <c r="G26" s="146"/>
      <c r="H26" s="146"/>
      <c r="I26" s="909"/>
      <c r="J26" s="66"/>
      <c r="K26" s="262"/>
      <c r="L26" s="262"/>
      <c r="M26" s="262"/>
      <c r="N26" s="493">
        <f>K26*L26*M26</f>
        <v>0</v>
      </c>
      <c r="O26" s="160"/>
      <c r="P26" s="488"/>
      <c r="Q26" s="182"/>
      <c r="R26" s="446"/>
      <c r="S26" s="182"/>
      <c r="T26" s="182"/>
      <c r="U26" s="174"/>
      <c r="V26" s="491"/>
    </row>
    <row r="27" spans="2:22" ht="15" customHeight="1">
      <c r="B27" s="481" t="s">
        <v>89</v>
      </c>
      <c r="C27" s="258" t="s">
        <v>153</v>
      </c>
      <c r="D27" s="258" t="s">
        <v>154</v>
      </c>
      <c r="E27" s="258" t="s">
        <v>155</v>
      </c>
      <c r="F27" s="258" t="s">
        <v>24</v>
      </c>
      <c r="G27" s="482" t="s">
        <v>156</v>
      </c>
      <c r="H27" s="144"/>
      <c r="I27" s="909"/>
      <c r="J27" s="66"/>
      <c r="K27" s="262"/>
      <c r="L27" s="262"/>
      <c r="M27" s="262"/>
      <c r="N27" s="493">
        <f>K27*L27*M27</f>
        <v>0</v>
      </c>
      <c r="O27" s="160"/>
      <c r="P27" s="488"/>
      <c r="Q27" s="182"/>
      <c r="R27" s="446"/>
      <c r="S27" s="182"/>
      <c r="T27" s="182"/>
      <c r="U27" s="174"/>
      <c r="V27" s="491"/>
    </row>
    <row r="28" spans="2:22" ht="15" customHeight="1" thickBot="1">
      <c r="B28" s="941" t="s">
        <v>30</v>
      </c>
      <c r="C28" s="48" t="s">
        <v>753</v>
      </c>
      <c r="D28" s="66">
        <v>300</v>
      </c>
      <c r="E28" s="282" t="s">
        <v>318</v>
      </c>
      <c r="F28" s="66">
        <f>62610/10000</f>
        <v>6.261</v>
      </c>
      <c r="G28" s="369">
        <f>D28*F28</f>
        <v>1878.3</v>
      </c>
      <c r="H28" s="145"/>
      <c r="I28" s="910"/>
      <c r="J28" s="510" t="s">
        <v>265</v>
      </c>
      <c r="K28" s="511">
        <f>SUM(K25:K27)</f>
        <v>0</v>
      </c>
      <c r="L28" s="513">
        <f>SUM(L25:L27)</f>
        <v>0</v>
      </c>
      <c r="M28" s="514"/>
      <c r="N28" s="512">
        <f>SUM(N25:N27)</f>
        <v>0</v>
      </c>
      <c r="O28" s="160"/>
      <c r="P28" s="488"/>
      <c r="Q28" s="182"/>
      <c r="R28" s="446"/>
      <c r="S28" s="182"/>
      <c r="T28" s="182"/>
      <c r="U28" s="174"/>
      <c r="V28" s="491"/>
    </row>
    <row r="29" spans="2:22" ht="15" customHeight="1" thickTop="1">
      <c r="B29" s="915"/>
      <c r="C29" s="568" t="s">
        <v>754</v>
      </c>
      <c r="D29" s="66">
        <f>1*189</f>
        <v>189</v>
      </c>
      <c r="E29" s="282" t="s">
        <v>318</v>
      </c>
      <c r="F29" s="66">
        <f>4180/500</f>
        <v>8.36</v>
      </c>
      <c r="G29" s="369">
        <f>D29*F29</f>
        <v>1580.04</v>
      </c>
      <c r="H29" s="145"/>
      <c r="I29" s="908" t="s">
        <v>196</v>
      </c>
      <c r="J29" s="66" t="s">
        <v>327</v>
      </c>
      <c r="K29" s="262">
        <v>31.4</v>
      </c>
      <c r="L29" s="262">
        <v>3.2</v>
      </c>
      <c r="M29" s="262">
        <v>14</v>
      </c>
      <c r="N29" s="493">
        <f>K29*L29*M29</f>
        <v>1406.72</v>
      </c>
      <c r="O29" s="160"/>
      <c r="P29" s="488"/>
      <c r="Q29" s="182"/>
      <c r="R29" s="446"/>
      <c r="S29" s="182"/>
      <c r="T29" s="182"/>
      <c r="U29" s="174"/>
      <c r="V29" s="491"/>
    </row>
    <row r="30" spans="2:22" ht="15" customHeight="1">
      <c r="B30" s="915"/>
      <c r="C30" s="48" t="s">
        <v>30</v>
      </c>
      <c r="D30" s="66">
        <v>833</v>
      </c>
      <c r="E30" s="282" t="s">
        <v>332</v>
      </c>
      <c r="F30" s="66">
        <f>10590/5000</f>
        <v>2.118</v>
      </c>
      <c r="G30" s="369">
        <f>D30*F30</f>
        <v>1764.2939999999999</v>
      </c>
      <c r="H30" s="145"/>
      <c r="I30" s="909"/>
      <c r="J30" s="66" t="s">
        <v>329</v>
      </c>
      <c r="K30" s="262">
        <v>4</v>
      </c>
      <c r="L30" s="262">
        <v>1.9</v>
      </c>
      <c r="M30" s="262">
        <v>14</v>
      </c>
      <c r="N30" s="493">
        <f>K30*L30*M30</f>
        <v>106.39999999999999</v>
      </c>
      <c r="O30" s="479"/>
      <c r="P30" s="488"/>
      <c r="Q30" s="182"/>
      <c r="R30" s="446"/>
      <c r="S30" s="182"/>
      <c r="T30" s="182"/>
      <c r="U30" s="174"/>
      <c r="V30" s="491"/>
    </row>
    <row r="31" spans="2:22" ht="15" customHeight="1">
      <c r="B31" s="915"/>
      <c r="C31" s="66"/>
      <c r="D31" s="66"/>
      <c r="E31" s="282"/>
      <c r="F31" s="66"/>
      <c r="G31" s="369">
        <f>D31*F31</f>
        <v>0</v>
      </c>
      <c r="H31" s="145"/>
      <c r="I31" s="909"/>
      <c r="J31" s="66" t="s">
        <v>330</v>
      </c>
      <c r="K31" s="262">
        <v>24.5</v>
      </c>
      <c r="L31" s="262">
        <v>6.7</v>
      </c>
      <c r="M31" s="262">
        <v>14</v>
      </c>
      <c r="N31" s="493">
        <f>K31*L31*M31</f>
        <v>2298.1</v>
      </c>
      <c r="P31" s="488"/>
      <c r="Q31" s="182"/>
      <c r="R31" s="446"/>
      <c r="S31" s="182"/>
      <c r="T31" s="182"/>
      <c r="U31" s="174"/>
      <c r="V31" s="491"/>
    </row>
    <row r="32" spans="2:22" ht="15" customHeight="1" thickBot="1">
      <c r="B32" s="915"/>
      <c r="C32" s="66"/>
      <c r="D32" s="66"/>
      <c r="E32" s="282"/>
      <c r="F32" s="66"/>
      <c r="G32" s="492">
        <f aca="true" t="shared" si="1" ref="G32:G37">D32*F32</f>
        <v>0</v>
      </c>
      <c r="H32" s="145"/>
      <c r="I32" s="926"/>
      <c r="J32" s="519" t="s">
        <v>272</v>
      </c>
      <c r="K32" s="520">
        <f>SUM(K29:K31)</f>
        <v>59.9</v>
      </c>
      <c r="L32" s="521">
        <f>SUM(L29:L31)</f>
        <v>11.8</v>
      </c>
      <c r="M32" s="522"/>
      <c r="N32" s="523">
        <f>SUM(N29:N31)</f>
        <v>3811.2200000000003</v>
      </c>
      <c r="P32" s="488"/>
      <c r="Q32" s="182"/>
      <c r="R32" s="446"/>
      <c r="S32" s="182"/>
      <c r="T32" s="182"/>
      <c r="U32" s="174"/>
      <c r="V32" s="491"/>
    </row>
    <row r="33" spans="2:22" ht="15" customHeight="1">
      <c r="B33" s="915"/>
      <c r="C33" s="66"/>
      <c r="D33" s="66"/>
      <c r="E33" s="282"/>
      <c r="F33" s="66"/>
      <c r="G33" s="492">
        <f t="shared" si="1"/>
        <v>0</v>
      </c>
      <c r="H33" s="145"/>
      <c r="I33" s="145"/>
      <c r="J33" s="145"/>
      <c r="K33" s="145"/>
      <c r="L33" s="145"/>
      <c r="M33" s="145"/>
      <c r="N33" s="145"/>
      <c r="P33" s="488"/>
      <c r="Q33" s="182"/>
      <c r="R33" s="446"/>
      <c r="S33" s="182"/>
      <c r="T33" s="182"/>
      <c r="U33" s="174"/>
      <c r="V33" s="491"/>
    </row>
    <row r="34" spans="2:22" ht="15" customHeight="1" thickBot="1">
      <c r="B34" s="915"/>
      <c r="C34" s="66"/>
      <c r="D34" s="66"/>
      <c r="E34" s="282"/>
      <c r="F34" s="66"/>
      <c r="G34" s="492">
        <f t="shared" si="1"/>
        <v>0</v>
      </c>
      <c r="H34" s="145"/>
      <c r="I34" s="365" t="s">
        <v>258</v>
      </c>
      <c r="J34" s="365"/>
      <c r="K34" s="365"/>
      <c r="L34" s="365"/>
      <c r="M34" s="365"/>
      <c r="P34" s="524" t="s">
        <v>251</v>
      </c>
      <c r="Q34" s="516"/>
      <c r="R34" s="516"/>
      <c r="S34" s="516"/>
      <c r="T34" s="516"/>
      <c r="U34" s="525"/>
      <c r="V34" s="517">
        <f>SUM(V25:V33)</f>
        <v>83.33333333333333</v>
      </c>
    </row>
    <row r="35" spans="2:14" ht="15" customHeight="1">
      <c r="B35" s="915"/>
      <c r="C35" s="66"/>
      <c r="D35" s="66"/>
      <c r="E35" s="282"/>
      <c r="F35" s="66"/>
      <c r="G35" s="492">
        <f t="shared" si="1"/>
        <v>0</v>
      </c>
      <c r="H35" s="145"/>
      <c r="I35" s="526" t="s">
        <v>246</v>
      </c>
      <c r="J35" s="527" t="s">
        <v>5</v>
      </c>
      <c r="K35" s="924" t="s">
        <v>247</v>
      </c>
      <c r="L35" s="925"/>
      <c r="M35" s="528" t="s">
        <v>209</v>
      </c>
      <c r="N35" s="529" t="s">
        <v>273</v>
      </c>
    </row>
    <row r="36" spans="2:20" ht="15" customHeight="1" thickBot="1">
      <c r="B36" s="915"/>
      <c r="C36" s="66"/>
      <c r="D36" s="66"/>
      <c r="E36" s="282"/>
      <c r="F36" s="66"/>
      <c r="G36" s="492">
        <f t="shared" si="1"/>
        <v>0</v>
      </c>
      <c r="H36" s="145"/>
      <c r="I36" s="911" t="s">
        <v>2</v>
      </c>
      <c r="J36" s="294" t="str">
        <f>'（参考）水稲資本装備'!C5</f>
        <v>農機具庫</v>
      </c>
      <c r="K36" s="921">
        <f>'（参考）水稲資本装備'!I5</f>
        <v>5940000</v>
      </c>
      <c r="L36" s="921"/>
      <c r="M36" s="53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532">
        <f>+K36/M36*0.014*0.3</f>
        <v>831.6</v>
      </c>
      <c r="P36" s="365" t="s">
        <v>252</v>
      </c>
      <c r="Q36" s="365"/>
      <c r="R36" s="365"/>
      <c r="S36" s="365"/>
      <c r="T36" s="365"/>
    </row>
    <row r="37" spans="2:22" ht="15" customHeight="1">
      <c r="B37" s="915"/>
      <c r="C37" s="66"/>
      <c r="D37" s="66"/>
      <c r="E37" s="282"/>
      <c r="F37" s="66"/>
      <c r="G37" s="492">
        <f t="shared" si="1"/>
        <v>0</v>
      </c>
      <c r="H37" s="145"/>
      <c r="I37" s="912"/>
      <c r="J37" s="294" t="str">
        <f>'（参考）水稲資本装備'!C6</f>
        <v>乾燥調製施設</v>
      </c>
      <c r="K37" s="921">
        <f>'（参考）水稲資本装備'!I6</f>
        <v>10692000</v>
      </c>
      <c r="L37" s="921"/>
      <c r="M37" s="531">
        <f>'１　対象経営の概要，２　前提条件'!$N$7+'１　対象経営の概要，２　前提条件'!$N$8+'１　対象経営の概要，２　前提条件'!$N$9</f>
        <v>29</v>
      </c>
      <c r="N37" s="532">
        <f>+K37/M37*0.014*0.3</f>
        <v>1548.496551724138</v>
      </c>
      <c r="P37" s="526" t="s">
        <v>245</v>
      </c>
      <c r="Q37" s="954" t="s">
        <v>253</v>
      </c>
      <c r="R37" s="954"/>
      <c r="S37" s="533" t="s">
        <v>256</v>
      </c>
      <c r="T37" s="533" t="s">
        <v>255</v>
      </c>
      <c r="U37" s="528" t="s">
        <v>209</v>
      </c>
      <c r="V37" s="534" t="s">
        <v>273</v>
      </c>
    </row>
    <row r="38" spans="2:22" ht="15" customHeight="1" thickBot="1">
      <c r="B38" s="916"/>
      <c r="C38" s="494" t="s">
        <v>160</v>
      </c>
      <c r="D38" s="494"/>
      <c r="E38" s="494"/>
      <c r="F38" s="494"/>
      <c r="G38" s="495">
        <f>SUM(G28:G37)</f>
        <v>5222.634</v>
      </c>
      <c r="H38" s="145"/>
      <c r="I38" s="912"/>
      <c r="J38" s="294" t="str">
        <f>'（参考）水稲資本装備'!C7</f>
        <v>育苗ハウス</v>
      </c>
      <c r="K38" s="921">
        <f>'（参考）水稲資本装備'!I7</f>
        <v>4301100</v>
      </c>
      <c r="L38" s="921"/>
      <c r="M38" s="53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532">
        <f>+K38/M38*0.014*0.3</f>
        <v>602.154</v>
      </c>
      <c r="P38" s="927" t="s">
        <v>254</v>
      </c>
      <c r="Q38" s="209" t="s">
        <v>244</v>
      </c>
      <c r="R38" s="229"/>
      <c r="S38" s="209">
        <v>116400</v>
      </c>
      <c r="T38" s="230">
        <v>1</v>
      </c>
      <c r="U38" s="209">
        <v>30</v>
      </c>
      <c r="V38" s="532">
        <f>+S38*T38/U38</f>
        <v>3880</v>
      </c>
    </row>
    <row r="39" spans="2:22" ht="15" customHeight="1" thickTop="1">
      <c r="B39" s="914" t="s">
        <v>193</v>
      </c>
      <c r="C39" s="535" t="s">
        <v>358</v>
      </c>
      <c r="D39" s="66">
        <v>833</v>
      </c>
      <c r="E39" s="282" t="s">
        <v>332</v>
      </c>
      <c r="F39" s="66">
        <f>49110/10000</f>
        <v>4.911</v>
      </c>
      <c r="G39" s="492">
        <f>D39*F39</f>
        <v>4090.863</v>
      </c>
      <c r="H39" s="145"/>
      <c r="I39" s="912"/>
      <c r="J39" s="294"/>
      <c r="K39" s="921"/>
      <c r="L39" s="921"/>
      <c r="M39" s="530"/>
      <c r="N39" s="532"/>
      <c r="P39" s="928"/>
      <c r="Q39" s="209" t="s">
        <v>339</v>
      </c>
      <c r="R39" s="229"/>
      <c r="S39" s="209"/>
      <c r="T39" s="230">
        <v>1</v>
      </c>
      <c r="U39" s="209">
        <v>30</v>
      </c>
      <c r="V39" s="532">
        <f>+S39*T39/U39</f>
        <v>0</v>
      </c>
    </row>
    <row r="40" spans="2:24" ht="15" customHeight="1">
      <c r="B40" s="915"/>
      <c r="C40" s="66"/>
      <c r="D40" s="66"/>
      <c r="E40" s="282"/>
      <c r="F40" s="66"/>
      <c r="G40" s="492">
        <f>D40*F40</f>
        <v>0</v>
      </c>
      <c r="H40" s="145"/>
      <c r="I40" s="912"/>
      <c r="J40" s="294"/>
      <c r="K40" s="921"/>
      <c r="L40" s="921"/>
      <c r="M40" s="530"/>
      <c r="N40" s="532"/>
      <c r="P40" s="928"/>
      <c r="Q40" s="209" t="s">
        <v>340</v>
      </c>
      <c r="R40" s="229"/>
      <c r="S40" s="209"/>
      <c r="T40" s="230">
        <v>1</v>
      </c>
      <c r="U40" s="209">
        <v>30</v>
      </c>
      <c r="V40" s="532">
        <f>+S40*T40/U40</f>
        <v>0</v>
      </c>
      <c r="X40" s="151" t="s">
        <v>341</v>
      </c>
    </row>
    <row r="41" spans="2:24" ht="15" customHeight="1">
      <c r="B41" s="915"/>
      <c r="C41" s="66"/>
      <c r="D41" s="66"/>
      <c r="E41" s="282"/>
      <c r="F41" s="66"/>
      <c r="G41" s="492">
        <f>D41*F41</f>
        <v>0</v>
      </c>
      <c r="H41" s="145"/>
      <c r="I41" s="912"/>
      <c r="J41" s="294"/>
      <c r="K41" s="921"/>
      <c r="L41" s="921"/>
      <c r="M41" s="530"/>
      <c r="N41" s="532"/>
      <c r="P41" s="928"/>
      <c r="Q41" s="209"/>
      <c r="R41" s="229"/>
      <c r="S41" s="209"/>
      <c r="T41" s="230">
        <v>1</v>
      </c>
      <c r="U41" s="209"/>
      <c r="V41" s="532"/>
      <c r="X41" s="151" t="s">
        <v>342</v>
      </c>
    </row>
    <row r="42" spans="2:22" ht="15" customHeight="1" thickBot="1">
      <c r="B42" s="915"/>
      <c r="C42" s="66"/>
      <c r="D42" s="66"/>
      <c r="E42" s="282"/>
      <c r="F42" s="66"/>
      <c r="G42" s="492">
        <f aca="true" t="shared" si="2" ref="G42:G47">D42*F42</f>
        <v>0</v>
      </c>
      <c r="H42" s="145"/>
      <c r="I42" s="913"/>
      <c r="J42" s="536" t="s">
        <v>161</v>
      </c>
      <c r="K42" s="922"/>
      <c r="L42" s="923"/>
      <c r="M42" s="537"/>
      <c r="N42" s="538">
        <f>SUM(N36:N41)</f>
        <v>2982.250551724138</v>
      </c>
      <c r="P42" s="928"/>
      <c r="Q42" s="209"/>
      <c r="R42" s="229"/>
      <c r="S42" s="209"/>
      <c r="T42" s="230"/>
      <c r="U42" s="209"/>
      <c r="V42" s="532"/>
    </row>
    <row r="43" spans="2:22" ht="15" customHeight="1" thickTop="1">
      <c r="B43" s="915"/>
      <c r="C43" s="66"/>
      <c r="D43" s="66"/>
      <c r="E43" s="282"/>
      <c r="F43" s="66"/>
      <c r="G43" s="492"/>
      <c r="H43" s="145"/>
      <c r="I43" s="917" t="s">
        <v>248</v>
      </c>
      <c r="J43" s="539" t="s">
        <v>274</v>
      </c>
      <c r="K43" s="920">
        <v>8200</v>
      </c>
      <c r="L43" s="920"/>
      <c r="M43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541">
        <f>+K43/M43</f>
        <v>273.3333333333333</v>
      </c>
      <c r="P43" s="928"/>
      <c r="Q43" s="209"/>
      <c r="R43" s="229"/>
      <c r="S43" s="209"/>
      <c r="T43" s="230"/>
      <c r="U43" s="209"/>
      <c r="V43" s="532"/>
    </row>
    <row r="44" spans="2:22" ht="15" customHeight="1" thickBot="1">
      <c r="B44" s="915"/>
      <c r="C44" s="66"/>
      <c r="D44" s="66"/>
      <c r="E44" s="282"/>
      <c r="F44" s="66"/>
      <c r="G44" s="492"/>
      <c r="H44" s="145"/>
      <c r="I44" s="918"/>
      <c r="J44" s="209"/>
      <c r="K44" s="921"/>
      <c r="L44" s="921"/>
      <c r="M44" s="530"/>
      <c r="N44" s="532"/>
      <c r="P44" s="929"/>
      <c r="Q44" s="542" t="s">
        <v>257</v>
      </c>
      <c r="R44" s="543"/>
      <c r="S44" s="543"/>
      <c r="T44" s="543"/>
      <c r="U44" s="543"/>
      <c r="V44" s="544">
        <f>SUM(V38:V43)</f>
        <v>3880</v>
      </c>
    </row>
    <row r="45" spans="2:22" ht="15" customHeight="1" thickTop="1">
      <c r="B45" s="915"/>
      <c r="C45" s="66"/>
      <c r="D45" s="66"/>
      <c r="E45" s="282"/>
      <c r="F45" s="66"/>
      <c r="G45" s="492"/>
      <c r="H45" s="145"/>
      <c r="I45" s="918"/>
      <c r="J45" s="294"/>
      <c r="K45" s="921"/>
      <c r="L45" s="921"/>
      <c r="M45" s="530"/>
      <c r="N45" s="532"/>
      <c r="P45" s="962" t="s">
        <v>262</v>
      </c>
      <c r="Q45" s="959" t="s">
        <v>276</v>
      </c>
      <c r="R45" s="554" t="s">
        <v>277</v>
      </c>
      <c r="S45" s="539">
        <v>35750</v>
      </c>
      <c r="T45" s="231">
        <v>1</v>
      </c>
      <c r="U45" s="539">
        <v>30</v>
      </c>
      <c r="V45" s="545">
        <f>+S45*T45/U45</f>
        <v>1191.6666666666667</v>
      </c>
    </row>
    <row r="46" spans="2:22" ht="15" customHeight="1" thickBot="1">
      <c r="B46" s="915"/>
      <c r="C46" s="66"/>
      <c r="D46" s="66"/>
      <c r="E46" s="282"/>
      <c r="F46" s="66"/>
      <c r="G46" s="492">
        <f t="shared" si="2"/>
        <v>0</v>
      </c>
      <c r="H46" s="145"/>
      <c r="I46" s="919"/>
      <c r="J46" s="536" t="s">
        <v>161</v>
      </c>
      <c r="K46" s="922"/>
      <c r="L46" s="923"/>
      <c r="M46" s="537"/>
      <c r="N46" s="538">
        <f>SUM(N43:N45)</f>
        <v>273.3333333333333</v>
      </c>
      <c r="P46" s="928"/>
      <c r="Q46" s="960"/>
      <c r="R46" s="232"/>
      <c r="S46" s="209"/>
      <c r="T46" s="230"/>
      <c r="U46" s="209"/>
      <c r="V46" s="532"/>
    </row>
    <row r="47" spans="2:22" ht="15" customHeight="1" thickTop="1">
      <c r="B47" s="915"/>
      <c r="C47" s="66"/>
      <c r="D47" s="66"/>
      <c r="E47" s="282"/>
      <c r="F47" s="66"/>
      <c r="G47" s="492">
        <f t="shared" si="2"/>
        <v>0</v>
      </c>
      <c r="H47" s="145"/>
      <c r="I47" s="917" t="s">
        <v>249</v>
      </c>
      <c r="J47" s="539" t="s">
        <v>275</v>
      </c>
      <c r="K47" s="920">
        <v>11500</v>
      </c>
      <c r="L47" s="920"/>
      <c r="M47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545">
        <f>K47/M47</f>
        <v>383.3333333333333</v>
      </c>
      <c r="P47" s="928"/>
      <c r="Q47" s="960"/>
      <c r="R47" s="232"/>
      <c r="S47" s="209"/>
      <c r="T47" s="209"/>
      <c r="U47" s="294"/>
      <c r="V47" s="300"/>
    </row>
    <row r="48" spans="2:22" ht="15" customHeight="1">
      <c r="B48" s="915"/>
      <c r="C48" s="66"/>
      <c r="D48" s="66"/>
      <c r="E48" s="282"/>
      <c r="F48" s="66"/>
      <c r="G48" s="492">
        <f>D48*F48</f>
        <v>0</v>
      </c>
      <c r="H48" s="145"/>
      <c r="I48" s="918"/>
      <c r="J48" s="209"/>
      <c r="K48" s="921"/>
      <c r="L48" s="921"/>
      <c r="M48" s="530"/>
      <c r="N48" s="532"/>
      <c r="P48" s="928"/>
      <c r="Q48" s="960"/>
      <c r="R48" s="232" t="s">
        <v>261</v>
      </c>
      <c r="S48" s="209">
        <v>15600</v>
      </c>
      <c r="T48" s="230">
        <v>1</v>
      </c>
      <c r="U48" s="209">
        <v>30</v>
      </c>
      <c r="V48" s="532">
        <f>+S48*T48/U48</f>
        <v>520</v>
      </c>
    </row>
    <row r="49" spans="2:22" ht="15" customHeight="1" thickBot="1">
      <c r="B49" s="916"/>
      <c r="C49" s="502" t="s">
        <v>161</v>
      </c>
      <c r="D49" s="503"/>
      <c r="E49" s="503"/>
      <c r="F49" s="503"/>
      <c r="G49" s="504">
        <f>SUM(G39:G48)</f>
        <v>4090.863</v>
      </c>
      <c r="H49" s="145"/>
      <c r="I49" s="918"/>
      <c r="J49" s="294"/>
      <c r="K49" s="921"/>
      <c r="L49" s="921"/>
      <c r="M49" s="530"/>
      <c r="N49" s="532"/>
      <c r="P49" s="928"/>
      <c r="Q49" s="961"/>
      <c r="R49" s="232"/>
      <c r="S49" s="209"/>
      <c r="T49" s="209"/>
      <c r="U49" s="294"/>
      <c r="V49" s="300"/>
    </row>
    <row r="50" spans="2:22" ht="15" customHeight="1" thickBot="1" thickTop="1">
      <c r="B50" s="914" t="s">
        <v>32</v>
      </c>
      <c r="C50" s="66" t="s">
        <v>755</v>
      </c>
      <c r="D50" s="66">
        <v>10</v>
      </c>
      <c r="E50" s="282" t="s">
        <v>310</v>
      </c>
      <c r="F50" s="66">
        <f>24330/10</f>
        <v>2433</v>
      </c>
      <c r="G50" s="492">
        <f>D50*F50</f>
        <v>24330</v>
      </c>
      <c r="H50" s="145"/>
      <c r="I50" s="919"/>
      <c r="J50" s="536" t="s">
        <v>161</v>
      </c>
      <c r="K50" s="922"/>
      <c r="L50" s="923"/>
      <c r="M50" s="537"/>
      <c r="N50" s="538">
        <f>SUM(N47:N49)</f>
        <v>383.3333333333333</v>
      </c>
      <c r="P50" s="928"/>
      <c r="Q50" s="542" t="s">
        <v>257</v>
      </c>
      <c r="R50" s="543"/>
      <c r="S50" s="543"/>
      <c r="T50" s="543"/>
      <c r="U50" s="543"/>
      <c r="V50" s="544">
        <f>SUM(V45:V49)</f>
        <v>1711.6666666666667</v>
      </c>
    </row>
    <row r="51" spans="2:22" ht="15" customHeight="1" thickTop="1">
      <c r="B51" s="915"/>
      <c r="C51" s="66"/>
      <c r="D51" s="66"/>
      <c r="E51" s="66"/>
      <c r="F51" s="66"/>
      <c r="G51" s="492">
        <f>D51*F51</f>
        <v>0</v>
      </c>
      <c r="H51" s="145"/>
      <c r="I51" s="917" t="s">
        <v>250</v>
      </c>
      <c r="J51" s="539" t="s">
        <v>54</v>
      </c>
      <c r="K51" s="930">
        <v>2400</v>
      </c>
      <c r="L51" s="931"/>
      <c r="M51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541">
        <f>+K51/M51</f>
        <v>80</v>
      </c>
      <c r="P51" s="928"/>
      <c r="Q51" s="959" t="s">
        <v>278</v>
      </c>
      <c r="R51" s="554" t="s">
        <v>277</v>
      </c>
      <c r="S51" s="539">
        <v>60000</v>
      </c>
      <c r="T51" s="231">
        <v>1</v>
      </c>
      <c r="U51" s="539">
        <v>36</v>
      </c>
      <c r="V51" s="545">
        <f>+S51*T51/U51</f>
        <v>1666.6666666666667</v>
      </c>
    </row>
    <row r="52" spans="2:22" ht="15" customHeight="1">
      <c r="B52" s="915"/>
      <c r="C52" s="66"/>
      <c r="D52" s="66"/>
      <c r="E52" s="66"/>
      <c r="F52" s="66"/>
      <c r="G52" s="492">
        <f>D52*F52</f>
        <v>0</v>
      </c>
      <c r="H52" s="145"/>
      <c r="I52" s="918"/>
      <c r="J52" s="209" t="s">
        <v>54</v>
      </c>
      <c r="K52" s="932">
        <v>2400</v>
      </c>
      <c r="L52" s="933"/>
      <c r="M52" s="53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532">
        <f>+K52/M52</f>
        <v>80</v>
      </c>
      <c r="P52" s="928"/>
      <c r="Q52" s="960"/>
      <c r="R52" s="232"/>
      <c r="S52" s="209"/>
      <c r="T52" s="230"/>
      <c r="U52" s="209"/>
      <c r="V52" s="532"/>
    </row>
    <row r="53" spans="2:22" ht="15" customHeight="1" thickBot="1">
      <c r="B53" s="916"/>
      <c r="C53" s="502" t="s">
        <v>161</v>
      </c>
      <c r="D53" s="503"/>
      <c r="E53" s="503"/>
      <c r="F53" s="503"/>
      <c r="G53" s="504">
        <f>SUM(G50:G52)</f>
        <v>24330</v>
      </c>
      <c r="H53" s="145"/>
      <c r="I53" s="918"/>
      <c r="J53" s="209" t="s">
        <v>56</v>
      </c>
      <c r="K53" s="934">
        <v>2400</v>
      </c>
      <c r="L53" s="935"/>
      <c r="M53" s="218">
        <f>'１　対象経営の概要，２　前提条件'!N7</f>
        <v>29</v>
      </c>
      <c r="N53" s="532">
        <f>+K53/M53</f>
        <v>82.75862068965517</v>
      </c>
      <c r="P53" s="928"/>
      <c r="Q53" s="960"/>
      <c r="R53" s="232"/>
      <c r="S53" s="209"/>
      <c r="T53" s="209"/>
      <c r="U53" s="294"/>
      <c r="V53" s="300"/>
    </row>
    <row r="54" spans="2:22" ht="13.5" customHeight="1" thickTop="1">
      <c r="B54" s="914" t="s">
        <v>356</v>
      </c>
      <c r="C54" s="48" t="s">
        <v>756</v>
      </c>
      <c r="D54" s="546">
        <f>131*50/1000</f>
        <v>6.55</v>
      </c>
      <c r="E54" s="282" t="s">
        <v>310</v>
      </c>
      <c r="F54" s="66">
        <f>9650/3</f>
        <v>3216.6666666666665</v>
      </c>
      <c r="G54" s="369">
        <f>D54*F54</f>
        <v>21069.166666666664</v>
      </c>
      <c r="I54" s="918"/>
      <c r="J54" s="209" t="s">
        <v>56</v>
      </c>
      <c r="K54" s="934">
        <v>2400</v>
      </c>
      <c r="L54" s="935"/>
      <c r="M54" s="218">
        <f>'１　対象経営の概要，２　前提条件'!N7</f>
        <v>29</v>
      </c>
      <c r="N54" s="532">
        <f>+K54/M54</f>
        <v>82.75862068965517</v>
      </c>
      <c r="P54" s="928"/>
      <c r="Q54" s="960"/>
      <c r="R54" s="232" t="s">
        <v>261</v>
      </c>
      <c r="S54" s="209">
        <v>25000</v>
      </c>
      <c r="T54" s="230">
        <v>1</v>
      </c>
      <c r="U54" s="209">
        <v>36</v>
      </c>
      <c r="V54" s="532">
        <f>+S54*T54/U54</f>
        <v>694.4444444444445</v>
      </c>
    </row>
    <row r="55" spans="2:22" ht="13.5">
      <c r="B55" s="915"/>
      <c r="C55" s="48" t="s">
        <v>757</v>
      </c>
      <c r="D55" s="66">
        <v>1667</v>
      </c>
      <c r="E55" s="282" t="s">
        <v>318</v>
      </c>
      <c r="F55" s="66">
        <f>90790/20000</f>
        <v>4.5395</v>
      </c>
      <c r="G55" s="492">
        <f>D55*F55</f>
        <v>7567.346500000001</v>
      </c>
      <c r="I55" s="918"/>
      <c r="J55" s="530" t="s">
        <v>261</v>
      </c>
      <c r="K55" s="936">
        <v>5000</v>
      </c>
      <c r="L55" s="937"/>
      <c r="M55" s="53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532">
        <f>+K55/M55</f>
        <v>166.66666666666666</v>
      </c>
      <c r="P55" s="928"/>
      <c r="Q55" s="961"/>
      <c r="R55" s="232"/>
      <c r="S55" s="209"/>
      <c r="T55" s="209"/>
      <c r="U55" s="294"/>
      <c r="V55" s="300"/>
    </row>
    <row r="56" spans="2:22" ht="13.5">
      <c r="B56" s="915"/>
      <c r="C56" s="66"/>
      <c r="D56" s="66"/>
      <c r="E56" s="282" t="s">
        <v>163</v>
      </c>
      <c r="F56" s="66"/>
      <c r="G56" s="492">
        <f>D56*F56</f>
        <v>0</v>
      </c>
      <c r="I56" s="911"/>
      <c r="J56" s="547" t="s">
        <v>161</v>
      </c>
      <c r="K56" s="938"/>
      <c r="L56" s="939"/>
      <c r="M56" s="548"/>
      <c r="N56" s="549">
        <f>SUM(N51:N55)</f>
        <v>492.183908045977</v>
      </c>
      <c r="P56" s="963"/>
      <c r="Q56" s="550" t="s">
        <v>257</v>
      </c>
      <c r="R56" s="551"/>
      <c r="S56" s="551"/>
      <c r="T56" s="551"/>
      <c r="U56" s="551"/>
      <c r="V56" s="552">
        <f>SUM(V51:V55)</f>
        <v>2361.1111111111113</v>
      </c>
    </row>
    <row r="57" spans="2:22" ht="14.25" thickBot="1">
      <c r="B57" s="940"/>
      <c r="C57" s="518" t="s">
        <v>164</v>
      </c>
      <c r="D57" s="69"/>
      <c r="E57" s="69"/>
      <c r="F57" s="69"/>
      <c r="G57" s="347">
        <f>SUM(G54:G56)</f>
        <v>28636.513166666664</v>
      </c>
      <c r="I57" s="964" t="s">
        <v>251</v>
      </c>
      <c r="J57" s="956"/>
      <c r="K57" s="965"/>
      <c r="L57" s="966"/>
      <c r="M57" s="525"/>
      <c r="N57" s="553">
        <f>SUM(N42,N46,N50,N56)</f>
        <v>4131.101126436782</v>
      </c>
      <c r="P57" s="957" t="s">
        <v>251</v>
      </c>
      <c r="Q57" s="958"/>
      <c r="R57" s="516"/>
      <c r="S57" s="516"/>
      <c r="T57" s="516"/>
      <c r="U57" s="516"/>
      <c r="V57" s="553">
        <f>SUM(V44,V50,V56)</f>
        <v>7952.777777777778</v>
      </c>
    </row>
    <row r="58" ht="13.5">
      <c r="V58" s="151"/>
    </row>
    <row r="83" spans="2:6" ht="13.5">
      <c r="B83" s="144"/>
      <c r="C83" s="145"/>
      <c r="D83" s="145"/>
      <c r="E83" s="145"/>
      <c r="F83" s="145"/>
    </row>
    <row r="84" spans="2:6" ht="13.5">
      <c r="B84" s="144"/>
      <c r="C84" s="145"/>
      <c r="D84" s="145"/>
      <c r="E84" s="145"/>
      <c r="F84" s="145"/>
    </row>
  </sheetData>
  <sheetProtection/>
  <mergeCells count="70">
    <mergeCell ref="P57:Q57"/>
    <mergeCell ref="Q45:Q49"/>
    <mergeCell ref="Q51:Q55"/>
    <mergeCell ref="P45:P56"/>
    <mergeCell ref="I57:J57"/>
    <mergeCell ref="K45:L45"/>
    <mergeCell ref="K48:L48"/>
    <mergeCell ref="K49:L49"/>
    <mergeCell ref="K57:L57"/>
    <mergeCell ref="I47:I50"/>
    <mergeCell ref="T21:U21"/>
    <mergeCell ref="T15:U15"/>
    <mergeCell ref="T16:U16"/>
    <mergeCell ref="T19:U19"/>
    <mergeCell ref="T20:U20"/>
    <mergeCell ref="T17:U17"/>
    <mergeCell ref="T18:U18"/>
    <mergeCell ref="T6:U6"/>
    <mergeCell ref="I6:I12"/>
    <mergeCell ref="Q37:R37"/>
    <mergeCell ref="T14:U14"/>
    <mergeCell ref="T7:U7"/>
    <mergeCell ref="T8:U8"/>
    <mergeCell ref="T9:U9"/>
    <mergeCell ref="T11:U11"/>
    <mergeCell ref="T12:U12"/>
    <mergeCell ref="T13:U13"/>
    <mergeCell ref="J4:J5"/>
    <mergeCell ref="I4:I5"/>
    <mergeCell ref="T4:U4"/>
    <mergeCell ref="T5:U5"/>
    <mergeCell ref="M4:M5"/>
    <mergeCell ref="N4:N5"/>
    <mergeCell ref="K50:L50"/>
    <mergeCell ref="K47:L47"/>
    <mergeCell ref="B54:B57"/>
    <mergeCell ref="B50:B53"/>
    <mergeCell ref="B5:B7"/>
    <mergeCell ref="B12:B16"/>
    <mergeCell ref="B21:B24"/>
    <mergeCell ref="B17:B20"/>
    <mergeCell ref="B28:B38"/>
    <mergeCell ref="B39:B49"/>
    <mergeCell ref="I51:I56"/>
    <mergeCell ref="K51:L51"/>
    <mergeCell ref="K52:L52"/>
    <mergeCell ref="K53:L53"/>
    <mergeCell ref="K54:L54"/>
    <mergeCell ref="K55:L55"/>
    <mergeCell ref="K56:L56"/>
    <mergeCell ref="I25:I28"/>
    <mergeCell ref="I17:I20"/>
    <mergeCell ref="P38:P44"/>
    <mergeCell ref="K41:L41"/>
    <mergeCell ref="K38:L38"/>
    <mergeCell ref="K36:L36"/>
    <mergeCell ref="K37:L37"/>
    <mergeCell ref="K39:L39"/>
    <mergeCell ref="K40:L40"/>
    <mergeCell ref="K42:L42"/>
    <mergeCell ref="I21:I24"/>
    <mergeCell ref="I36:I42"/>
    <mergeCell ref="B8:B11"/>
    <mergeCell ref="I43:I46"/>
    <mergeCell ref="I13:I16"/>
    <mergeCell ref="K43:L43"/>
    <mergeCell ref="K44:L44"/>
    <mergeCell ref="K46:L46"/>
    <mergeCell ref="K35:L35"/>
    <mergeCell ref="I29:I32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62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84"/>
  <sheetViews>
    <sheetView zoomScale="75" zoomScaleNormal="75" zoomScalePageLayoutView="0" workbookViewId="0" topLeftCell="A1">
      <selection activeCell="A1" sqref="A1"/>
    </sheetView>
  </sheetViews>
  <sheetFormatPr defaultColWidth="8.875" defaultRowHeight="13.5"/>
  <cols>
    <col min="1" max="1" width="1.625" style="151" customWidth="1"/>
    <col min="2" max="2" width="3.625" style="151" customWidth="1"/>
    <col min="3" max="3" width="19.50390625" style="151" customWidth="1"/>
    <col min="4" max="7" width="8.625" style="151" customWidth="1"/>
    <col min="8" max="8" width="2.375" style="151" customWidth="1"/>
    <col min="9" max="9" width="3.625" style="151" customWidth="1"/>
    <col min="10" max="10" width="15.625" style="151" customWidth="1"/>
    <col min="11" max="14" width="8.625" style="151" customWidth="1"/>
    <col min="15" max="15" width="3.50390625" style="151" customWidth="1"/>
    <col min="16" max="16" width="15.625" style="421" customWidth="1"/>
    <col min="17" max="17" width="8.625" style="151" customWidth="1"/>
    <col min="18" max="18" width="8.625" style="479" customWidth="1"/>
    <col min="19" max="21" width="8.625" style="151" customWidth="1"/>
    <col min="22" max="22" width="10.625" style="479" customWidth="1"/>
    <col min="23" max="23" width="3.00390625" style="151" customWidth="1"/>
    <col min="24" max="16384" width="8.875" style="151" customWidth="1"/>
  </cols>
  <sheetData>
    <row r="1" ht="9.75" customHeight="1"/>
    <row r="2" spans="2:15" ht="24.75" customHeight="1">
      <c r="B2" s="151" t="s">
        <v>458</v>
      </c>
      <c r="C2" s="480"/>
      <c r="D2" s="160"/>
      <c r="E2" s="160"/>
      <c r="F2" s="480"/>
      <c r="G2" s="122"/>
      <c r="H2" s="122"/>
      <c r="I2" s="122"/>
      <c r="J2" s="122"/>
      <c r="K2" s="122"/>
      <c r="L2" s="122"/>
      <c r="M2" s="122"/>
      <c r="N2" s="122"/>
      <c r="O2" s="160"/>
    </row>
    <row r="3" spans="2:16" ht="15" customHeight="1" thickBot="1">
      <c r="B3" s="151" t="s">
        <v>238</v>
      </c>
      <c r="I3" s="160" t="s">
        <v>239</v>
      </c>
      <c r="P3" s="151" t="s">
        <v>259</v>
      </c>
    </row>
    <row r="4" spans="2:22" ht="15" customHeight="1">
      <c r="B4" s="481" t="s">
        <v>89</v>
      </c>
      <c r="C4" s="258" t="s">
        <v>194</v>
      </c>
      <c r="D4" s="258" t="s">
        <v>154</v>
      </c>
      <c r="E4" s="258" t="s">
        <v>155</v>
      </c>
      <c r="F4" s="258" t="s">
        <v>24</v>
      </c>
      <c r="G4" s="482" t="s">
        <v>156</v>
      </c>
      <c r="H4" s="144"/>
      <c r="I4" s="944" t="s">
        <v>89</v>
      </c>
      <c r="J4" s="942" t="s">
        <v>198</v>
      </c>
      <c r="K4" s="483" t="s">
        <v>195</v>
      </c>
      <c r="L4" s="483" t="s">
        <v>157</v>
      </c>
      <c r="M4" s="942" t="s">
        <v>24</v>
      </c>
      <c r="N4" s="949" t="s">
        <v>156</v>
      </c>
      <c r="O4" s="160"/>
      <c r="P4" s="484" t="s">
        <v>201</v>
      </c>
      <c r="Q4" s="485" t="s">
        <v>202</v>
      </c>
      <c r="R4" s="485" t="s">
        <v>203</v>
      </c>
      <c r="S4" s="485" t="s">
        <v>204</v>
      </c>
      <c r="T4" s="946" t="s">
        <v>205</v>
      </c>
      <c r="U4" s="845"/>
      <c r="V4" s="486" t="s">
        <v>206</v>
      </c>
    </row>
    <row r="5" spans="2:24" ht="15" customHeight="1">
      <c r="B5" s="941" t="s">
        <v>190</v>
      </c>
      <c r="C5" s="66"/>
      <c r="D5" s="66"/>
      <c r="E5" s="282" t="s">
        <v>407</v>
      </c>
      <c r="F5" s="66"/>
      <c r="G5" s="369">
        <f>D5*F5</f>
        <v>0</v>
      </c>
      <c r="H5" s="145"/>
      <c r="I5" s="945"/>
      <c r="J5" s="943"/>
      <c r="K5" s="487" t="s">
        <v>159</v>
      </c>
      <c r="L5" s="487" t="s">
        <v>325</v>
      </c>
      <c r="M5" s="943"/>
      <c r="N5" s="950"/>
      <c r="O5" s="160"/>
      <c r="P5" s="488" t="s">
        <v>463</v>
      </c>
      <c r="Q5" s="182"/>
      <c r="R5" s="446" t="s">
        <v>105</v>
      </c>
      <c r="S5" s="182"/>
      <c r="T5" s="947" t="s">
        <v>464</v>
      </c>
      <c r="U5" s="948"/>
      <c r="V5" s="491">
        <v>5806.666666666667</v>
      </c>
      <c r="X5" s="151" t="s">
        <v>411</v>
      </c>
    </row>
    <row r="6" spans="2:22" ht="15" customHeight="1">
      <c r="B6" s="915"/>
      <c r="C6" s="66"/>
      <c r="D6" s="66"/>
      <c r="E6" s="282" t="s">
        <v>158</v>
      </c>
      <c r="F6" s="66"/>
      <c r="G6" s="492">
        <f>D6*F6</f>
        <v>0</v>
      </c>
      <c r="H6" s="145"/>
      <c r="I6" s="951" t="s">
        <v>197</v>
      </c>
      <c r="J6" s="66" t="s">
        <v>322</v>
      </c>
      <c r="K6" s="262">
        <v>4.2</v>
      </c>
      <c r="L6" s="262">
        <v>13</v>
      </c>
      <c r="M6" s="262">
        <v>84.7</v>
      </c>
      <c r="N6" s="493">
        <f aca="true" t="shared" si="0" ref="N6:N11">K6*L6*M6</f>
        <v>4624.62</v>
      </c>
      <c r="O6" s="160"/>
      <c r="P6" s="488"/>
      <c r="Q6" s="182"/>
      <c r="R6" s="446" t="s">
        <v>263</v>
      </c>
      <c r="S6" s="182"/>
      <c r="T6" s="947"/>
      <c r="U6" s="948"/>
      <c r="V6" s="491"/>
    </row>
    <row r="7" spans="2:22" ht="15" customHeight="1" thickBot="1">
      <c r="B7" s="916"/>
      <c r="C7" s="494" t="s">
        <v>160</v>
      </c>
      <c r="D7" s="494"/>
      <c r="E7" s="494"/>
      <c r="F7" s="494"/>
      <c r="G7" s="495">
        <f>SUM(G5:G6)</f>
        <v>0</v>
      </c>
      <c r="H7" s="145"/>
      <c r="I7" s="952"/>
      <c r="J7" s="66" t="s">
        <v>323</v>
      </c>
      <c r="K7" s="262">
        <v>2.6</v>
      </c>
      <c r="L7" s="262">
        <f>5+6.5</f>
        <v>11.5</v>
      </c>
      <c r="M7" s="262">
        <v>84.7</v>
      </c>
      <c r="N7" s="493">
        <f t="shared" si="0"/>
        <v>2532.53</v>
      </c>
      <c r="O7" s="160"/>
      <c r="P7" s="488"/>
      <c r="Q7" s="182"/>
      <c r="R7" s="446" t="s">
        <v>264</v>
      </c>
      <c r="S7" s="182"/>
      <c r="T7" s="947"/>
      <c r="U7" s="948"/>
      <c r="V7" s="491"/>
    </row>
    <row r="8" spans="2:22" ht="15" customHeight="1" thickTop="1">
      <c r="B8" s="914" t="s">
        <v>188</v>
      </c>
      <c r="C8" s="66" t="s">
        <v>751</v>
      </c>
      <c r="D8" s="66">
        <v>10</v>
      </c>
      <c r="E8" s="282" t="s">
        <v>306</v>
      </c>
      <c r="F8" s="66">
        <v>3840</v>
      </c>
      <c r="G8" s="492">
        <f>D8*F8</f>
        <v>38400</v>
      </c>
      <c r="H8" s="145"/>
      <c r="I8" s="952"/>
      <c r="J8" s="66" t="s">
        <v>331</v>
      </c>
      <c r="K8" s="262">
        <v>1.2</v>
      </c>
      <c r="L8" s="262">
        <v>3</v>
      </c>
      <c r="M8" s="262">
        <v>84.7</v>
      </c>
      <c r="N8" s="493">
        <f t="shared" si="0"/>
        <v>304.91999999999996</v>
      </c>
      <c r="O8" s="160"/>
      <c r="P8" s="488"/>
      <c r="Q8" s="182"/>
      <c r="R8" s="446" t="s">
        <v>264</v>
      </c>
      <c r="S8" s="182"/>
      <c r="T8" s="947"/>
      <c r="U8" s="948"/>
      <c r="V8" s="491"/>
    </row>
    <row r="9" spans="2:22" ht="15" customHeight="1">
      <c r="B9" s="915"/>
      <c r="C9" s="66"/>
      <c r="D9" s="66">
        <v>0</v>
      </c>
      <c r="E9" s="282" t="s">
        <v>158</v>
      </c>
      <c r="F9" s="66"/>
      <c r="G9" s="492">
        <f>D9*F9</f>
        <v>0</v>
      </c>
      <c r="H9" s="145"/>
      <c r="I9" s="952"/>
      <c r="J9" s="496" t="s">
        <v>326</v>
      </c>
      <c r="K9" s="497">
        <v>4.3</v>
      </c>
      <c r="L9" s="497">
        <v>5</v>
      </c>
      <c r="M9" s="262">
        <v>84.7</v>
      </c>
      <c r="N9" s="498">
        <f t="shared" si="0"/>
        <v>1821.05</v>
      </c>
      <c r="O9" s="160"/>
      <c r="P9" s="488"/>
      <c r="Q9" s="182"/>
      <c r="R9" s="446" t="s">
        <v>263</v>
      </c>
      <c r="S9" s="182"/>
      <c r="T9" s="947"/>
      <c r="U9" s="948"/>
      <c r="V9" s="491"/>
    </row>
    <row r="10" spans="2:22" ht="15" customHeight="1">
      <c r="B10" s="915"/>
      <c r="C10" s="66"/>
      <c r="D10" s="66"/>
      <c r="E10" s="282" t="s">
        <v>158</v>
      </c>
      <c r="F10" s="66"/>
      <c r="G10" s="492">
        <f>D10*F10</f>
        <v>0</v>
      </c>
      <c r="H10" s="145"/>
      <c r="I10" s="952"/>
      <c r="J10" s="499"/>
      <c r="K10" s="500"/>
      <c r="L10" s="500"/>
      <c r="M10" s="262"/>
      <c r="N10" s="501"/>
      <c r="O10" s="160"/>
      <c r="P10" s="488"/>
      <c r="Q10" s="182"/>
      <c r="R10" s="446"/>
      <c r="S10" s="182"/>
      <c r="T10" s="489"/>
      <c r="U10" s="490"/>
      <c r="V10" s="491"/>
    </row>
    <row r="11" spans="2:22" ht="15" customHeight="1" thickBot="1">
      <c r="B11" s="916"/>
      <c r="C11" s="502" t="s">
        <v>161</v>
      </c>
      <c r="D11" s="503"/>
      <c r="E11" s="503"/>
      <c r="F11" s="503"/>
      <c r="G11" s="504">
        <f>SUM(G8:G10)</f>
        <v>38400</v>
      </c>
      <c r="H11" s="145"/>
      <c r="I11" s="952"/>
      <c r="J11" s="505" t="s">
        <v>328</v>
      </c>
      <c r="K11" s="506">
        <v>1.2</v>
      </c>
      <c r="L11" s="506">
        <v>3.5</v>
      </c>
      <c r="M11" s="262">
        <v>84.7</v>
      </c>
      <c r="N11" s="507">
        <f t="shared" si="0"/>
        <v>355.74</v>
      </c>
      <c r="O11" s="160"/>
      <c r="P11" s="488"/>
      <c r="Q11" s="182"/>
      <c r="R11" s="446" t="s">
        <v>266</v>
      </c>
      <c r="S11" s="182"/>
      <c r="T11" s="947"/>
      <c r="U11" s="948"/>
      <c r="V11" s="491"/>
    </row>
    <row r="12" spans="2:22" ht="15" customHeight="1" thickBot="1" thickTop="1">
      <c r="B12" s="914" t="s">
        <v>189</v>
      </c>
      <c r="C12" s="66" t="s">
        <v>752</v>
      </c>
      <c r="D12" s="66">
        <v>500</v>
      </c>
      <c r="E12" s="282" t="s">
        <v>319</v>
      </c>
      <c r="F12" s="66">
        <f>3200/20</f>
        <v>160</v>
      </c>
      <c r="G12" s="492">
        <f>D12*F12</f>
        <v>80000</v>
      </c>
      <c r="H12" s="145"/>
      <c r="I12" s="953"/>
      <c r="J12" s="502" t="s">
        <v>265</v>
      </c>
      <c r="K12" s="508">
        <f>SUM(K6:K9)</f>
        <v>12.3</v>
      </c>
      <c r="L12" s="508">
        <f>SUM(L6:L11)</f>
        <v>36</v>
      </c>
      <c r="M12" s="508"/>
      <c r="N12" s="509">
        <f>SUM(N6:N11)</f>
        <v>9638.859999999999</v>
      </c>
      <c r="O12" s="160"/>
      <c r="P12" s="488"/>
      <c r="Q12" s="182"/>
      <c r="R12" s="446" t="s">
        <v>263</v>
      </c>
      <c r="S12" s="182"/>
      <c r="T12" s="947"/>
      <c r="U12" s="948"/>
      <c r="V12" s="491"/>
    </row>
    <row r="13" spans="2:22" ht="15" customHeight="1" thickTop="1">
      <c r="B13" s="915"/>
      <c r="C13" s="66"/>
      <c r="D13" s="66"/>
      <c r="E13" s="282" t="s">
        <v>319</v>
      </c>
      <c r="F13" s="66"/>
      <c r="G13" s="492">
        <f>D13*F13</f>
        <v>0</v>
      </c>
      <c r="H13" s="145"/>
      <c r="I13" s="908" t="s">
        <v>48</v>
      </c>
      <c r="J13" s="66" t="s">
        <v>324</v>
      </c>
      <c r="K13" s="262">
        <v>2.8</v>
      </c>
      <c r="L13" s="262">
        <v>3.3</v>
      </c>
      <c r="M13" s="262">
        <v>158.4</v>
      </c>
      <c r="N13" s="493">
        <f>K13*L13*M13</f>
        <v>1463.6159999999998</v>
      </c>
      <c r="O13" s="160"/>
      <c r="P13" s="488"/>
      <c r="Q13" s="182"/>
      <c r="R13" s="446" t="s">
        <v>264</v>
      </c>
      <c r="S13" s="182"/>
      <c r="T13" s="947"/>
      <c r="U13" s="948"/>
      <c r="V13" s="491"/>
    </row>
    <row r="14" spans="2:22" ht="15" customHeight="1">
      <c r="B14" s="915"/>
      <c r="C14" s="66"/>
      <c r="D14" s="66"/>
      <c r="E14" s="282"/>
      <c r="F14" s="66"/>
      <c r="G14" s="492">
        <f>D14*F14</f>
        <v>0</v>
      </c>
      <c r="H14" s="145"/>
      <c r="I14" s="909"/>
      <c r="J14" s="66"/>
      <c r="K14" s="262"/>
      <c r="L14" s="262"/>
      <c r="M14" s="262"/>
      <c r="N14" s="493">
        <f>K14*L14*M14</f>
        <v>0</v>
      </c>
      <c r="O14" s="160"/>
      <c r="P14" s="488"/>
      <c r="Q14" s="182"/>
      <c r="R14" s="446" t="s">
        <v>263</v>
      </c>
      <c r="S14" s="182"/>
      <c r="T14" s="947"/>
      <c r="U14" s="948"/>
      <c r="V14" s="491"/>
    </row>
    <row r="15" spans="2:22" ht="15" customHeight="1">
      <c r="B15" s="915"/>
      <c r="C15" s="66"/>
      <c r="D15" s="66"/>
      <c r="E15" s="66"/>
      <c r="F15" s="66"/>
      <c r="G15" s="492">
        <f>D15*F15</f>
        <v>0</v>
      </c>
      <c r="H15" s="145"/>
      <c r="I15" s="909"/>
      <c r="J15" s="66"/>
      <c r="K15" s="262"/>
      <c r="L15" s="262"/>
      <c r="M15" s="262"/>
      <c r="N15" s="493">
        <f>K15*L15*M15</f>
        <v>0</v>
      </c>
      <c r="O15" s="160"/>
      <c r="P15" s="488"/>
      <c r="Q15" s="182"/>
      <c r="R15" s="446" t="s">
        <v>207</v>
      </c>
      <c r="S15" s="182"/>
      <c r="T15" s="947"/>
      <c r="U15" s="948"/>
      <c r="V15" s="491"/>
    </row>
    <row r="16" spans="2:22" ht="15" customHeight="1" thickBot="1">
      <c r="B16" s="916"/>
      <c r="C16" s="502" t="s">
        <v>161</v>
      </c>
      <c r="D16" s="503"/>
      <c r="E16" s="503"/>
      <c r="F16" s="503"/>
      <c r="G16" s="504">
        <f>SUM(G12:G15)</f>
        <v>80000</v>
      </c>
      <c r="H16" s="145"/>
      <c r="I16" s="910"/>
      <c r="J16" s="510" t="s">
        <v>265</v>
      </c>
      <c r="K16" s="511">
        <f>SUM(K13:K15)</f>
        <v>2.8</v>
      </c>
      <c r="L16" s="511">
        <f>SUM(L13:L15)</f>
        <v>3.3</v>
      </c>
      <c r="M16" s="511"/>
      <c r="N16" s="512">
        <f>SUM(N13:N15)</f>
        <v>1463.6159999999998</v>
      </c>
      <c r="O16" s="160"/>
      <c r="P16" s="488"/>
      <c r="Q16" s="182"/>
      <c r="R16" s="446" t="s">
        <v>207</v>
      </c>
      <c r="S16" s="182"/>
      <c r="T16" s="947"/>
      <c r="U16" s="948"/>
      <c r="V16" s="491"/>
    </row>
    <row r="17" spans="2:22" ht="15" customHeight="1" thickTop="1">
      <c r="B17" s="914" t="s">
        <v>191</v>
      </c>
      <c r="C17" s="66"/>
      <c r="D17" s="66"/>
      <c r="E17" s="282" t="s">
        <v>162</v>
      </c>
      <c r="F17" s="66"/>
      <c r="G17" s="492">
        <f>D17*F17</f>
        <v>0</v>
      </c>
      <c r="H17" s="145"/>
      <c r="I17" s="908" t="s">
        <v>199</v>
      </c>
      <c r="J17" s="66"/>
      <c r="K17" s="262">
        <v>0</v>
      </c>
      <c r="L17" s="262"/>
      <c r="M17" s="262"/>
      <c r="N17" s="493">
        <f>K17*L17*M17</f>
        <v>0</v>
      </c>
      <c r="O17" s="160"/>
      <c r="P17" s="488"/>
      <c r="Q17" s="182"/>
      <c r="R17" s="446"/>
      <c r="S17" s="182"/>
      <c r="T17" s="947"/>
      <c r="U17" s="948"/>
      <c r="V17" s="491"/>
    </row>
    <row r="18" spans="2:22" ht="15" customHeight="1">
      <c r="B18" s="915"/>
      <c r="C18" s="66"/>
      <c r="D18" s="66"/>
      <c r="E18" s="282"/>
      <c r="F18" s="66"/>
      <c r="G18" s="492">
        <f>D18*F18</f>
        <v>0</v>
      </c>
      <c r="H18" s="145"/>
      <c r="I18" s="909"/>
      <c r="J18" s="66"/>
      <c r="K18" s="262"/>
      <c r="L18" s="262"/>
      <c r="M18" s="262"/>
      <c r="N18" s="493">
        <f>K18*L18*M18</f>
        <v>0</v>
      </c>
      <c r="O18" s="160"/>
      <c r="P18" s="488"/>
      <c r="Q18" s="182"/>
      <c r="R18" s="446"/>
      <c r="S18" s="182"/>
      <c r="T18" s="947"/>
      <c r="U18" s="948"/>
      <c r="V18" s="491"/>
    </row>
    <row r="19" spans="2:22" ht="15" customHeight="1">
      <c r="B19" s="915"/>
      <c r="C19" s="66"/>
      <c r="D19" s="66"/>
      <c r="E19" s="66"/>
      <c r="F19" s="66"/>
      <c r="G19" s="492">
        <f>D19*F19</f>
        <v>0</v>
      </c>
      <c r="H19" s="145"/>
      <c r="I19" s="909"/>
      <c r="J19" s="66"/>
      <c r="K19" s="262"/>
      <c r="L19" s="262"/>
      <c r="M19" s="262"/>
      <c r="N19" s="493">
        <f>K19*L19*M19</f>
        <v>0</v>
      </c>
      <c r="O19" s="160"/>
      <c r="P19" s="488"/>
      <c r="Q19" s="182"/>
      <c r="R19" s="446"/>
      <c r="S19" s="182"/>
      <c r="T19" s="947"/>
      <c r="U19" s="948"/>
      <c r="V19" s="491"/>
    </row>
    <row r="20" spans="2:22" ht="15" customHeight="1" thickBot="1">
      <c r="B20" s="916"/>
      <c r="C20" s="502" t="s">
        <v>161</v>
      </c>
      <c r="D20" s="503"/>
      <c r="E20" s="503"/>
      <c r="F20" s="503"/>
      <c r="G20" s="504">
        <f>SUM(G17:G19)</f>
        <v>0</v>
      </c>
      <c r="H20" s="145"/>
      <c r="I20" s="910"/>
      <c r="J20" s="510" t="s">
        <v>265</v>
      </c>
      <c r="K20" s="511">
        <f>SUM(K17:K19)</f>
        <v>0</v>
      </c>
      <c r="L20" s="513">
        <f>SUM(L17:L19)</f>
        <v>0</v>
      </c>
      <c r="M20" s="514"/>
      <c r="N20" s="512">
        <f>SUM(N17:N19)</f>
        <v>0</v>
      </c>
      <c r="O20" s="160"/>
      <c r="P20" s="488"/>
      <c r="Q20" s="182"/>
      <c r="R20" s="446"/>
      <c r="S20" s="182"/>
      <c r="T20" s="947"/>
      <c r="U20" s="948"/>
      <c r="V20" s="491"/>
    </row>
    <row r="21" spans="2:22" ht="15" customHeight="1" thickBot="1" thickTop="1">
      <c r="B21" s="914" t="s">
        <v>192</v>
      </c>
      <c r="C21" s="66" t="s">
        <v>315</v>
      </c>
      <c r="D21" s="66">
        <f>131*4.3</f>
        <v>563.3</v>
      </c>
      <c r="E21" s="282" t="s">
        <v>310</v>
      </c>
      <c r="F21" s="66">
        <f>510/20</f>
        <v>25.5</v>
      </c>
      <c r="G21" s="492">
        <f>D21*F21</f>
        <v>14364.15</v>
      </c>
      <c r="H21" s="145"/>
      <c r="I21" s="908" t="s">
        <v>200</v>
      </c>
      <c r="J21" s="66" t="s">
        <v>327</v>
      </c>
      <c r="K21" s="262">
        <v>28.2</v>
      </c>
      <c r="L21" s="262">
        <v>6.1</v>
      </c>
      <c r="M21" s="262">
        <v>102.1</v>
      </c>
      <c r="N21" s="493">
        <f>K21*L21*M21</f>
        <v>17563.242</v>
      </c>
      <c r="O21" s="160"/>
      <c r="P21" s="515" t="s">
        <v>29</v>
      </c>
      <c r="Q21" s="516"/>
      <c r="R21" s="516"/>
      <c r="S21" s="516"/>
      <c r="T21" s="955"/>
      <c r="U21" s="956"/>
      <c r="V21" s="517">
        <f>SUM(V5:V20)</f>
        <v>5806.666666666667</v>
      </c>
    </row>
    <row r="22" spans="2:15" ht="15" customHeight="1">
      <c r="B22" s="915"/>
      <c r="C22" s="66"/>
      <c r="D22" s="66"/>
      <c r="E22" s="282" t="s">
        <v>163</v>
      </c>
      <c r="F22" s="66"/>
      <c r="G22" s="492">
        <f>D22*F22</f>
        <v>0</v>
      </c>
      <c r="H22" s="145"/>
      <c r="I22" s="909"/>
      <c r="J22" s="66"/>
      <c r="K22" s="262"/>
      <c r="L22" s="262"/>
      <c r="M22" s="262"/>
      <c r="N22" s="493">
        <f>K22*L22*M22</f>
        <v>0</v>
      </c>
      <c r="O22" s="160"/>
    </row>
    <row r="23" spans="2:16" ht="15" customHeight="1" thickBot="1">
      <c r="B23" s="915"/>
      <c r="C23" s="66"/>
      <c r="D23" s="66"/>
      <c r="E23" s="282" t="s">
        <v>163</v>
      </c>
      <c r="F23" s="66"/>
      <c r="G23" s="492">
        <f>D23*F23</f>
        <v>0</v>
      </c>
      <c r="H23" s="145"/>
      <c r="I23" s="909"/>
      <c r="J23" s="66"/>
      <c r="K23" s="262"/>
      <c r="L23" s="262"/>
      <c r="M23" s="262"/>
      <c r="N23" s="493">
        <f>K23*L23*M23</f>
        <v>0</v>
      </c>
      <c r="O23" s="160"/>
      <c r="P23" s="151" t="s">
        <v>260</v>
      </c>
    </row>
    <row r="24" spans="2:22" ht="15" customHeight="1" thickBot="1">
      <c r="B24" s="940"/>
      <c r="C24" s="518" t="s">
        <v>164</v>
      </c>
      <c r="D24" s="69"/>
      <c r="E24" s="69"/>
      <c r="F24" s="69"/>
      <c r="G24" s="347">
        <f>SUM(G21:G23)</f>
        <v>14364.15</v>
      </c>
      <c r="H24" s="145"/>
      <c r="I24" s="910"/>
      <c r="J24" s="510" t="s">
        <v>265</v>
      </c>
      <c r="K24" s="511">
        <f>SUM(K21:K23)</f>
        <v>28.2</v>
      </c>
      <c r="L24" s="513">
        <f>SUM(L21:L23)</f>
        <v>6.1</v>
      </c>
      <c r="M24" s="514"/>
      <c r="N24" s="512">
        <f>SUM(N21:N23)</f>
        <v>17563.242</v>
      </c>
      <c r="O24" s="160"/>
      <c r="P24" s="484" t="s">
        <v>208</v>
      </c>
      <c r="Q24" s="485" t="s">
        <v>202</v>
      </c>
      <c r="R24" s="485" t="s">
        <v>203</v>
      </c>
      <c r="S24" s="485" t="s">
        <v>204</v>
      </c>
      <c r="T24" s="485" t="s">
        <v>205</v>
      </c>
      <c r="U24" s="443" t="s">
        <v>209</v>
      </c>
      <c r="V24" s="486" t="s">
        <v>206</v>
      </c>
    </row>
    <row r="25" spans="9:22" ht="15" customHeight="1" thickTop="1">
      <c r="I25" s="908" t="s">
        <v>289</v>
      </c>
      <c r="J25" s="66"/>
      <c r="K25" s="262"/>
      <c r="L25" s="262"/>
      <c r="M25" s="262"/>
      <c r="N25" s="493">
        <f>K25*L25*M25</f>
        <v>0</v>
      </c>
      <c r="O25" s="160"/>
      <c r="P25" s="488" t="s">
        <v>338</v>
      </c>
      <c r="Q25" s="182">
        <v>10</v>
      </c>
      <c r="R25" s="446" t="s">
        <v>264</v>
      </c>
      <c r="S25" s="182">
        <v>500</v>
      </c>
      <c r="T25" s="182">
        <v>2</v>
      </c>
      <c r="U25" s="174">
        <v>30</v>
      </c>
      <c r="V25" s="491">
        <f>Q25*S25/T25/U25</f>
        <v>83.33333333333333</v>
      </c>
    </row>
    <row r="26" spans="2:22" ht="15" customHeight="1" thickBot="1">
      <c r="B26" s="160" t="s">
        <v>271</v>
      </c>
      <c r="C26" s="160"/>
      <c r="D26" s="480"/>
      <c r="E26" s="160"/>
      <c r="F26" s="480"/>
      <c r="G26" s="146"/>
      <c r="H26" s="146"/>
      <c r="I26" s="909"/>
      <c r="J26" s="66"/>
      <c r="K26" s="262"/>
      <c r="L26" s="262"/>
      <c r="M26" s="262"/>
      <c r="N26" s="493">
        <f>K26*L26*M26</f>
        <v>0</v>
      </c>
      <c r="O26" s="160"/>
      <c r="P26" s="488"/>
      <c r="Q26" s="182"/>
      <c r="R26" s="446"/>
      <c r="S26" s="182"/>
      <c r="T26" s="182"/>
      <c r="U26" s="174"/>
      <c r="V26" s="491"/>
    </row>
    <row r="27" spans="2:22" ht="15" customHeight="1">
      <c r="B27" s="481" t="s">
        <v>89</v>
      </c>
      <c r="C27" s="258" t="s">
        <v>153</v>
      </c>
      <c r="D27" s="258" t="s">
        <v>154</v>
      </c>
      <c r="E27" s="258" t="s">
        <v>155</v>
      </c>
      <c r="F27" s="258" t="s">
        <v>24</v>
      </c>
      <c r="G27" s="482" t="s">
        <v>156</v>
      </c>
      <c r="H27" s="144"/>
      <c r="I27" s="909"/>
      <c r="J27" s="66"/>
      <c r="K27" s="262"/>
      <c r="L27" s="262"/>
      <c r="M27" s="262"/>
      <c r="N27" s="493">
        <f>K27*L27*M27</f>
        <v>0</v>
      </c>
      <c r="O27" s="160"/>
      <c r="P27" s="488"/>
      <c r="Q27" s="182"/>
      <c r="R27" s="446"/>
      <c r="S27" s="182"/>
      <c r="T27" s="182"/>
      <c r="U27" s="174"/>
      <c r="V27" s="491"/>
    </row>
    <row r="28" spans="2:22" ht="15" customHeight="1" thickBot="1">
      <c r="B28" s="941" t="s">
        <v>30</v>
      </c>
      <c r="C28" s="48" t="s">
        <v>753</v>
      </c>
      <c r="D28" s="66">
        <v>300</v>
      </c>
      <c r="E28" s="282" t="s">
        <v>318</v>
      </c>
      <c r="F28" s="66">
        <f>62610/10000</f>
        <v>6.261</v>
      </c>
      <c r="G28" s="369">
        <f>D28*F28</f>
        <v>1878.3</v>
      </c>
      <c r="H28" s="145"/>
      <c r="I28" s="910"/>
      <c r="J28" s="510" t="s">
        <v>265</v>
      </c>
      <c r="K28" s="511">
        <f>SUM(K25:K27)</f>
        <v>0</v>
      </c>
      <c r="L28" s="513">
        <f>SUM(L25:L27)</f>
        <v>0</v>
      </c>
      <c r="M28" s="514"/>
      <c r="N28" s="512">
        <f>SUM(N25:N27)</f>
        <v>0</v>
      </c>
      <c r="O28" s="160"/>
      <c r="P28" s="488"/>
      <c r="Q28" s="182"/>
      <c r="R28" s="446"/>
      <c r="S28" s="182"/>
      <c r="T28" s="182"/>
      <c r="U28" s="174"/>
      <c r="V28" s="491"/>
    </row>
    <row r="29" spans="2:22" ht="15" customHeight="1" thickTop="1">
      <c r="B29" s="915"/>
      <c r="C29" s="568" t="s">
        <v>754</v>
      </c>
      <c r="D29" s="66">
        <f>1*189</f>
        <v>189</v>
      </c>
      <c r="E29" s="282" t="s">
        <v>318</v>
      </c>
      <c r="F29" s="66">
        <f>4180/500</f>
        <v>8.36</v>
      </c>
      <c r="G29" s="369">
        <f>D29*F29</f>
        <v>1580.04</v>
      </c>
      <c r="H29" s="145"/>
      <c r="I29" s="908" t="s">
        <v>196</v>
      </c>
      <c r="J29" s="66" t="s">
        <v>327</v>
      </c>
      <c r="K29" s="262">
        <v>31.4</v>
      </c>
      <c r="L29" s="262">
        <v>3.2</v>
      </c>
      <c r="M29" s="262">
        <v>14</v>
      </c>
      <c r="N29" s="493">
        <f>K29*L29*M29</f>
        <v>1406.72</v>
      </c>
      <c r="O29" s="160"/>
      <c r="P29" s="488"/>
      <c r="Q29" s="182"/>
      <c r="R29" s="446"/>
      <c r="S29" s="182"/>
      <c r="T29" s="182"/>
      <c r="U29" s="174"/>
      <c r="V29" s="491"/>
    </row>
    <row r="30" spans="2:22" ht="15" customHeight="1">
      <c r="B30" s="915"/>
      <c r="C30" s="48" t="s">
        <v>30</v>
      </c>
      <c r="D30" s="66">
        <v>833</v>
      </c>
      <c r="E30" s="282" t="s">
        <v>332</v>
      </c>
      <c r="F30" s="66">
        <f>10590/5000</f>
        <v>2.118</v>
      </c>
      <c r="G30" s="369">
        <f>D30*F30</f>
        <v>1764.2939999999999</v>
      </c>
      <c r="H30" s="145"/>
      <c r="I30" s="909"/>
      <c r="J30" s="66" t="s">
        <v>329</v>
      </c>
      <c r="K30" s="262">
        <v>4</v>
      </c>
      <c r="L30" s="262">
        <v>1.9</v>
      </c>
      <c r="M30" s="262">
        <v>14</v>
      </c>
      <c r="N30" s="493">
        <f>K30*L30*M30</f>
        <v>106.39999999999999</v>
      </c>
      <c r="O30" s="479"/>
      <c r="P30" s="488"/>
      <c r="Q30" s="182"/>
      <c r="R30" s="446"/>
      <c r="S30" s="182"/>
      <c r="T30" s="182"/>
      <c r="U30" s="174"/>
      <c r="V30" s="491"/>
    </row>
    <row r="31" spans="2:22" ht="15" customHeight="1">
      <c r="B31" s="915"/>
      <c r="C31" s="66"/>
      <c r="D31" s="66"/>
      <c r="E31" s="282"/>
      <c r="F31" s="66"/>
      <c r="G31" s="492"/>
      <c r="H31" s="145"/>
      <c r="I31" s="909"/>
      <c r="J31" s="66" t="s">
        <v>330</v>
      </c>
      <c r="K31" s="262">
        <v>24.5</v>
      </c>
      <c r="L31" s="262">
        <v>6.7</v>
      </c>
      <c r="M31" s="262">
        <v>14</v>
      </c>
      <c r="N31" s="493">
        <f>K31*L31*M31</f>
        <v>2298.1</v>
      </c>
      <c r="P31" s="488"/>
      <c r="Q31" s="182"/>
      <c r="R31" s="446"/>
      <c r="S31" s="182"/>
      <c r="T31" s="182"/>
      <c r="U31" s="174"/>
      <c r="V31" s="491"/>
    </row>
    <row r="32" spans="2:22" ht="15" customHeight="1" thickBot="1">
      <c r="B32" s="915"/>
      <c r="C32" s="66"/>
      <c r="D32" s="66"/>
      <c r="E32" s="282"/>
      <c r="F32" s="66"/>
      <c r="G32" s="492">
        <f aca="true" t="shared" si="1" ref="G32:G37">D32*F32</f>
        <v>0</v>
      </c>
      <c r="H32" s="145"/>
      <c r="I32" s="926"/>
      <c r="J32" s="519" t="s">
        <v>265</v>
      </c>
      <c r="K32" s="520">
        <f>SUM(K29:K31)</f>
        <v>59.9</v>
      </c>
      <c r="L32" s="521">
        <f>SUM(L29:L31)</f>
        <v>11.8</v>
      </c>
      <c r="M32" s="522"/>
      <c r="N32" s="523">
        <f>SUM(N29:N31)</f>
        <v>3811.2200000000003</v>
      </c>
      <c r="P32" s="488"/>
      <c r="Q32" s="182"/>
      <c r="R32" s="446"/>
      <c r="S32" s="182"/>
      <c r="T32" s="182"/>
      <c r="U32" s="174"/>
      <c r="V32" s="491"/>
    </row>
    <row r="33" spans="2:22" ht="15" customHeight="1">
      <c r="B33" s="915"/>
      <c r="C33" s="66"/>
      <c r="D33" s="66"/>
      <c r="E33" s="282"/>
      <c r="F33" s="66"/>
      <c r="G33" s="492">
        <f t="shared" si="1"/>
        <v>0</v>
      </c>
      <c r="H33" s="145"/>
      <c r="I33" s="145"/>
      <c r="J33" s="145"/>
      <c r="K33" s="145"/>
      <c r="L33" s="145"/>
      <c r="M33" s="145"/>
      <c r="N33" s="145"/>
      <c r="P33" s="488"/>
      <c r="Q33" s="182"/>
      <c r="R33" s="446"/>
      <c r="S33" s="182"/>
      <c r="T33" s="182"/>
      <c r="U33" s="174"/>
      <c r="V33" s="491"/>
    </row>
    <row r="34" spans="2:22" ht="15" customHeight="1" thickBot="1">
      <c r="B34" s="915"/>
      <c r="C34" s="66"/>
      <c r="D34" s="66"/>
      <c r="E34" s="282"/>
      <c r="F34" s="66"/>
      <c r="G34" s="492">
        <f t="shared" si="1"/>
        <v>0</v>
      </c>
      <c r="H34" s="145"/>
      <c r="I34" s="365" t="s">
        <v>258</v>
      </c>
      <c r="J34" s="365"/>
      <c r="K34" s="365"/>
      <c r="L34" s="365"/>
      <c r="M34" s="365"/>
      <c r="P34" s="524" t="s">
        <v>251</v>
      </c>
      <c r="Q34" s="516"/>
      <c r="R34" s="516"/>
      <c r="S34" s="516"/>
      <c r="T34" s="516"/>
      <c r="U34" s="525"/>
      <c r="V34" s="517">
        <f>SUM(V25:V33)</f>
        <v>83.33333333333333</v>
      </c>
    </row>
    <row r="35" spans="2:14" ht="15" customHeight="1" thickBot="1">
      <c r="B35" s="915"/>
      <c r="C35" s="66"/>
      <c r="D35" s="66"/>
      <c r="E35" s="282"/>
      <c r="F35" s="66"/>
      <c r="G35" s="492">
        <f t="shared" si="1"/>
        <v>0</v>
      </c>
      <c r="H35" s="145"/>
      <c r="I35" s="526" t="s">
        <v>246</v>
      </c>
      <c r="J35" s="527" t="s">
        <v>5</v>
      </c>
      <c r="K35" s="924" t="s">
        <v>247</v>
      </c>
      <c r="L35" s="925"/>
      <c r="M35" s="555" t="s">
        <v>209</v>
      </c>
      <c r="N35" s="529" t="s">
        <v>273</v>
      </c>
    </row>
    <row r="36" spans="2:20" ht="15" customHeight="1" thickBot="1" thickTop="1">
      <c r="B36" s="915"/>
      <c r="C36" s="66"/>
      <c r="D36" s="66"/>
      <c r="E36" s="282"/>
      <c r="F36" s="66"/>
      <c r="G36" s="492">
        <f t="shared" si="1"/>
        <v>0</v>
      </c>
      <c r="H36" s="145"/>
      <c r="I36" s="911" t="s">
        <v>2</v>
      </c>
      <c r="J36" s="294" t="str">
        <f>'（参考）水稲資本装備'!C5</f>
        <v>農機具庫</v>
      </c>
      <c r="K36" s="921">
        <f>'（参考）水稲資本装備'!I5</f>
        <v>5940000</v>
      </c>
      <c r="L36" s="921"/>
      <c r="M36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532">
        <f>+K36/M36*0.014*0.3</f>
        <v>831.6</v>
      </c>
      <c r="P36" s="365" t="s">
        <v>252</v>
      </c>
      <c r="Q36" s="365"/>
      <c r="R36" s="365"/>
      <c r="S36" s="365"/>
      <c r="T36" s="365"/>
    </row>
    <row r="37" spans="2:22" ht="15" customHeight="1" thickBot="1" thickTop="1">
      <c r="B37" s="915"/>
      <c r="C37" s="66"/>
      <c r="D37" s="66"/>
      <c r="E37" s="282"/>
      <c r="F37" s="66"/>
      <c r="G37" s="492">
        <f t="shared" si="1"/>
        <v>0</v>
      </c>
      <c r="H37" s="145"/>
      <c r="I37" s="912"/>
      <c r="J37" s="294" t="str">
        <f>'（参考）水稲資本装備'!C6</f>
        <v>乾燥調製施設</v>
      </c>
      <c r="K37" s="921">
        <f>'（参考）水稲資本装備'!I6</f>
        <v>10692000</v>
      </c>
      <c r="L37" s="921"/>
      <c r="M37" s="540">
        <f>'１　対象経営の概要，２　前提条件'!$N$7+'１　対象経営の概要，２　前提条件'!$N$8+'１　対象経営の概要，２　前提条件'!$N$9</f>
        <v>29</v>
      </c>
      <c r="N37" s="532">
        <f>+K37/M37*0.014*0.3</f>
        <v>1548.496551724138</v>
      </c>
      <c r="P37" s="526" t="s">
        <v>245</v>
      </c>
      <c r="Q37" s="954" t="s">
        <v>253</v>
      </c>
      <c r="R37" s="954"/>
      <c r="S37" s="533" t="s">
        <v>256</v>
      </c>
      <c r="T37" s="533" t="s">
        <v>255</v>
      </c>
      <c r="U37" s="528" t="s">
        <v>209</v>
      </c>
      <c r="V37" s="534" t="s">
        <v>273</v>
      </c>
    </row>
    <row r="38" spans="2:22" ht="15" customHeight="1" thickBot="1" thickTop="1">
      <c r="B38" s="916"/>
      <c r="C38" s="494" t="s">
        <v>160</v>
      </c>
      <c r="D38" s="494"/>
      <c r="E38" s="494"/>
      <c r="F38" s="494"/>
      <c r="G38" s="495">
        <f>SUM(G28:G37)</f>
        <v>5222.634</v>
      </c>
      <c r="H38" s="145"/>
      <c r="I38" s="912"/>
      <c r="J38" s="294" t="str">
        <f>'（参考）水稲資本装備'!C7</f>
        <v>育苗ハウス</v>
      </c>
      <c r="K38" s="921">
        <f>'（参考）水稲資本装備'!I7</f>
        <v>4301100</v>
      </c>
      <c r="L38" s="921"/>
      <c r="M38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532">
        <f>+K38/M38*0.014*0.3</f>
        <v>602.154</v>
      </c>
      <c r="P38" s="927" t="s">
        <v>254</v>
      </c>
      <c r="Q38" s="209" t="s">
        <v>244</v>
      </c>
      <c r="R38" s="229"/>
      <c r="S38" s="209">
        <v>116400</v>
      </c>
      <c r="T38" s="230">
        <v>1</v>
      </c>
      <c r="U38" s="209">
        <v>30</v>
      </c>
      <c r="V38" s="532">
        <f>+S38*T38/U38</f>
        <v>3880</v>
      </c>
    </row>
    <row r="39" spans="2:22" ht="15" customHeight="1" thickTop="1">
      <c r="B39" s="914" t="s">
        <v>193</v>
      </c>
      <c r="C39" s="569" t="s">
        <v>358</v>
      </c>
      <c r="D39" s="66">
        <v>833</v>
      </c>
      <c r="E39" s="282" t="s">
        <v>332</v>
      </c>
      <c r="F39" s="66">
        <f>49110/10000</f>
        <v>4.911</v>
      </c>
      <c r="G39" s="492">
        <f>D39*F39</f>
        <v>4090.863</v>
      </c>
      <c r="H39" s="145"/>
      <c r="I39" s="912"/>
      <c r="J39" s="294"/>
      <c r="K39" s="921"/>
      <c r="L39" s="921"/>
      <c r="M39" s="530"/>
      <c r="N39" s="532"/>
      <c r="P39" s="928"/>
      <c r="Q39" s="209" t="s">
        <v>339</v>
      </c>
      <c r="R39" s="229"/>
      <c r="S39" s="209"/>
      <c r="T39" s="230">
        <v>1</v>
      </c>
      <c r="U39" s="209">
        <v>30</v>
      </c>
      <c r="V39" s="532">
        <f>+S39*T39/U39</f>
        <v>0</v>
      </c>
    </row>
    <row r="40" spans="2:24" ht="15" customHeight="1">
      <c r="B40" s="915"/>
      <c r="C40" s="66"/>
      <c r="D40" s="66"/>
      <c r="E40" s="282" t="s">
        <v>332</v>
      </c>
      <c r="F40" s="66"/>
      <c r="G40" s="492">
        <f>D40*F40</f>
        <v>0</v>
      </c>
      <c r="H40" s="145"/>
      <c r="I40" s="912"/>
      <c r="J40" s="294"/>
      <c r="K40" s="921"/>
      <c r="L40" s="921"/>
      <c r="M40" s="530"/>
      <c r="N40" s="532"/>
      <c r="P40" s="928"/>
      <c r="Q40" s="209" t="s">
        <v>340</v>
      </c>
      <c r="R40" s="229"/>
      <c r="S40" s="209"/>
      <c r="T40" s="230">
        <v>1</v>
      </c>
      <c r="U40" s="209">
        <v>30</v>
      </c>
      <c r="V40" s="532">
        <f>+S40*T40/U40</f>
        <v>0</v>
      </c>
      <c r="X40" s="151" t="s">
        <v>341</v>
      </c>
    </row>
    <row r="41" spans="2:24" ht="15" customHeight="1">
      <c r="B41" s="915"/>
      <c r="C41" s="66"/>
      <c r="D41" s="66"/>
      <c r="E41" s="282" t="s">
        <v>158</v>
      </c>
      <c r="F41" s="66"/>
      <c r="G41" s="492">
        <f>D41*F41</f>
        <v>0</v>
      </c>
      <c r="H41" s="145"/>
      <c r="I41" s="912"/>
      <c r="J41" s="294"/>
      <c r="K41" s="921"/>
      <c r="L41" s="921"/>
      <c r="M41" s="530"/>
      <c r="N41" s="532"/>
      <c r="P41" s="928"/>
      <c r="Q41" s="209"/>
      <c r="R41" s="229"/>
      <c r="S41" s="209"/>
      <c r="T41" s="230">
        <v>1</v>
      </c>
      <c r="U41" s="209"/>
      <c r="V41" s="532"/>
      <c r="X41" s="151" t="s">
        <v>342</v>
      </c>
    </row>
    <row r="42" spans="2:22" ht="15" customHeight="1" thickBot="1">
      <c r="B42" s="915"/>
      <c r="C42" s="66"/>
      <c r="D42" s="66"/>
      <c r="E42" s="282" t="s">
        <v>158</v>
      </c>
      <c r="F42" s="66"/>
      <c r="G42" s="492">
        <f aca="true" t="shared" si="2" ref="G42:G52">D42*F42</f>
        <v>0</v>
      </c>
      <c r="H42" s="145"/>
      <c r="I42" s="913"/>
      <c r="J42" s="536" t="s">
        <v>161</v>
      </c>
      <c r="K42" s="922"/>
      <c r="L42" s="923"/>
      <c r="M42" s="537"/>
      <c r="N42" s="538">
        <f>SUM(N36:N41)</f>
        <v>2982.250551724138</v>
      </c>
      <c r="P42" s="928"/>
      <c r="Q42" s="209"/>
      <c r="R42" s="229"/>
      <c r="S42" s="209"/>
      <c r="T42" s="230"/>
      <c r="U42" s="209"/>
      <c r="V42" s="532"/>
    </row>
    <row r="43" spans="2:22" ht="15" customHeight="1" thickTop="1">
      <c r="B43" s="915"/>
      <c r="C43" s="66"/>
      <c r="D43" s="66"/>
      <c r="E43" s="282"/>
      <c r="F43" s="66"/>
      <c r="G43" s="492"/>
      <c r="H43" s="145"/>
      <c r="I43" s="917" t="s">
        <v>248</v>
      </c>
      <c r="J43" s="539" t="s">
        <v>274</v>
      </c>
      <c r="K43" s="920">
        <v>8200</v>
      </c>
      <c r="L43" s="920"/>
      <c r="M43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541">
        <f>+K43/M43</f>
        <v>273.3333333333333</v>
      </c>
      <c r="P43" s="928"/>
      <c r="Q43" s="209"/>
      <c r="R43" s="229"/>
      <c r="S43" s="209"/>
      <c r="T43" s="230"/>
      <c r="U43" s="209"/>
      <c r="V43" s="532"/>
    </row>
    <row r="44" spans="2:22" ht="15" customHeight="1" thickBot="1">
      <c r="B44" s="915"/>
      <c r="C44" s="66"/>
      <c r="D44" s="66"/>
      <c r="E44" s="282"/>
      <c r="F44" s="66"/>
      <c r="G44" s="492"/>
      <c r="H44" s="145"/>
      <c r="I44" s="918"/>
      <c r="J44" s="209"/>
      <c r="K44" s="921"/>
      <c r="L44" s="921"/>
      <c r="M44" s="530"/>
      <c r="N44" s="532"/>
      <c r="P44" s="929"/>
      <c r="Q44" s="542" t="s">
        <v>257</v>
      </c>
      <c r="R44" s="543"/>
      <c r="S44" s="543"/>
      <c r="T44" s="543"/>
      <c r="U44" s="543"/>
      <c r="V44" s="544">
        <f>SUM(V38:V43)</f>
        <v>3880</v>
      </c>
    </row>
    <row r="45" spans="2:22" ht="15" customHeight="1" thickTop="1">
      <c r="B45" s="915"/>
      <c r="C45" s="66"/>
      <c r="D45" s="66"/>
      <c r="E45" s="282"/>
      <c r="F45" s="66"/>
      <c r="G45" s="492"/>
      <c r="H45" s="145"/>
      <c r="I45" s="918"/>
      <c r="J45" s="294"/>
      <c r="K45" s="921"/>
      <c r="L45" s="921"/>
      <c r="M45" s="530"/>
      <c r="N45" s="532"/>
      <c r="P45" s="962" t="s">
        <v>262</v>
      </c>
      <c r="Q45" s="959" t="s">
        <v>276</v>
      </c>
      <c r="R45" s="554" t="s">
        <v>277</v>
      </c>
      <c r="S45" s="539">
        <v>35750</v>
      </c>
      <c r="T45" s="231">
        <v>1</v>
      </c>
      <c r="U45" s="539">
        <v>30</v>
      </c>
      <c r="V45" s="545">
        <f>+S45*T45/U45</f>
        <v>1191.6666666666667</v>
      </c>
    </row>
    <row r="46" spans="2:22" ht="15" customHeight="1" thickBot="1">
      <c r="B46" s="915"/>
      <c r="C46" s="66"/>
      <c r="D46" s="66"/>
      <c r="E46" s="282"/>
      <c r="F46" s="66"/>
      <c r="G46" s="492">
        <f t="shared" si="2"/>
        <v>0</v>
      </c>
      <c r="H46" s="145"/>
      <c r="I46" s="919"/>
      <c r="J46" s="536" t="s">
        <v>161</v>
      </c>
      <c r="K46" s="922"/>
      <c r="L46" s="923"/>
      <c r="M46" s="537"/>
      <c r="N46" s="538">
        <f>SUM(N43:N45)</f>
        <v>273.3333333333333</v>
      </c>
      <c r="P46" s="928"/>
      <c r="Q46" s="960"/>
      <c r="R46" s="232"/>
      <c r="S46" s="209"/>
      <c r="T46" s="230"/>
      <c r="U46" s="209"/>
      <c r="V46" s="532"/>
    </row>
    <row r="47" spans="2:22" ht="15" customHeight="1" thickTop="1">
      <c r="B47" s="915"/>
      <c r="C47" s="66"/>
      <c r="D47" s="66"/>
      <c r="E47" s="282"/>
      <c r="F47" s="66"/>
      <c r="G47" s="492">
        <f t="shared" si="2"/>
        <v>0</v>
      </c>
      <c r="H47" s="145"/>
      <c r="I47" s="917" t="s">
        <v>249</v>
      </c>
      <c r="J47" s="539" t="s">
        <v>274</v>
      </c>
      <c r="K47" s="920">
        <v>11500</v>
      </c>
      <c r="L47" s="920"/>
      <c r="M47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545">
        <f>K47/M47</f>
        <v>383.3333333333333</v>
      </c>
      <c r="P47" s="928"/>
      <c r="Q47" s="960"/>
      <c r="R47" s="232"/>
      <c r="S47" s="209"/>
      <c r="T47" s="209"/>
      <c r="U47" s="294"/>
      <c r="V47" s="300"/>
    </row>
    <row r="48" spans="2:22" ht="15" customHeight="1">
      <c r="B48" s="915"/>
      <c r="C48" s="66"/>
      <c r="D48" s="66"/>
      <c r="E48" s="282"/>
      <c r="F48" s="66"/>
      <c r="G48" s="492">
        <f t="shared" si="2"/>
        <v>0</v>
      </c>
      <c r="H48" s="145"/>
      <c r="I48" s="918"/>
      <c r="J48" s="209"/>
      <c r="K48" s="921"/>
      <c r="L48" s="921"/>
      <c r="M48" s="530"/>
      <c r="N48" s="532"/>
      <c r="P48" s="928"/>
      <c r="Q48" s="960"/>
      <c r="R48" s="232" t="s">
        <v>261</v>
      </c>
      <c r="S48" s="209">
        <v>15600</v>
      </c>
      <c r="T48" s="230">
        <v>1</v>
      </c>
      <c r="U48" s="209">
        <v>30</v>
      </c>
      <c r="V48" s="532">
        <f>+S48*T48/U48</f>
        <v>520</v>
      </c>
    </row>
    <row r="49" spans="2:22" ht="15" customHeight="1" thickBot="1">
      <c r="B49" s="916"/>
      <c r="C49" s="502" t="s">
        <v>161</v>
      </c>
      <c r="D49" s="503"/>
      <c r="E49" s="503"/>
      <c r="F49" s="503"/>
      <c r="G49" s="504">
        <f>SUM(G39:G48)</f>
        <v>4090.863</v>
      </c>
      <c r="H49" s="145"/>
      <c r="I49" s="918"/>
      <c r="J49" s="294"/>
      <c r="K49" s="921"/>
      <c r="L49" s="921"/>
      <c r="M49" s="530"/>
      <c r="N49" s="532"/>
      <c r="P49" s="928"/>
      <c r="Q49" s="961"/>
      <c r="R49" s="232"/>
      <c r="S49" s="209"/>
      <c r="T49" s="209"/>
      <c r="U49" s="294"/>
      <c r="V49" s="300"/>
    </row>
    <row r="50" spans="2:22" ht="15" customHeight="1" thickBot="1" thickTop="1">
      <c r="B50" s="914" t="s">
        <v>32</v>
      </c>
      <c r="C50" s="66" t="s">
        <v>755</v>
      </c>
      <c r="D50" s="66">
        <v>10</v>
      </c>
      <c r="E50" s="282" t="s">
        <v>310</v>
      </c>
      <c r="F50" s="66">
        <f>24330/10</f>
        <v>2433</v>
      </c>
      <c r="G50" s="492">
        <f t="shared" si="2"/>
        <v>24330</v>
      </c>
      <c r="H50" s="145"/>
      <c r="I50" s="919"/>
      <c r="J50" s="536" t="s">
        <v>161</v>
      </c>
      <c r="K50" s="922"/>
      <c r="L50" s="923"/>
      <c r="M50" s="537"/>
      <c r="N50" s="538">
        <f>SUM(N47:N49)</f>
        <v>383.3333333333333</v>
      </c>
      <c r="P50" s="928"/>
      <c r="Q50" s="542" t="s">
        <v>257</v>
      </c>
      <c r="R50" s="543"/>
      <c r="S50" s="543"/>
      <c r="T50" s="543"/>
      <c r="U50" s="543"/>
      <c r="V50" s="544">
        <f>SUM(V45:V49)</f>
        <v>1711.6666666666667</v>
      </c>
    </row>
    <row r="51" spans="2:22" ht="15" customHeight="1" thickTop="1">
      <c r="B51" s="915"/>
      <c r="C51" s="66"/>
      <c r="D51" s="66"/>
      <c r="E51" s="66"/>
      <c r="F51" s="66"/>
      <c r="G51" s="492">
        <f t="shared" si="2"/>
        <v>0</v>
      </c>
      <c r="H51" s="145"/>
      <c r="I51" s="917" t="s">
        <v>250</v>
      </c>
      <c r="J51" s="539" t="s">
        <v>54</v>
      </c>
      <c r="K51" s="930">
        <v>2400</v>
      </c>
      <c r="L51" s="931"/>
      <c r="M51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541">
        <f>+K51/M51</f>
        <v>80</v>
      </c>
      <c r="P51" s="928"/>
      <c r="Q51" s="959" t="s">
        <v>278</v>
      </c>
      <c r="R51" s="554" t="s">
        <v>277</v>
      </c>
      <c r="S51" s="539">
        <v>60000</v>
      </c>
      <c r="T51" s="231">
        <v>1</v>
      </c>
      <c r="U51" s="539">
        <v>36</v>
      </c>
      <c r="V51" s="545">
        <f>+S51*T51/U51</f>
        <v>1666.6666666666667</v>
      </c>
    </row>
    <row r="52" spans="2:22" ht="15" customHeight="1">
      <c r="B52" s="915"/>
      <c r="C52" s="66"/>
      <c r="D52" s="66"/>
      <c r="E52" s="66"/>
      <c r="F52" s="66"/>
      <c r="G52" s="492">
        <f t="shared" si="2"/>
        <v>0</v>
      </c>
      <c r="H52" s="145"/>
      <c r="I52" s="918"/>
      <c r="J52" s="209" t="s">
        <v>54</v>
      </c>
      <c r="K52" s="932">
        <v>2400</v>
      </c>
      <c r="L52" s="933"/>
      <c r="M52" s="53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532">
        <f>+K52/M52</f>
        <v>80</v>
      </c>
      <c r="P52" s="928"/>
      <c r="Q52" s="960"/>
      <c r="R52" s="232"/>
      <c r="S52" s="209"/>
      <c r="T52" s="230"/>
      <c r="U52" s="209"/>
      <c r="V52" s="532"/>
    </row>
    <row r="53" spans="2:22" ht="15" customHeight="1" thickBot="1">
      <c r="B53" s="916"/>
      <c r="C53" s="502" t="s">
        <v>161</v>
      </c>
      <c r="D53" s="503"/>
      <c r="E53" s="503"/>
      <c r="F53" s="503"/>
      <c r="G53" s="504">
        <f>SUM(G50:G52)</f>
        <v>24330</v>
      </c>
      <c r="H53" s="145"/>
      <c r="I53" s="918"/>
      <c r="J53" s="209" t="s">
        <v>56</v>
      </c>
      <c r="K53" s="934">
        <v>2400</v>
      </c>
      <c r="L53" s="935"/>
      <c r="M53" s="218">
        <f>'１　対象経営の概要，２　前提条件'!N7</f>
        <v>29</v>
      </c>
      <c r="N53" s="532">
        <f>+K53/M53</f>
        <v>82.75862068965517</v>
      </c>
      <c r="P53" s="928"/>
      <c r="Q53" s="960"/>
      <c r="R53" s="232"/>
      <c r="S53" s="209"/>
      <c r="T53" s="209"/>
      <c r="U53" s="294"/>
      <c r="V53" s="300"/>
    </row>
    <row r="54" spans="2:22" ht="13.5" customHeight="1" thickTop="1">
      <c r="B54" s="914" t="s">
        <v>356</v>
      </c>
      <c r="C54" s="48" t="s">
        <v>756</v>
      </c>
      <c r="D54" s="546">
        <f>131*50/1000</f>
        <v>6.55</v>
      </c>
      <c r="E54" s="282" t="s">
        <v>310</v>
      </c>
      <c r="F54" s="66">
        <f>9650/3</f>
        <v>3216.6666666666665</v>
      </c>
      <c r="G54" s="369">
        <f>D54*F54</f>
        <v>21069.166666666664</v>
      </c>
      <c r="I54" s="918"/>
      <c r="J54" s="209" t="s">
        <v>56</v>
      </c>
      <c r="K54" s="934">
        <v>2400</v>
      </c>
      <c r="L54" s="935"/>
      <c r="M54" s="218">
        <f>'１　対象経営の概要，２　前提条件'!N7</f>
        <v>29</v>
      </c>
      <c r="N54" s="532">
        <f>+K54/M54</f>
        <v>82.75862068965517</v>
      </c>
      <c r="P54" s="928"/>
      <c r="Q54" s="960"/>
      <c r="R54" s="232" t="s">
        <v>261</v>
      </c>
      <c r="S54" s="209">
        <v>25000</v>
      </c>
      <c r="T54" s="230">
        <v>1</v>
      </c>
      <c r="U54" s="209">
        <v>36</v>
      </c>
      <c r="V54" s="532">
        <f>+S54*T54/U54</f>
        <v>694.4444444444445</v>
      </c>
    </row>
    <row r="55" spans="2:22" ht="13.5">
      <c r="B55" s="915"/>
      <c r="C55" s="48" t="s">
        <v>757</v>
      </c>
      <c r="D55" s="66">
        <v>1667</v>
      </c>
      <c r="E55" s="282" t="s">
        <v>318</v>
      </c>
      <c r="F55" s="66">
        <f>90790/20000</f>
        <v>4.5395</v>
      </c>
      <c r="G55" s="492">
        <f>D55*F55</f>
        <v>7567.346500000001</v>
      </c>
      <c r="I55" s="918"/>
      <c r="J55" s="530" t="s">
        <v>261</v>
      </c>
      <c r="K55" s="936">
        <v>5000</v>
      </c>
      <c r="L55" s="937"/>
      <c r="M55" s="53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532">
        <f>+K55/M55</f>
        <v>166.66666666666666</v>
      </c>
      <c r="P55" s="928"/>
      <c r="Q55" s="961"/>
      <c r="R55" s="232"/>
      <c r="S55" s="209"/>
      <c r="T55" s="209"/>
      <c r="U55" s="294"/>
      <c r="V55" s="300"/>
    </row>
    <row r="56" spans="2:22" ht="13.5">
      <c r="B56" s="915"/>
      <c r="C56" s="66"/>
      <c r="D56" s="66"/>
      <c r="E56" s="282" t="s">
        <v>163</v>
      </c>
      <c r="F56" s="66"/>
      <c r="G56" s="492">
        <f>D56*F56</f>
        <v>0</v>
      </c>
      <c r="I56" s="911"/>
      <c r="J56" s="547" t="s">
        <v>161</v>
      </c>
      <c r="K56" s="938"/>
      <c r="L56" s="939"/>
      <c r="M56" s="548"/>
      <c r="N56" s="549">
        <f>SUM(N51:N55)</f>
        <v>492.183908045977</v>
      </c>
      <c r="P56" s="963"/>
      <c r="Q56" s="550" t="s">
        <v>257</v>
      </c>
      <c r="R56" s="551"/>
      <c r="S56" s="551"/>
      <c r="T56" s="551"/>
      <c r="U56" s="551"/>
      <c r="V56" s="552">
        <f>SUM(V51:V55)</f>
        <v>2361.1111111111113</v>
      </c>
    </row>
    <row r="57" spans="2:22" ht="14.25" thickBot="1">
      <c r="B57" s="940"/>
      <c r="C57" s="518" t="s">
        <v>164</v>
      </c>
      <c r="D57" s="69"/>
      <c r="E57" s="69"/>
      <c r="F57" s="69"/>
      <c r="G57" s="347">
        <f>SUM(G54:G56)</f>
        <v>28636.513166666664</v>
      </c>
      <c r="I57" s="964" t="s">
        <v>251</v>
      </c>
      <c r="J57" s="956"/>
      <c r="K57" s="965"/>
      <c r="L57" s="966"/>
      <c r="M57" s="525"/>
      <c r="N57" s="553">
        <f>SUM(N42,N46,N50,N56)</f>
        <v>4131.101126436782</v>
      </c>
      <c r="P57" s="957" t="s">
        <v>251</v>
      </c>
      <c r="Q57" s="958"/>
      <c r="R57" s="516"/>
      <c r="S57" s="516"/>
      <c r="T57" s="516"/>
      <c r="U57" s="516"/>
      <c r="V57" s="553">
        <f>SUM(V44,V50,V56)</f>
        <v>7952.777777777778</v>
      </c>
    </row>
    <row r="58" ht="13.5">
      <c r="V58" s="151"/>
    </row>
    <row r="83" spans="2:6" ht="13.5">
      <c r="B83" s="144"/>
      <c r="C83" s="145"/>
      <c r="D83" s="145"/>
      <c r="E83" s="145"/>
      <c r="F83" s="145"/>
    </row>
    <row r="84" spans="2:6" ht="13.5">
      <c r="B84" s="144"/>
      <c r="C84" s="145"/>
      <c r="D84" s="145"/>
      <c r="E84" s="145"/>
      <c r="F84" s="145"/>
    </row>
  </sheetData>
  <sheetProtection/>
  <mergeCells count="70">
    <mergeCell ref="Q37:R37"/>
    <mergeCell ref="I25:I28"/>
    <mergeCell ref="B28:B38"/>
    <mergeCell ref="K35:L35"/>
    <mergeCell ref="K36:L36"/>
    <mergeCell ref="K37:L37"/>
    <mergeCell ref="K38:L38"/>
    <mergeCell ref="I29:I32"/>
    <mergeCell ref="P38:P44"/>
    <mergeCell ref="I43:I46"/>
    <mergeCell ref="B8:B11"/>
    <mergeCell ref="B5:B7"/>
    <mergeCell ref="T5:U5"/>
    <mergeCell ref="I6:I12"/>
    <mergeCell ref="T6:U6"/>
    <mergeCell ref="T8:U8"/>
    <mergeCell ref="T9:U9"/>
    <mergeCell ref="T11:U11"/>
    <mergeCell ref="T12:U12"/>
    <mergeCell ref="T7:U7"/>
    <mergeCell ref="I4:I5"/>
    <mergeCell ref="J4:J5"/>
    <mergeCell ref="M4:M5"/>
    <mergeCell ref="N4:N5"/>
    <mergeCell ref="I21:I24"/>
    <mergeCell ref="T21:U21"/>
    <mergeCell ref="T18:U18"/>
    <mergeCell ref="T19:U19"/>
    <mergeCell ref="T20:U20"/>
    <mergeCell ref="T4:U4"/>
    <mergeCell ref="B21:B24"/>
    <mergeCell ref="B12:B16"/>
    <mergeCell ref="I13:I16"/>
    <mergeCell ref="T13:U13"/>
    <mergeCell ref="T14:U14"/>
    <mergeCell ref="T15:U15"/>
    <mergeCell ref="T16:U16"/>
    <mergeCell ref="I17:I20"/>
    <mergeCell ref="T17:U17"/>
    <mergeCell ref="B17:B20"/>
    <mergeCell ref="I36:I42"/>
    <mergeCell ref="K39:L39"/>
    <mergeCell ref="K40:L40"/>
    <mergeCell ref="K41:L41"/>
    <mergeCell ref="K42:L42"/>
    <mergeCell ref="P45:P56"/>
    <mergeCell ref="K53:L53"/>
    <mergeCell ref="K54:L54"/>
    <mergeCell ref="K55:L55"/>
    <mergeCell ref="K47:L47"/>
    <mergeCell ref="K46:L46"/>
    <mergeCell ref="K49:L49"/>
    <mergeCell ref="B54:B57"/>
    <mergeCell ref="I47:I50"/>
    <mergeCell ref="K56:L56"/>
    <mergeCell ref="K48:L48"/>
    <mergeCell ref="B39:B49"/>
    <mergeCell ref="K43:L43"/>
    <mergeCell ref="K44:L44"/>
    <mergeCell ref="K45:L45"/>
    <mergeCell ref="Q45:Q49"/>
    <mergeCell ref="I57:J57"/>
    <mergeCell ref="K57:L57"/>
    <mergeCell ref="P57:Q57"/>
    <mergeCell ref="Q51:Q55"/>
    <mergeCell ref="B50:B53"/>
    <mergeCell ref="K50:L50"/>
    <mergeCell ref="I51:I56"/>
    <mergeCell ref="K51:L51"/>
    <mergeCell ref="K52:L52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84"/>
  <sheetViews>
    <sheetView zoomScale="75" zoomScaleNormal="75" zoomScalePageLayoutView="0" workbookViewId="0" topLeftCell="A1">
      <selection activeCell="A1" sqref="A1"/>
    </sheetView>
  </sheetViews>
  <sheetFormatPr defaultColWidth="8.875" defaultRowHeight="13.5"/>
  <cols>
    <col min="1" max="1" width="1.625" style="151" customWidth="1"/>
    <col min="2" max="2" width="3.625" style="151" customWidth="1"/>
    <col min="3" max="3" width="19.50390625" style="151" customWidth="1"/>
    <col min="4" max="7" width="8.625" style="151" customWidth="1"/>
    <col min="8" max="8" width="2.375" style="151" customWidth="1"/>
    <col min="9" max="9" width="3.625" style="151" customWidth="1"/>
    <col min="10" max="10" width="15.625" style="151" customWidth="1"/>
    <col min="11" max="14" width="8.625" style="151" customWidth="1"/>
    <col min="15" max="15" width="3.50390625" style="151" customWidth="1"/>
    <col min="16" max="16" width="15.625" style="421" customWidth="1"/>
    <col min="17" max="17" width="8.625" style="151" customWidth="1"/>
    <col min="18" max="18" width="8.625" style="479" customWidth="1"/>
    <col min="19" max="21" width="8.625" style="151" customWidth="1"/>
    <col min="22" max="22" width="10.625" style="479" customWidth="1"/>
    <col min="23" max="23" width="2.75390625" style="151" customWidth="1"/>
    <col min="24" max="16384" width="8.875" style="151" customWidth="1"/>
  </cols>
  <sheetData>
    <row r="1" ht="9.75" customHeight="1"/>
    <row r="2" spans="2:15" ht="24.75" customHeight="1">
      <c r="B2" s="151" t="s">
        <v>459</v>
      </c>
      <c r="C2" s="480"/>
      <c r="D2" s="160"/>
      <c r="E2" s="160"/>
      <c r="F2" s="480"/>
      <c r="G2" s="122"/>
      <c r="H2" s="122"/>
      <c r="I2" s="122"/>
      <c r="J2" s="122"/>
      <c r="K2" s="122"/>
      <c r="L2" s="122"/>
      <c r="M2" s="122"/>
      <c r="N2" s="122"/>
      <c r="O2" s="160"/>
    </row>
    <row r="3" spans="2:16" ht="15" customHeight="1" thickBot="1">
      <c r="B3" s="151" t="s">
        <v>238</v>
      </c>
      <c r="I3" s="160" t="s">
        <v>239</v>
      </c>
      <c r="P3" s="151" t="s">
        <v>259</v>
      </c>
    </row>
    <row r="4" spans="2:22" ht="15" customHeight="1">
      <c r="B4" s="481" t="s">
        <v>89</v>
      </c>
      <c r="C4" s="258" t="s">
        <v>194</v>
      </c>
      <c r="D4" s="258" t="s">
        <v>154</v>
      </c>
      <c r="E4" s="258" t="s">
        <v>155</v>
      </c>
      <c r="F4" s="258" t="s">
        <v>24</v>
      </c>
      <c r="G4" s="482" t="s">
        <v>156</v>
      </c>
      <c r="H4" s="144"/>
      <c r="I4" s="944" t="s">
        <v>89</v>
      </c>
      <c r="J4" s="942" t="s">
        <v>198</v>
      </c>
      <c r="K4" s="483" t="s">
        <v>195</v>
      </c>
      <c r="L4" s="483" t="s">
        <v>157</v>
      </c>
      <c r="M4" s="942" t="s">
        <v>24</v>
      </c>
      <c r="N4" s="949" t="s">
        <v>156</v>
      </c>
      <c r="O4" s="160"/>
      <c r="P4" s="484" t="s">
        <v>201</v>
      </c>
      <c r="Q4" s="485" t="s">
        <v>202</v>
      </c>
      <c r="R4" s="485" t="s">
        <v>203</v>
      </c>
      <c r="S4" s="485" t="s">
        <v>204</v>
      </c>
      <c r="T4" s="946" t="s">
        <v>205</v>
      </c>
      <c r="U4" s="845"/>
      <c r="V4" s="486" t="s">
        <v>206</v>
      </c>
    </row>
    <row r="5" spans="2:24" ht="15" customHeight="1">
      <c r="B5" s="941" t="s">
        <v>190</v>
      </c>
      <c r="C5" s="66"/>
      <c r="D5" s="66"/>
      <c r="E5" s="282" t="s">
        <v>407</v>
      </c>
      <c r="F5" s="66"/>
      <c r="G5" s="369">
        <f>D5*F5</f>
        <v>0</v>
      </c>
      <c r="H5" s="145"/>
      <c r="I5" s="945"/>
      <c r="J5" s="943"/>
      <c r="K5" s="487" t="s">
        <v>159</v>
      </c>
      <c r="L5" s="487" t="s">
        <v>325</v>
      </c>
      <c r="M5" s="943"/>
      <c r="N5" s="950"/>
      <c r="O5" s="160"/>
      <c r="P5" s="488" t="s">
        <v>463</v>
      </c>
      <c r="Q5" s="182"/>
      <c r="R5" s="446" t="s">
        <v>105</v>
      </c>
      <c r="S5" s="182"/>
      <c r="T5" s="947" t="s">
        <v>464</v>
      </c>
      <c r="U5" s="948"/>
      <c r="V5" s="491">
        <v>5806.666666666667</v>
      </c>
      <c r="X5" s="151" t="s">
        <v>411</v>
      </c>
    </row>
    <row r="6" spans="2:22" ht="15" customHeight="1">
      <c r="B6" s="915"/>
      <c r="C6" s="66"/>
      <c r="D6" s="66"/>
      <c r="E6" s="282" t="s">
        <v>158</v>
      </c>
      <c r="F6" s="66"/>
      <c r="G6" s="492">
        <f>D6*F6</f>
        <v>0</v>
      </c>
      <c r="H6" s="145"/>
      <c r="I6" s="951" t="s">
        <v>197</v>
      </c>
      <c r="J6" s="66" t="s">
        <v>322</v>
      </c>
      <c r="K6" s="262">
        <v>4.2</v>
      </c>
      <c r="L6" s="262">
        <v>13</v>
      </c>
      <c r="M6" s="262">
        <v>84.7</v>
      </c>
      <c r="N6" s="493">
        <f aca="true" t="shared" si="0" ref="N6:N11">K6*L6*M6</f>
        <v>4624.62</v>
      </c>
      <c r="O6" s="160"/>
      <c r="P6" s="488"/>
      <c r="Q6" s="182"/>
      <c r="R6" s="446" t="s">
        <v>263</v>
      </c>
      <c r="S6" s="182"/>
      <c r="T6" s="947"/>
      <c r="U6" s="948"/>
      <c r="V6" s="491"/>
    </row>
    <row r="7" spans="2:22" ht="15" customHeight="1" thickBot="1">
      <c r="B7" s="916"/>
      <c r="C7" s="494" t="s">
        <v>160</v>
      </c>
      <c r="D7" s="494"/>
      <c r="E7" s="494"/>
      <c r="F7" s="494"/>
      <c r="G7" s="495">
        <f>SUM(G5:G6)</f>
        <v>0</v>
      </c>
      <c r="H7" s="145"/>
      <c r="I7" s="952"/>
      <c r="J7" s="66" t="s">
        <v>323</v>
      </c>
      <c r="K7" s="262">
        <v>2.6</v>
      </c>
      <c r="L7" s="262">
        <f>5+6.5</f>
        <v>11.5</v>
      </c>
      <c r="M7" s="262">
        <v>84.7</v>
      </c>
      <c r="N7" s="493">
        <f t="shared" si="0"/>
        <v>2532.53</v>
      </c>
      <c r="O7" s="160"/>
      <c r="P7" s="488"/>
      <c r="Q7" s="182"/>
      <c r="R7" s="446" t="s">
        <v>264</v>
      </c>
      <c r="S7" s="182"/>
      <c r="T7" s="947"/>
      <c r="U7" s="948"/>
      <c r="V7" s="491"/>
    </row>
    <row r="8" spans="2:22" ht="15" customHeight="1" thickTop="1">
      <c r="B8" s="914" t="s">
        <v>188</v>
      </c>
      <c r="C8" s="66" t="s">
        <v>304</v>
      </c>
      <c r="D8" s="66">
        <v>10</v>
      </c>
      <c r="E8" s="282" t="s">
        <v>306</v>
      </c>
      <c r="F8" s="66">
        <v>3840</v>
      </c>
      <c r="G8" s="492">
        <f>D8*F8</f>
        <v>38400</v>
      </c>
      <c r="H8" s="145"/>
      <c r="I8" s="952"/>
      <c r="J8" s="66" t="s">
        <v>331</v>
      </c>
      <c r="K8" s="262">
        <v>1.2</v>
      </c>
      <c r="L8" s="262">
        <v>3</v>
      </c>
      <c r="M8" s="262">
        <v>84.7</v>
      </c>
      <c r="N8" s="493">
        <f t="shared" si="0"/>
        <v>304.91999999999996</v>
      </c>
      <c r="O8" s="160"/>
      <c r="P8" s="488"/>
      <c r="Q8" s="182"/>
      <c r="R8" s="446" t="s">
        <v>264</v>
      </c>
      <c r="S8" s="182"/>
      <c r="T8" s="947"/>
      <c r="U8" s="948"/>
      <c r="V8" s="491"/>
    </row>
    <row r="9" spans="2:22" ht="15" customHeight="1">
      <c r="B9" s="915"/>
      <c r="C9" s="66"/>
      <c r="D9" s="66"/>
      <c r="E9" s="282"/>
      <c r="F9" s="66"/>
      <c r="G9" s="492">
        <f>D9*F9</f>
        <v>0</v>
      </c>
      <c r="H9" s="145"/>
      <c r="I9" s="952"/>
      <c r="J9" s="496" t="s">
        <v>326</v>
      </c>
      <c r="K9" s="497">
        <v>4.3</v>
      </c>
      <c r="L9" s="497">
        <v>5</v>
      </c>
      <c r="M9" s="262">
        <v>84.7</v>
      </c>
      <c r="N9" s="498">
        <f t="shared" si="0"/>
        <v>1821.05</v>
      </c>
      <c r="O9" s="160"/>
      <c r="P9" s="488"/>
      <c r="Q9" s="182"/>
      <c r="R9" s="446" t="s">
        <v>263</v>
      </c>
      <c r="S9" s="182"/>
      <c r="T9" s="947"/>
      <c r="U9" s="948"/>
      <c r="V9" s="491"/>
    </row>
    <row r="10" spans="2:22" ht="15" customHeight="1">
      <c r="B10" s="915"/>
      <c r="C10" s="66"/>
      <c r="D10" s="66"/>
      <c r="E10" s="282"/>
      <c r="F10" s="66"/>
      <c r="G10" s="492">
        <f>D10*F10</f>
        <v>0</v>
      </c>
      <c r="H10" s="145"/>
      <c r="I10" s="952"/>
      <c r="J10" s="499"/>
      <c r="K10" s="500"/>
      <c r="L10" s="500"/>
      <c r="M10" s="262"/>
      <c r="N10" s="501"/>
      <c r="O10" s="160"/>
      <c r="P10" s="488"/>
      <c r="Q10" s="182"/>
      <c r="R10" s="446"/>
      <c r="S10" s="182"/>
      <c r="T10" s="489"/>
      <c r="U10" s="490"/>
      <c r="V10" s="491"/>
    </row>
    <row r="11" spans="2:22" ht="15" customHeight="1" thickBot="1">
      <c r="B11" s="916"/>
      <c r="C11" s="502" t="s">
        <v>161</v>
      </c>
      <c r="D11" s="503"/>
      <c r="E11" s="503"/>
      <c r="F11" s="503"/>
      <c r="G11" s="504">
        <f>SUM(G8:G10)</f>
        <v>38400</v>
      </c>
      <c r="H11" s="145"/>
      <c r="I11" s="952"/>
      <c r="J11" s="505" t="s">
        <v>328</v>
      </c>
      <c r="K11" s="506">
        <v>1.2</v>
      </c>
      <c r="L11" s="506">
        <v>3.5</v>
      </c>
      <c r="M11" s="262">
        <v>84.7</v>
      </c>
      <c r="N11" s="507">
        <f t="shared" si="0"/>
        <v>355.74</v>
      </c>
      <c r="O11" s="160"/>
      <c r="P11" s="488"/>
      <c r="Q11" s="182"/>
      <c r="R11" s="446" t="s">
        <v>266</v>
      </c>
      <c r="S11" s="182"/>
      <c r="T11" s="947"/>
      <c r="U11" s="948"/>
      <c r="V11" s="491"/>
    </row>
    <row r="12" spans="2:22" ht="15" customHeight="1" thickBot="1" thickTop="1">
      <c r="B12" s="914" t="s">
        <v>189</v>
      </c>
      <c r="C12" s="66" t="s">
        <v>412</v>
      </c>
      <c r="D12" s="66">
        <v>500</v>
      </c>
      <c r="E12" s="282" t="s">
        <v>310</v>
      </c>
      <c r="F12" s="66">
        <f>3220/20</f>
        <v>161</v>
      </c>
      <c r="G12" s="492">
        <f>D12*F12</f>
        <v>80500</v>
      </c>
      <c r="H12" s="145"/>
      <c r="I12" s="953"/>
      <c r="J12" s="502" t="s">
        <v>265</v>
      </c>
      <c r="K12" s="508">
        <f>SUM(K6:K9)</f>
        <v>12.3</v>
      </c>
      <c r="L12" s="508">
        <f>SUM(L6:L11)</f>
        <v>36</v>
      </c>
      <c r="M12" s="508"/>
      <c r="N12" s="509">
        <f>SUM(N6:N11)</f>
        <v>9638.859999999999</v>
      </c>
      <c r="O12" s="160"/>
      <c r="P12" s="488"/>
      <c r="Q12" s="182"/>
      <c r="R12" s="446" t="s">
        <v>263</v>
      </c>
      <c r="S12" s="182"/>
      <c r="T12" s="947"/>
      <c r="U12" s="948"/>
      <c r="V12" s="491"/>
    </row>
    <row r="13" spans="2:22" ht="15" customHeight="1" thickTop="1">
      <c r="B13" s="915"/>
      <c r="C13" s="66"/>
      <c r="D13" s="66"/>
      <c r="E13" s="282"/>
      <c r="F13" s="66"/>
      <c r="G13" s="492">
        <f>D13*F13</f>
        <v>0</v>
      </c>
      <c r="H13" s="145"/>
      <c r="I13" s="908" t="s">
        <v>48</v>
      </c>
      <c r="J13" s="66" t="s">
        <v>324</v>
      </c>
      <c r="K13" s="262">
        <v>2.8</v>
      </c>
      <c r="L13" s="262">
        <v>3.3</v>
      </c>
      <c r="M13" s="262">
        <v>158.4</v>
      </c>
      <c r="N13" s="493">
        <f>K13*L13*M13</f>
        <v>1463.6159999999998</v>
      </c>
      <c r="O13" s="160"/>
      <c r="P13" s="488"/>
      <c r="Q13" s="182"/>
      <c r="R13" s="446" t="s">
        <v>264</v>
      </c>
      <c r="S13" s="182"/>
      <c r="T13" s="947"/>
      <c r="U13" s="948"/>
      <c r="V13" s="491"/>
    </row>
    <row r="14" spans="2:22" ht="15" customHeight="1">
      <c r="B14" s="915"/>
      <c r="C14" s="66"/>
      <c r="D14" s="66"/>
      <c r="E14" s="282"/>
      <c r="F14" s="66"/>
      <c r="G14" s="492">
        <f>D14*F14</f>
        <v>0</v>
      </c>
      <c r="H14" s="145"/>
      <c r="I14" s="909"/>
      <c r="J14" s="66"/>
      <c r="K14" s="262"/>
      <c r="L14" s="262"/>
      <c r="M14" s="262"/>
      <c r="N14" s="493">
        <f>K14*L14*M14</f>
        <v>0</v>
      </c>
      <c r="O14" s="160"/>
      <c r="P14" s="488"/>
      <c r="Q14" s="182"/>
      <c r="R14" s="446" t="s">
        <v>263</v>
      </c>
      <c r="S14" s="182"/>
      <c r="T14" s="947"/>
      <c r="U14" s="948"/>
      <c r="V14" s="491"/>
    </row>
    <row r="15" spans="2:22" ht="15" customHeight="1">
      <c r="B15" s="915"/>
      <c r="C15" s="66"/>
      <c r="D15" s="66"/>
      <c r="E15" s="66"/>
      <c r="F15" s="66"/>
      <c r="G15" s="492">
        <f>D15*F15</f>
        <v>0</v>
      </c>
      <c r="H15" s="145"/>
      <c r="I15" s="909"/>
      <c r="J15" s="66"/>
      <c r="K15" s="262"/>
      <c r="L15" s="262"/>
      <c r="M15" s="262"/>
      <c r="N15" s="493">
        <f>K15*L15*M15</f>
        <v>0</v>
      </c>
      <c r="O15" s="160"/>
      <c r="P15" s="488"/>
      <c r="Q15" s="182"/>
      <c r="R15" s="446" t="s">
        <v>207</v>
      </c>
      <c r="S15" s="182"/>
      <c r="T15" s="947"/>
      <c r="U15" s="948"/>
      <c r="V15" s="491"/>
    </row>
    <row r="16" spans="2:22" ht="15" customHeight="1" thickBot="1">
      <c r="B16" s="916"/>
      <c r="C16" s="502" t="s">
        <v>161</v>
      </c>
      <c r="D16" s="503"/>
      <c r="E16" s="503"/>
      <c r="F16" s="503"/>
      <c r="G16" s="504">
        <f>SUM(G12:G15)</f>
        <v>80500</v>
      </c>
      <c r="H16" s="145"/>
      <c r="I16" s="910"/>
      <c r="J16" s="510" t="s">
        <v>265</v>
      </c>
      <c r="K16" s="511">
        <f>SUM(K13:K15)</f>
        <v>2.8</v>
      </c>
      <c r="L16" s="511">
        <f>SUM(L13:L15)</f>
        <v>3.3</v>
      </c>
      <c r="M16" s="511"/>
      <c r="N16" s="512">
        <f>SUM(N13:N15)</f>
        <v>1463.6159999999998</v>
      </c>
      <c r="O16" s="160"/>
      <c r="P16" s="488"/>
      <c r="Q16" s="182"/>
      <c r="R16" s="446" t="s">
        <v>207</v>
      </c>
      <c r="S16" s="182"/>
      <c r="T16" s="947"/>
      <c r="U16" s="948"/>
      <c r="V16" s="491"/>
    </row>
    <row r="17" spans="2:22" ht="15" customHeight="1" thickTop="1">
      <c r="B17" s="914" t="s">
        <v>191</v>
      </c>
      <c r="C17" s="66"/>
      <c r="D17" s="66"/>
      <c r="E17" s="282"/>
      <c r="F17" s="66"/>
      <c r="G17" s="492">
        <f>D17*F17</f>
        <v>0</v>
      </c>
      <c r="H17" s="145"/>
      <c r="I17" s="908" t="s">
        <v>199</v>
      </c>
      <c r="J17" s="66"/>
      <c r="K17" s="262">
        <v>0</v>
      </c>
      <c r="L17" s="262"/>
      <c r="M17" s="262"/>
      <c r="N17" s="493">
        <f>K17*L17*M17</f>
        <v>0</v>
      </c>
      <c r="O17" s="160"/>
      <c r="P17" s="488"/>
      <c r="Q17" s="182"/>
      <c r="R17" s="446"/>
      <c r="S17" s="182"/>
      <c r="T17" s="947"/>
      <c r="U17" s="948"/>
      <c r="V17" s="491"/>
    </row>
    <row r="18" spans="2:22" ht="15" customHeight="1">
      <c r="B18" s="915"/>
      <c r="C18" s="66"/>
      <c r="D18" s="66"/>
      <c r="E18" s="282"/>
      <c r="F18" s="66"/>
      <c r="G18" s="492">
        <f>D18*F18</f>
        <v>0</v>
      </c>
      <c r="H18" s="145"/>
      <c r="I18" s="909"/>
      <c r="J18" s="66"/>
      <c r="K18" s="262"/>
      <c r="L18" s="262"/>
      <c r="M18" s="262"/>
      <c r="N18" s="493">
        <f>K18*L18*M18</f>
        <v>0</v>
      </c>
      <c r="O18" s="160"/>
      <c r="P18" s="488"/>
      <c r="Q18" s="182"/>
      <c r="R18" s="446"/>
      <c r="S18" s="182"/>
      <c r="T18" s="947"/>
      <c r="U18" s="948"/>
      <c r="V18" s="491"/>
    </row>
    <row r="19" spans="2:22" ht="15" customHeight="1">
      <c r="B19" s="915"/>
      <c r="C19" s="66"/>
      <c r="D19" s="66"/>
      <c r="E19" s="66"/>
      <c r="F19" s="66"/>
      <c r="G19" s="492">
        <f>D19*F19</f>
        <v>0</v>
      </c>
      <c r="H19" s="145"/>
      <c r="I19" s="909"/>
      <c r="J19" s="66"/>
      <c r="K19" s="262"/>
      <c r="L19" s="262"/>
      <c r="M19" s="262"/>
      <c r="N19" s="493">
        <f>K19*L19*M19</f>
        <v>0</v>
      </c>
      <c r="O19" s="160"/>
      <c r="P19" s="488"/>
      <c r="Q19" s="182"/>
      <c r="R19" s="446"/>
      <c r="S19" s="182"/>
      <c r="T19" s="947"/>
      <c r="U19" s="948"/>
      <c r="V19" s="491"/>
    </row>
    <row r="20" spans="2:22" ht="15" customHeight="1" thickBot="1">
      <c r="B20" s="916"/>
      <c r="C20" s="502" t="s">
        <v>161</v>
      </c>
      <c r="D20" s="503"/>
      <c r="E20" s="503"/>
      <c r="F20" s="503"/>
      <c r="G20" s="504">
        <f>SUM(G17:G19)</f>
        <v>0</v>
      </c>
      <c r="H20" s="145"/>
      <c r="I20" s="910"/>
      <c r="J20" s="510" t="s">
        <v>265</v>
      </c>
      <c r="K20" s="511">
        <f>SUM(K17:K19)</f>
        <v>0</v>
      </c>
      <c r="L20" s="513">
        <f>SUM(L17:L19)</f>
        <v>0</v>
      </c>
      <c r="M20" s="514"/>
      <c r="N20" s="512">
        <f>SUM(N17:N19)</f>
        <v>0</v>
      </c>
      <c r="O20" s="160"/>
      <c r="P20" s="488"/>
      <c r="Q20" s="182"/>
      <c r="R20" s="446"/>
      <c r="S20" s="182"/>
      <c r="T20" s="947"/>
      <c r="U20" s="948"/>
      <c r="V20" s="491"/>
    </row>
    <row r="21" spans="2:22" ht="15" customHeight="1" thickBot="1" thickTop="1">
      <c r="B21" s="914" t="s">
        <v>192</v>
      </c>
      <c r="C21" s="66" t="s">
        <v>315</v>
      </c>
      <c r="D21" s="66">
        <f>189*4.3</f>
        <v>812.6999999999999</v>
      </c>
      <c r="E21" s="282" t="s">
        <v>310</v>
      </c>
      <c r="F21" s="66">
        <f>510/20</f>
        <v>25.5</v>
      </c>
      <c r="G21" s="492">
        <f>D21*F21</f>
        <v>20723.85</v>
      </c>
      <c r="H21" s="145"/>
      <c r="I21" s="908" t="s">
        <v>200</v>
      </c>
      <c r="J21" s="66" t="s">
        <v>327</v>
      </c>
      <c r="K21" s="262">
        <v>28.2</v>
      </c>
      <c r="L21" s="262">
        <v>6.1</v>
      </c>
      <c r="M21" s="262">
        <v>102.1</v>
      </c>
      <c r="N21" s="493">
        <f>K21*L21*M21</f>
        <v>17563.242</v>
      </c>
      <c r="O21" s="160"/>
      <c r="P21" s="515" t="s">
        <v>29</v>
      </c>
      <c r="Q21" s="516"/>
      <c r="R21" s="516"/>
      <c r="S21" s="516"/>
      <c r="T21" s="955"/>
      <c r="U21" s="956"/>
      <c r="V21" s="517">
        <f>SUM(V5:V20)</f>
        <v>5806.666666666667</v>
      </c>
    </row>
    <row r="22" spans="2:15" ht="15" customHeight="1">
      <c r="B22" s="915"/>
      <c r="C22" s="66"/>
      <c r="D22" s="66"/>
      <c r="E22" s="282"/>
      <c r="F22" s="66"/>
      <c r="G22" s="492">
        <f>D22*F22</f>
        <v>0</v>
      </c>
      <c r="H22" s="145"/>
      <c r="I22" s="909"/>
      <c r="J22" s="66"/>
      <c r="K22" s="262"/>
      <c r="L22" s="262"/>
      <c r="M22" s="262"/>
      <c r="N22" s="493">
        <f>K22*L22*M22</f>
        <v>0</v>
      </c>
      <c r="O22" s="160"/>
    </row>
    <row r="23" spans="2:16" ht="15" customHeight="1" thickBot="1">
      <c r="B23" s="915"/>
      <c r="C23" s="66"/>
      <c r="D23" s="66"/>
      <c r="E23" s="282"/>
      <c r="F23" s="66"/>
      <c r="G23" s="492">
        <f>D23*F23</f>
        <v>0</v>
      </c>
      <c r="H23" s="145"/>
      <c r="I23" s="909"/>
      <c r="J23" s="66"/>
      <c r="K23" s="262"/>
      <c r="L23" s="262"/>
      <c r="M23" s="262"/>
      <c r="N23" s="493">
        <f>K23*L23*M23</f>
        <v>0</v>
      </c>
      <c r="O23" s="160"/>
      <c r="P23" s="151" t="s">
        <v>260</v>
      </c>
    </row>
    <row r="24" spans="2:22" ht="15" customHeight="1" thickBot="1">
      <c r="B24" s="940"/>
      <c r="C24" s="518" t="s">
        <v>164</v>
      </c>
      <c r="D24" s="69"/>
      <c r="E24" s="69"/>
      <c r="F24" s="69"/>
      <c r="G24" s="347">
        <f>SUM(G21:G23)</f>
        <v>20723.85</v>
      </c>
      <c r="H24" s="145"/>
      <c r="I24" s="910"/>
      <c r="J24" s="510" t="s">
        <v>265</v>
      </c>
      <c r="K24" s="511">
        <f>SUM(K21:K23)</f>
        <v>28.2</v>
      </c>
      <c r="L24" s="513">
        <f>SUM(L21:L23)</f>
        <v>6.1</v>
      </c>
      <c r="M24" s="514"/>
      <c r="N24" s="512">
        <f>SUM(N21:N23)</f>
        <v>17563.242</v>
      </c>
      <c r="O24" s="160"/>
      <c r="P24" s="484" t="s">
        <v>208</v>
      </c>
      <c r="Q24" s="485" t="s">
        <v>202</v>
      </c>
      <c r="R24" s="485" t="s">
        <v>203</v>
      </c>
      <c r="S24" s="485" t="s">
        <v>204</v>
      </c>
      <c r="T24" s="485" t="s">
        <v>205</v>
      </c>
      <c r="U24" s="443" t="s">
        <v>209</v>
      </c>
      <c r="V24" s="486" t="s">
        <v>206</v>
      </c>
    </row>
    <row r="25" spans="9:22" ht="15" customHeight="1" thickTop="1">
      <c r="I25" s="908" t="s">
        <v>289</v>
      </c>
      <c r="J25" s="66"/>
      <c r="K25" s="262"/>
      <c r="L25" s="262"/>
      <c r="M25" s="262"/>
      <c r="N25" s="493">
        <f>K25*L25*M25</f>
        <v>0</v>
      </c>
      <c r="O25" s="160"/>
      <c r="P25" s="488" t="s">
        <v>338</v>
      </c>
      <c r="Q25" s="182">
        <v>10</v>
      </c>
      <c r="R25" s="446" t="s">
        <v>264</v>
      </c>
      <c r="S25" s="182">
        <v>500</v>
      </c>
      <c r="T25" s="182">
        <v>2</v>
      </c>
      <c r="U25" s="174">
        <v>30</v>
      </c>
      <c r="V25" s="491">
        <f>Q25*S25/T25/U25</f>
        <v>83.33333333333333</v>
      </c>
    </row>
    <row r="26" spans="2:28" ht="15" customHeight="1" thickBot="1">
      <c r="B26" s="160" t="s">
        <v>271</v>
      </c>
      <c r="C26" s="160"/>
      <c r="D26" s="480"/>
      <c r="E26" s="160"/>
      <c r="F26" s="480"/>
      <c r="G26" s="146"/>
      <c r="H26" s="146"/>
      <c r="I26" s="909"/>
      <c r="J26" s="66"/>
      <c r="K26" s="262"/>
      <c r="L26" s="262"/>
      <c r="M26" s="262"/>
      <c r="N26" s="493">
        <f>K26*L26*M26</f>
        <v>0</v>
      </c>
      <c r="O26" s="160"/>
      <c r="P26" s="488"/>
      <c r="Q26" s="182"/>
      <c r="R26" s="446"/>
      <c r="S26" s="182"/>
      <c r="T26" s="182"/>
      <c r="U26" s="174">
        <v>24</v>
      </c>
      <c r="V26" s="491"/>
      <c r="AA26" s="151" t="s">
        <v>336</v>
      </c>
      <c r="AB26" s="151" t="s">
        <v>337</v>
      </c>
    </row>
    <row r="27" spans="2:22" ht="15" customHeight="1">
      <c r="B27" s="481" t="s">
        <v>89</v>
      </c>
      <c r="C27" s="258" t="s">
        <v>153</v>
      </c>
      <c r="D27" s="258" t="s">
        <v>154</v>
      </c>
      <c r="E27" s="258" t="s">
        <v>155</v>
      </c>
      <c r="F27" s="258" t="s">
        <v>24</v>
      </c>
      <c r="G27" s="482" t="s">
        <v>156</v>
      </c>
      <c r="H27" s="144"/>
      <c r="I27" s="909"/>
      <c r="J27" s="66"/>
      <c r="K27" s="262"/>
      <c r="L27" s="262"/>
      <c r="M27" s="262"/>
      <c r="N27" s="493">
        <f>K27*L27*M27</f>
        <v>0</v>
      </c>
      <c r="O27" s="160"/>
      <c r="P27" s="488"/>
      <c r="Q27" s="182"/>
      <c r="R27" s="446"/>
      <c r="S27" s="182"/>
      <c r="T27" s="182"/>
      <c r="U27" s="174">
        <v>36</v>
      </c>
      <c r="V27" s="491"/>
    </row>
    <row r="28" spans="2:22" ht="15" customHeight="1" thickBot="1">
      <c r="B28" s="941" t="s">
        <v>30</v>
      </c>
      <c r="C28" s="48" t="s">
        <v>753</v>
      </c>
      <c r="D28" s="66">
        <v>300</v>
      </c>
      <c r="E28" s="282" t="s">
        <v>318</v>
      </c>
      <c r="F28" s="66">
        <f>62610/10000</f>
        <v>6.261</v>
      </c>
      <c r="G28" s="369">
        <f>D28*F28</f>
        <v>1878.3</v>
      </c>
      <c r="H28" s="145"/>
      <c r="I28" s="910"/>
      <c r="J28" s="510" t="s">
        <v>265</v>
      </c>
      <c r="K28" s="511">
        <f>SUM(K25:K27)</f>
        <v>0</v>
      </c>
      <c r="L28" s="513">
        <f>SUM(L25:L27)</f>
        <v>0</v>
      </c>
      <c r="M28" s="514"/>
      <c r="N28" s="512">
        <f>SUM(N25:N27)</f>
        <v>0</v>
      </c>
      <c r="O28" s="160"/>
      <c r="P28" s="488"/>
      <c r="Q28" s="182"/>
      <c r="R28" s="446"/>
      <c r="S28" s="182"/>
      <c r="T28" s="182"/>
      <c r="U28" s="174">
        <v>36</v>
      </c>
      <c r="V28" s="491"/>
    </row>
    <row r="29" spans="2:22" ht="15" customHeight="1" thickTop="1">
      <c r="B29" s="915"/>
      <c r="C29" s="568" t="s">
        <v>754</v>
      </c>
      <c r="D29" s="66">
        <f>1*189</f>
        <v>189</v>
      </c>
      <c r="E29" s="282" t="s">
        <v>318</v>
      </c>
      <c r="F29" s="66">
        <f>4180/500</f>
        <v>8.36</v>
      </c>
      <c r="G29" s="369">
        <f>D29*F29</f>
        <v>1580.04</v>
      </c>
      <c r="H29" s="145"/>
      <c r="I29" s="908" t="s">
        <v>196</v>
      </c>
      <c r="J29" s="66" t="s">
        <v>327</v>
      </c>
      <c r="K29" s="262">
        <v>31.4</v>
      </c>
      <c r="L29" s="262">
        <v>3.2</v>
      </c>
      <c r="M29" s="262">
        <v>14</v>
      </c>
      <c r="N29" s="493">
        <f>K29*L29*M29</f>
        <v>1406.72</v>
      </c>
      <c r="O29" s="160"/>
      <c r="P29" s="488"/>
      <c r="Q29" s="182"/>
      <c r="R29" s="446"/>
      <c r="S29" s="182"/>
      <c r="T29" s="182"/>
      <c r="U29" s="174"/>
      <c r="V29" s="491"/>
    </row>
    <row r="30" spans="2:22" ht="15" customHeight="1">
      <c r="B30" s="915"/>
      <c r="C30" s="48" t="s">
        <v>30</v>
      </c>
      <c r="D30" s="66">
        <v>833</v>
      </c>
      <c r="E30" s="282" t="s">
        <v>332</v>
      </c>
      <c r="F30" s="66">
        <f>10590/5000</f>
        <v>2.118</v>
      </c>
      <c r="G30" s="369">
        <f>D30*F30</f>
        <v>1764.2939999999999</v>
      </c>
      <c r="H30" s="145"/>
      <c r="I30" s="909"/>
      <c r="J30" s="66" t="s">
        <v>329</v>
      </c>
      <c r="K30" s="262">
        <v>4</v>
      </c>
      <c r="L30" s="262">
        <v>1.9</v>
      </c>
      <c r="M30" s="262">
        <v>14</v>
      </c>
      <c r="N30" s="493">
        <f>K30*L30*M30</f>
        <v>106.39999999999999</v>
      </c>
      <c r="O30" s="479"/>
      <c r="P30" s="488"/>
      <c r="Q30" s="182"/>
      <c r="R30" s="446"/>
      <c r="S30" s="182"/>
      <c r="T30" s="182"/>
      <c r="U30" s="174"/>
      <c r="V30" s="491"/>
    </row>
    <row r="31" spans="2:22" ht="15" customHeight="1">
      <c r="B31" s="915"/>
      <c r="C31" s="66"/>
      <c r="D31" s="66"/>
      <c r="E31" s="282"/>
      <c r="F31" s="66"/>
      <c r="G31" s="492">
        <v>0</v>
      </c>
      <c r="H31" s="145"/>
      <c r="I31" s="909"/>
      <c r="J31" s="66" t="s">
        <v>330</v>
      </c>
      <c r="K31" s="262">
        <v>24.5</v>
      </c>
      <c r="L31" s="262">
        <v>6.7</v>
      </c>
      <c r="M31" s="262">
        <v>14</v>
      </c>
      <c r="N31" s="493">
        <f>K31*L31*M31</f>
        <v>2298.1</v>
      </c>
      <c r="P31" s="488"/>
      <c r="Q31" s="182"/>
      <c r="R31" s="446"/>
      <c r="S31" s="182"/>
      <c r="T31" s="182"/>
      <c r="U31" s="174"/>
      <c r="V31" s="491"/>
    </row>
    <row r="32" spans="2:22" ht="15" customHeight="1" thickBot="1">
      <c r="B32" s="915"/>
      <c r="C32" s="66"/>
      <c r="D32" s="66"/>
      <c r="E32" s="282"/>
      <c r="F32" s="66"/>
      <c r="G32" s="492">
        <f aca="true" t="shared" si="1" ref="G32:G37">D32*F32</f>
        <v>0</v>
      </c>
      <c r="H32" s="145"/>
      <c r="I32" s="926"/>
      <c r="J32" s="519" t="s">
        <v>265</v>
      </c>
      <c r="K32" s="520">
        <f>SUM(K29:K31)</f>
        <v>59.9</v>
      </c>
      <c r="L32" s="521">
        <f>SUM(L29:L31)</f>
        <v>11.8</v>
      </c>
      <c r="M32" s="522"/>
      <c r="N32" s="523">
        <f>SUM(N29:N31)</f>
        <v>3811.2200000000003</v>
      </c>
      <c r="P32" s="488"/>
      <c r="Q32" s="182"/>
      <c r="R32" s="446"/>
      <c r="S32" s="182"/>
      <c r="T32" s="182"/>
      <c r="U32" s="174"/>
      <c r="V32" s="491"/>
    </row>
    <row r="33" spans="2:22" ht="15" customHeight="1">
      <c r="B33" s="915"/>
      <c r="C33" s="66"/>
      <c r="D33" s="66"/>
      <c r="E33" s="282"/>
      <c r="F33" s="66"/>
      <c r="G33" s="492">
        <f t="shared" si="1"/>
        <v>0</v>
      </c>
      <c r="H33" s="145"/>
      <c r="I33" s="145"/>
      <c r="J33" s="145"/>
      <c r="K33" s="145"/>
      <c r="L33" s="145"/>
      <c r="M33" s="145"/>
      <c r="N33" s="145"/>
      <c r="P33" s="488"/>
      <c r="Q33" s="182"/>
      <c r="R33" s="446"/>
      <c r="S33" s="182"/>
      <c r="T33" s="182"/>
      <c r="U33" s="174"/>
      <c r="V33" s="491"/>
    </row>
    <row r="34" spans="2:22" ht="15" customHeight="1" thickBot="1">
      <c r="B34" s="915"/>
      <c r="C34" s="66"/>
      <c r="D34" s="66"/>
      <c r="E34" s="282"/>
      <c r="F34" s="66"/>
      <c r="G34" s="492">
        <f t="shared" si="1"/>
        <v>0</v>
      </c>
      <c r="H34" s="145"/>
      <c r="I34" s="365" t="s">
        <v>258</v>
      </c>
      <c r="J34" s="365"/>
      <c r="K34" s="365"/>
      <c r="L34" s="365"/>
      <c r="M34" s="365"/>
      <c r="P34" s="524" t="s">
        <v>251</v>
      </c>
      <c r="Q34" s="516"/>
      <c r="R34" s="516"/>
      <c r="S34" s="516"/>
      <c r="T34" s="516"/>
      <c r="U34" s="525"/>
      <c r="V34" s="517">
        <f>SUM(V25:V33)</f>
        <v>83.33333333333333</v>
      </c>
    </row>
    <row r="35" spans="2:14" ht="15" customHeight="1" thickBot="1">
      <c r="B35" s="915"/>
      <c r="C35" s="66"/>
      <c r="D35" s="66"/>
      <c r="E35" s="282"/>
      <c r="F35" s="66"/>
      <c r="G35" s="492">
        <f t="shared" si="1"/>
        <v>0</v>
      </c>
      <c r="H35" s="145"/>
      <c r="I35" s="526" t="s">
        <v>246</v>
      </c>
      <c r="J35" s="527" t="s">
        <v>5</v>
      </c>
      <c r="K35" s="924" t="s">
        <v>247</v>
      </c>
      <c r="L35" s="925"/>
      <c r="M35" s="555" t="s">
        <v>209</v>
      </c>
      <c r="N35" s="529" t="s">
        <v>273</v>
      </c>
    </row>
    <row r="36" spans="2:20" ht="15" customHeight="1" thickBot="1" thickTop="1">
      <c r="B36" s="915"/>
      <c r="C36" s="66"/>
      <c r="D36" s="66"/>
      <c r="E36" s="282"/>
      <c r="F36" s="66"/>
      <c r="G36" s="492">
        <f t="shared" si="1"/>
        <v>0</v>
      </c>
      <c r="H36" s="145"/>
      <c r="I36" s="911" t="s">
        <v>2</v>
      </c>
      <c r="J36" s="294" t="str">
        <f>'（参考）水稲資本装備'!C5</f>
        <v>農機具庫</v>
      </c>
      <c r="K36" s="921">
        <f>'（参考）水稲資本装備'!I5</f>
        <v>5940000</v>
      </c>
      <c r="L36" s="921"/>
      <c r="M36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532">
        <f>+K36/M36*0.014*0.3</f>
        <v>831.6</v>
      </c>
      <c r="P36" s="365" t="s">
        <v>252</v>
      </c>
      <c r="Q36" s="365"/>
      <c r="R36" s="365"/>
      <c r="S36" s="365"/>
      <c r="T36" s="365"/>
    </row>
    <row r="37" spans="2:22" ht="15" customHeight="1" thickBot="1" thickTop="1">
      <c r="B37" s="915"/>
      <c r="C37" s="66"/>
      <c r="D37" s="66"/>
      <c r="E37" s="282"/>
      <c r="F37" s="66"/>
      <c r="G37" s="492">
        <f t="shared" si="1"/>
        <v>0</v>
      </c>
      <c r="H37" s="145"/>
      <c r="I37" s="912"/>
      <c r="J37" s="294" t="str">
        <f>'（参考）水稲資本装備'!C6</f>
        <v>乾燥調製施設</v>
      </c>
      <c r="K37" s="921">
        <f>'（参考）水稲資本装備'!I6</f>
        <v>10692000</v>
      </c>
      <c r="L37" s="921"/>
      <c r="M37" s="540">
        <f>'１　対象経営の概要，２　前提条件'!$N$7+'１　対象経営の概要，２　前提条件'!$N$8+'１　対象経営の概要，２　前提条件'!$N$9</f>
        <v>29</v>
      </c>
      <c r="N37" s="532">
        <f>+K37/M37*0.014*0.3</f>
        <v>1548.496551724138</v>
      </c>
      <c r="P37" s="526" t="s">
        <v>245</v>
      </c>
      <c r="Q37" s="954" t="s">
        <v>253</v>
      </c>
      <c r="R37" s="954"/>
      <c r="S37" s="533" t="s">
        <v>256</v>
      </c>
      <c r="T37" s="533" t="s">
        <v>255</v>
      </c>
      <c r="U37" s="528" t="s">
        <v>209</v>
      </c>
      <c r="V37" s="534" t="s">
        <v>273</v>
      </c>
    </row>
    <row r="38" spans="2:22" ht="15" customHeight="1" thickBot="1" thickTop="1">
      <c r="B38" s="916"/>
      <c r="C38" s="494" t="s">
        <v>160</v>
      </c>
      <c r="D38" s="494"/>
      <c r="E38" s="494"/>
      <c r="F38" s="494"/>
      <c r="G38" s="495">
        <f>SUM(G28:G37)</f>
        <v>5222.634</v>
      </c>
      <c r="H38" s="145"/>
      <c r="I38" s="912"/>
      <c r="J38" s="294" t="str">
        <f>'（参考）水稲資本装備'!C7</f>
        <v>育苗ハウス</v>
      </c>
      <c r="K38" s="921">
        <f>'（参考）水稲資本装備'!I7</f>
        <v>4301100</v>
      </c>
      <c r="L38" s="921"/>
      <c r="M38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532">
        <f>+K38/M38*0.014*0.3</f>
        <v>602.154</v>
      </c>
      <c r="P38" s="927" t="s">
        <v>254</v>
      </c>
      <c r="Q38" s="209" t="s">
        <v>244</v>
      </c>
      <c r="R38" s="229"/>
      <c r="S38" s="209">
        <v>116400</v>
      </c>
      <c r="T38" s="230">
        <v>1</v>
      </c>
      <c r="U38" s="209">
        <v>30</v>
      </c>
      <c r="V38" s="532">
        <f>+S38*T38/U38</f>
        <v>3880</v>
      </c>
    </row>
    <row r="39" spans="2:22" ht="15" customHeight="1" thickTop="1">
      <c r="B39" s="914" t="s">
        <v>193</v>
      </c>
      <c r="C39" s="569" t="s">
        <v>358</v>
      </c>
      <c r="D39" s="66">
        <v>833</v>
      </c>
      <c r="E39" s="282" t="s">
        <v>332</v>
      </c>
      <c r="F39" s="66">
        <f>49110/10000</f>
        <v>4.911</v>
      </c>
      <c r="G39" s="492">
        <f>D39*F39</f>
        <v>4090.863</v>
      </c>
      <c r="H39" s="145"/>
      <c r="I39" s="912"/>
      <c r="J39" s="294"/>
      <c r="K39" s="921"/>
      <c r="L39" s="921"/>
      <c r="M39" s="530"/>
      <c r="N39" s="532"/>
      <c r="P39" s="928"/>
      <c r="Q39" s="209" t="s">
        <v>339</v>
      </c>
      <c r="R39" s="229"/>
      <c r="S39" s="209"/>
      <c r="T39" s="230">
        <v>1</v>
      </c>
      <c r="U39" s="209">
        <v>30</v>
      </c>
      <c r="V39" s="532">
        <f>+S39*T39/U39</f>
        <v>0</v>
      </c>
    </row>
    <row r="40" spans="2:24" ht="15" customHeight="1">
      <c r="B40" s="915"/>
      <c r="C40" s="66"/>
      <c r="D40" s="66"/>
      <c r="E40" s="282"/>
      <c r="F40" s="66"/>
      <c r="G40" s="492">
        <f>D40*F40</f>
        <v>0</v>
      </c>
      <c r="H40" s="145"/>
      <c r="I40" s="912"/>
      <c r="J40" s="294"/>
      <c r="K40" s="921"/>
      <c r="L40" s="921"/>
      <c r="M40" s="530"/>
      <c r="N40" s="532"/>
      <c r="P40" s="928"/>
      <c r="Q40" s="209" t="s">
        <v>340</v>
      </c>
      <c r="R40" s="229"/>
      <c r="S40" s="209"/>
      <c r="T40" s="230">
        <v>1</v>
      </c>
      <c r="U40" s="209">
        <v>30</v>
      </c>
      <c r="V40" s="532">
        <f>+S40*T40/U40</f>
        <v>0</v>
      </c>
      <c r="X40" s="151" t="s">
        <v>341</v>
      </c>
    </row>
    <row r="41" spans="2:24" ht="15" customHeight="1">
      <c r="B41" s="915"/>
      <c r="C41" s="66"/>
      <c r="D41" s="66"/>
      <c r="E41" s="282"/>
      <c r="F41" s="66"/>
      <c r="G41" s="492">
        <f>D41*F41</f>
        <v>0</v>
      </c>
      <c r="H41" s="145"/>
      <c r="I41" s="912"/>
      <c r="J41" s="294"/>
      <c r="K41" s="921"/>
      <c r="L41" s="921"/>
      <c r="M41" s="530"/>
      <c r="N41" s="532"/>
      <c r="P41" s="928"/>
      <c r="Q41" s="209"/>
      <c r="R41" s="229"/>
      <c r="S41" s="209"/>
      <c r="T41" s="230">
        <v>1</v>
      </c>
      <c r="U41" s="209"/>
      <c r="V41" s="532"/>
      <c r="X41" s="151" t="s">
        <v>342</v>
      </c>
    </row>
    <row r="42" spans="2:22" ht="15" customHeight="1" thickBot="1">
      <c r="B42" s="915"/>
      <c r="C42" s="66"/>
      <c r="D42" s="66"/>
      <c r="E42" s="282"/>
      <c r="F42" s="66"/>
      <c r="G42" s="492">
        <f aca="true" t="shared" si="2" ref="G42:G52">D42*F42</f>
        <v>0</v>
      </c>
      <c r="H42" s="145"/>
      <c r="I42" s="913"/>
      <c r="J42" s="536" t="s">
        <v>161</v>
      </c>
      <c r="K42" s="922"/>
      <c r="L42" s="923"/>
      <c r="M42" s="537"/>
      <c r="N42" s="538">
        <f>SUM(N36:N41)</f>
        <v>2982.250551724138</v>
      </c>
      <c r="P42" s="928"/>
      <c r="Q42" s="209"/>
      <c r="R42" s="229"/>
      <c r="S42" s="209"/>
      <c r="T42" s="230"/>
      <c r="U42" s="209"/>
      <c r="V42" s="532"/>
    </row>
    <row r="43" spans="2:22" ht="15" customHeight="1" thickTop="1">
      <c r="B43" s="915"/>
      <c r="C43" s="66"/>
      <c r="D43" s="66"/>
      <c r="E43" s="282"/>
      <c r="F43" s="66"/>
      <c r="G43" s="492"/>
      <c r="H43" s="145"/>
      <c r="I43" s="917" t="s">
        <v>248</v>
      </c>
      <c r="J43" s="539" t="s">
        <v>274</v>
      </c>
      <c r="K43" s="920">
        <v>8200</v>
      </c>
      <c r="L43" s="920"/>
      <c r="M43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541">
        <f>+K43/M43</f>
        <v>273.3333333333333</v>
      </c>
      <c r="P43" s="928"/>
      <c r="Q43" s="209"/>
      <c r="R43" s="229"/>
      <c r="S43" s="209"/>
      <c r="T43" s="230"/>
      <c r="U43" s="209"/>
      <c r="V43" s="532"/>
    </row>
    <row r="44" spans="2:22" ht="15" customHeight="1" thickBot="1">
      <c r="B44" s="915"/>
      <c r="C44" s="66"/>
      <c r="D44" s="66"/>
      <c r="E44" s="282"/>
      <c r="F44" s="66"/>
      <c r="G44" s="492"/>
      <c r="H44" s="145"/>
      <c r="I44" s="918"/>
      <c r="J44" s="209"/>
      <c r="K44" s="921"/>
      <c r="L44" s="921"/>
      <c r="M44" s="530"/>
      <c r="N44" s="532"/>
      <c r="P44" s="929"/>
      <c r="Q44" s="542" t="s">
        <v>257</v>
      </c>
      <c r="R44" s="543"/>
      <c r="S44" s="543"/>
      <c r="T44" s="543"/>
      <c r="U44" s="543"/>
      <c r="V44" s="544">
        <f>SUM(V38:V43)</f>
        <v>3880</v>
      </c>
    </row>
    <row r="45" spans="2:22" ht="15" customHeight="1" thickTop="1">
      <c r="B45" s="915"/>
      <c r="C45" s="66"/>
      <c r="D45" s="66"/>
      <c r="E45" s="282"/>
      <c r="F45" s="66"/>
      <c r="G45" s="492"/>
      <c r="H45" s="145"/>
      <c r="I45" s="918"/>
      <c r="J45" s="294"/>
      <c r="K45" s="921"/>
      <c r="L45" s="921"/>
      <c r="M45" s="530"/>
      <c r="N45" s="532"/>
      <c r="P45" s="962" t="s">
        <v>262</v>
      </c>
      <c r="Q45" s="959" t="s">
        <v>276</v>
      </c>
      <c r="R45" s="554" t="s">
        <v>277</v>
      </c>
      <c r="S45" s="539">
        <v>35750</v>
      </c>
      <c r="T45" s="231">
        <v>1</v>
      </c>
      <c r="U45" s="539">
        <v>30</v>
      </c>
      <c r="V45" s="545">
        <f>+S45*T45/U45</f>
        <v>1191.6666666666667</v>
      </c>
    </row>
    <row r="46" spans="2:22" ht="15" customHeight="1" thickBot="1">
      <c r="B46" s="915"/>
      <c r="C46" s="66"/>
      <c r="D46" s="66"/>
      <c r="E46" s="282"/>
      <c r="F46" s="66"/>
      <c r="G46" s="492">
        <f t="shared" si="2"/>
        <v>0</v>
      </c>
      <c r="H46" s="145"/>
      <c r="I46" s="919"/>
      <c r="J46" s="536" t="s">
        <v>161</v>
      </c>
      <c r="K46" s="922"/>
      <c r="L46" s="923"/>
      <c r="M46" s="537"/>
      <c r="N46" s="538">
        <f>SUM(N43:N45)</f>
        <v>273.3333333333333</v>
      </c>
      <c r="P46" s="928"/>
      <c r="Q46" s="960"/>
      <c r="R46" s="232"/>
      <c r="S46" s="209"/>
      <c r="T46" s="230"/>
      <c r="U46" s="209"/>
      <c r="V46" s="532"/>
    </row>
    <row r="47" spans="2:22" ht="15" customHeight="1" thickTop="1">
      <c r="B47" s="915"/>
      <c r="C47" s="66"/>
      <c r="D47" s="66"/>
      <c r="E47" s="282"/>
      <c r="F47" s="66"/>
      <c r="G47" s="492">
        <f t="shared" si="2"/>
        <v>0</v>
      </c>
      <c r="H47" s="145"/>
      <c r="I47" s="917" t="s">
        <v>249</v>
      </c>
      <c r="J47" s="539" t="s">
        <v>274</v>
      </c>
      <c r="K47" s="920">
        <v>11500</v>
      </c>
      <c r="L47" s="920"/>
      <c r="M47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545">
        <f>K47/M47</f>
        <v>383.3333333333333</v>
      </c>
      <c r="P47" s="928"/>
      <c r="Q47" s="960"/>
      <c r="R47" s="232"/>
      <c r="S47" s="209"/>
      <c r="T47" s="209"/>
      <c r="U47" s="294"/>
      <c r="V47" s="300"/>
    </row>
    <row r="48" spans="2:22" ht="15" customHeight="1">
      <c r="B48" s="915"/>
      <c r="C48" s="66"/>
      <c r="D48" s="66"/>
      <c r="E48" s="282"/>
      <c r="F48" s="66"/>
      <c r="G48" s="492">
        <f t="shared" si="2"/>
        <v>0</v>
      </c>
      <c r="H48" s="145"/>
      <c r="I48" s="918"/>
      <c r="J48" s="209"/>
      <c r="K48" s="921"/>
      <c r="L48" s="921"/>
      <c r="M48" s="530"/>
      <c r="N48" s="532"/>
      <c r="P48" s="928"/>
      <c r="Q48" s="960"/>
      <c r="R48" s="232" t="s">
        <v>261</v>
      </c>
      <c r="S48" s="209">
        <v>15600</v>
      </c>
      <c r="T48" s="230">
        <v>1</v>
      </c>
      <c r="U48" s="209">
        <v>30</v>
      </c>
      <c r="V48" s="532">
        <f>+S48*T48/U48</f>
        <v>520</v>
      </c>
    </row>
    <row r="49" spans="2:22" ht="15" customHeight="1" thickBot="1">
      <c r="B49" s="916"/>
      <c r="C49" s="502" t="s">
        <v>161</v>
      </c>
      <c r="D49" s="503"/>
      <c r="E49" s="503"/>
      <c r="F49" s="503"/>
      <c r="G49" s="504">
        <f>SUM(G39:G48)</f>
        <v>4090.863</v>
      </c>
      <c r="H49" s="145"/>
      <c r="I49" s="918"/>
      <c r="J49" s="294"/>
      <c r="K49" s="921"/>
      <c r="L49" s="921"/>
      <c r="M49" s="530"/>
      <c r="N49" s="532"/>
      <c r="P49" s="928"/>
      <c r="Q49" s="961"/>
      <c r="R49" s="232"/>
      <c r="S49" s="209"/>
      <c r="T49" s="209"/>
      <c r="U49" s="294"/>
      <c r="V49" s="300"/>
    </row>
    <row r="50" spans="2:22" ht="15" customHeight="1" thickBot="1" thickTop="1">
      <c r="B50" s="914" t="s">
        <v>32</v>
      </c>
      <c r="C50" s="66" t="s">
        <v>755</v>
      </c>
      <c r="D50" s="66">
        <v>10</v>
      </c>
      <c r="E50" s="282" t="s">
        <v>310</v>
      </c>
      <c r="F50" s="66">
        <f>24330/10</f>
        <v>2433</v>
      </c>
      <c r="G50" s="492">
        <f t="shared" si="2"/>
        <v>24330</v>
      </c>
      <c r="H50" s="145"/>
      <c r="I50" s="919"/>
      <c r="J50" s="536" t="s">
        <v>161</v>
      </c>
      <c r="K50" s="922"/>
      <c r="L50" s="923"/>
      <c r="M50" s="537"/>
      <c r="N50" s="538">
        <f>SUM(N47:N49)</f>
        <v>383.3333333333333</v>
      </c>
      <c r="P50" s="928"/>
      <c r="Q50" s="542" t="s">
        <v>257</v>
      </c>
      <c r="R50" s="543"/>
      <c r="S50" s="543"/>
      <c r="T50" s="543"/>
      <c r="U50" s="543"/>
      <c r="V50" s="544">
        <f>SUM(V45:V49)</f>
        <v>1711.6666666666667</v>
      </c>
    </row>
    <row r="51" spans="2:22" ht="15" customHeight="1" thickTop="1">
      <c r="B51" s="915"/>
      <c r="C51" s="66"/>
      <c r="D51" s="66"/>
      <c r="E51" s="66"/>
      <c r="F51" s="66"/>
      <c r="G51" s="492">
        <f t="shared" si="2"/>
        <v>0</v>
      </c>
      <c r="H51" s="145"/>
      <c r="I51" s="917" t="s">
        <v>250</v>
      </c>
      <c r="J51" s="539" t="s">
        <v>54</v>
      </c>
      <c r="K51" s="930">
        <v>2400</v>
      </c>
      <c r="L51" s="931"/>
      <c r="M51" s="540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541">
        <f>+K51/M51</f>
        <v>80</v>
      </c>
      <c r="P51" s="928"/>
      <c r="Q51" s="959" t="s">
        <v>278</v>
      </c>
      <c r="R51" s="554" t="s">
        <v>277</v>
      </c>
      <c r="S51" s="539">
        <v>60000</v>
      </c>
      <c r="T51" s="231">
        <v>1</v>
      </c>
      <c r="U51" s="539">
        <v>36</v>
      </c>
      <c r="V51" s="545">
        <f>+S51*T51/U51</f>
        <v>1666.6666666666667</v>
      </c>
    </row>
    <row r="52" spans="2:22" ht="15" customHeight="1">
      <c r="B52" s="915"/>
      <c r="C52" s="66"/>
      <c r="D52" s="66"/>
      <c r="E52" s="66"/>
      <c r="F52" s="66"/>
      <c r="G52" s="492">
        <f t="shared" si="2"/>
        <v>0</v>
      </c>
      <c r="H52" s="145"/>
      <c r="I52" s="918"/>
      <c r="J52" s="209" t="s">
        <v>54</v>
      </c>
      <c r="K52" s="932">
        <v>2400</v>
      </c>
      <c r="L52" s="933"/>
      <c r="M52" s="53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532">
        <f>+K52/M52</f>
        <v>80</v>
      </c>
      <c r="P52" s="928"/>
      <c r="Q52" s="960"/>
      <c r="R52" s="232"/>
      <c r="S52" s="209"/>
      <c r="T52" s="230"/>
      <c r="U52" s="209"/>
      <c r="V52" s="532"/>
    </row>
    <row r="53" spans="2:22" ht="15" customHeight="1" thickBot="1">
      <c r="B53" s="916"/>
      <c r="C53" s="502" t="s">
        <v>161</v>
      </c>
      <c r="D53" s="503"/>
      <c r="E53" s="503"/>
      <c r="F53" s="503"/>
      <c r="G53" s="504">
        <f>SUM(G50:G52)</f>
        <v>24330</v>
      </c>
      <c r="H53" s="145"/>
      <c r="I53" s="918"/>
      <c r="J53" s="209" t="s">
        <v>56</v>
      </c>
      <c r="K53" s="934">
        <v>2400</v>
      </c>
      <c r="L53" s="935"/>
      <c r="M53" s="218">
        <f>'１　対象経営の概要，２　前提条件'!N7</f>
        <v>29</v>
      </c>
      <c r="N53" s="532">
        <f>+K53/M53</f>
        <v>82.75862068965517</v>
      </c>
      <c r="P53" s="928"/>
      <c r="Q53" s="960"/>
      <c r="R53" s="232"/>
      <c r="S53" s="209"/>
      <c r="T53" s="209"/>
      <c r="U53" s="294"/>
      <c r="V53" s="300"/>
    </row>
    <row r="54" spans="2:22" ht="13.5" customHeight="1" thickTop="1">
      <c r="B54" s="914" t="s">
        <v>356</v>
      </c>
      <c r="C54" s="48" t="s">
        <v>756</v>
      </c>
      <c r="D54" s="546">
        <f>131*50/1000</f>
        <v>6.55</v>
      </c>
      <c r="E54" s="282" t="s">
        <v>310</v>
      </c>
      <c r="F54" s="66">
        <f>9650/3</f>
        <v>3216.6666666666665</v>
      </c>
      <c r="G54" s="369">
        <f>D54*F54</f>
        <v>21069.166666666664</v>
      </c>
      <c r="I54" s="918"/>
      <c r="J54" s="209" t="s">
        <v>56</v>
      </c>
      <c r="K54" s="934">
        <v>2400</v>
      </c>
      <c r="L54" s="935"/>
      <c r="M54" s="218">
        <f>'１　対象経営の概要，２　前提条件'!N7</f>
        <v>29</v>
      </c>
      <c r="N54" s="532">
        <f>+K54/M54</f>
        <v>82.75862068965517</v>
      </c>
      <c r="P54" s="928"/>
      <c r="Q54" s="960"/>
      <c r="R54" s="232" t="s">
        <v>261</v>
      </c>
      <c r="S54" s="209">
        <v>25000</v>
      </c>
      <c r="T54" s="230">
        <v>1</v>
      </c>
      <c r="U54" s="209">
        <v>36</v>
      </c>
      <c r="V54" s="532">
        <f>+S54*T54/U54</f>
        <v>694.4444444444445</v>
      </c>
    </row>
    <row r="55" spans="2:22" ht="13.5">
      <c r="B55" s="915"/>
      <c r="C55" s="48" t="s">
        <v>757</v>
      </c>
      <c r="D55" s="66">
        <v>1667</v>
      </c>
      <c r="E55" s="282" t="s">
        <v>318</v>
      </c>
      <c r="F55" s="66">
        <f>90790/20000</f>
        <v>4.5395</v>
      </c>
      <c r="G55" s="492">
        <f>D55*F55</f>
        <v>7567.346500000001</v>
      </c>
      <c r="I55" s="918"/>
      <c r="J55" s="530" t="s">
        <v>261</v>
      </c>
      <c r="K55" s="936">
        <v>5000</v>
      </c>
      <c r="L55" s="937"/>
      <c r="M55" s="53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532">
        <f>+K55/M55</f>
        <v>166.66666666666666</v>
      </c>
      <c r="P55" s="928"/>
      <c r="Q55" s="961"/>
      <c r="R55" s="232"/>
      <c r="S55" s="209"/>
      <c r="T55" s="209"/>
      <c r="U55" s="294"/>
      <c r="V55" s="300"/>
    </row>
    <row r="56" spans="2:22" ht="13.5">
      <c r="B56" s="915"/>
      <c r="C56" s="66"/>
      <c r="D56" s="66"/>
      <c r="E56" s="282"/>
      <c r="F56" s="66"/>
      <c r="G56" s="492">
        <f>D56*F56</f>
        <v>0</v>
      </c>
      <c r="I56" s="911"/>
      <c r="J56" s="547" t="s">
        <v>161</v>
      </c>
      <c r="K56" s="938"/>
      <c r="L56" s="939"/>
      <c r="M56" s="548"/>
      <c r="N56" s="549">
        <f>SUM(N51:N55)</f>
        <v>492.183908045977</v>
      </c>
      <c r="P56" s="963"/>
      <c r="Q56" s="550" t="s">
        <v>257</v>
      </c>
      <c r="R56" s="551"/>
      <c r="S56" s="551"/>
      <c r="T56" s="551"/>
      <c r="U56" s="551"/>
      <c r="V56" s="552">
        <f>SUM(V51:V55)</f>
        <v>2361.1111111111113</v>
      </c>
    </row>
    <row r="57" spans="2:22" ht="14.25" thickBot="1">
      <c r="B57" s="940"/>
      <c r="C57" s="518" t="s">
        <v>164</v>
      </c>
      <c r="D57" s="69"/>
      <c r="E57" s="69"/>
      <c r="F57" s="69"/>
      <c r="G57" s="347">
        <f>SUM(G54:G56)</f>
        <v>28636.513166666664</v>
      </c>
      <c r="I57" s="964" t="s">
        <v>251</v>
      </c>
      <c r="J57" s="956"/>
      <c r="K57" s="965"/>
      <c r="L57" s="966"/>
      <c r="M57" s="525"/>
      <c r="N57" s="553">
        <f>SUM(N42,N46,N50,N56)</f>
        <v>4131.101126436782</v>
      </c>
      <c r="P57" s="957" t="s">
        <v>251</v>
      </c>
      <c r="Q57" s="958"/>
      <c r="R57" s="516"/>
      <c r="S57" s="516"/>
      <c r="T57" s="516"/>
      <c r="U57" s="516"/>
      <c r="V57" s="553">
        <f>SUM(V44,V50,V56)</f>
        <v>7952.777777777778</v>
      </c>
    </row>
    <row r="58" ht="13.5">
      <c r="V58" s="151"/>
    </row>
    <row r="83" spans="2:6" ht="13.5">
      <c r="B83" s="144"/>
      <c r="C83" s="145"/>
      <c r="D83" s="145"/>
      <c r="E83" s="145"/>
      <c r="F83" s="145"/>
    </row>
    <row r="84" spans="2:6" ht="13.5">
      <c r="B84" s="144"/>
      <c r="C84" s="145"/>
      <c r="D84" s="145"/>
      <c r="E84" s="145"/>
      <c r="F84" s="145"/>
    </row>
  </sheetData>
  <sheetProtection/>
  <mergeCells count="70">
    <mergeCell ref="I21:I24"/>
    <mergeCell ref="T21:U21"/>
    <mergeCell ref="T18:U18"/>
    <mergeCell ref="B5:B7"/>
    <mergeCell ref="T5:U5"/>
    <mergeCell ref="I6:I12"/>
    <mergeCell ref="T6:U6"/>
    <mergeCell ref="T7:U7"/>
    <mergeCell ref="I4:I5"/>
    <mergeCell ref="J4:J5"/>
    <mergeCell ref="T4:U4"/>
    <mergeCell ref="K42:L42"/>
    <mergeCell ref="T13:U13"/>
    <mergeCell ref="T14:U14"/>
    <mergeCell ref="T15:U15"/>
    <mergeCell ref="T16:U16"/>
    <mergeCell ref="T11:U11"/>
    <mergeCell ref="T12:U12"/>
    <mergeCell ref="M4:M5"/>
    <mergeCell ref="N4:N5"/>
    <mergeCell ref="B8:B11"/>
    <mergeCell ref="I29:I32"/>
    <mergeCell ref="P38:P44"/>
    <mergeCell ref="T8:U8"/>
    <mergeCell ref="T9:U9"/>
    <mergeCell ref="T17:U17"/>
    <mergeCell ref="Q37:R37"/>
    <mergeCell ref="I25:I28"/>
    <mergeCell ref="K35:L35"/>
    <mergeCell ref="B21:B24"/>
    <mergeCell ref="I17:I20"/>
    <mergeCell ref="T19:U19"/>
    <mergeCell ref="T20:U20"/>
    <mergeCell ref="B12:B16"/>
    <mergeCell ref="I13:I16"/>
    <mergeCell ref="B17:B20"/>
    <mergeCell ref="K41:L41"/>
    <mergeCell ref="B28:B38"/>
    <mergeCell ref="K36:L36"/>
    <mergeCell ref="K37:L37"/>
    <mergeCell ref="K38:L38"/>
    <mergeCell ref="K40:L40"/>
    <mergeCell ref="K48:L48"/>
    <mergeCell ref="K47:L47"/>
    <mergeCell ref="B39:B49"/>
    <mergeCell ref="I36:I42"/>
    <mergeCell ref="I43:I46"/>
    <mergeCell ref="K43:L43"/>
    <mergeCell ref="K44:L44"/>
    <mergeCell ref="K45:L45"/>
    <mergeCell ref="K39:L39"/>
    <mergeCell ref="I47:I50"/>
    <mergeCell ref="Q45:Q49"/>
    <mergeCell ref="I57:J57"/>
    <mergeCell ref="K57:L57"/>
    <mergeCell ref="P57:Q57"/>
    <mergeCell ref="P45:P56"/>
    <mergeCell ref="K46:L46"/>
    <mergeCell ref="K49:L49"/>
    <mergeCell ref="K56:L56"/>
    <mergeCell ref="I51:I56"/>
    <mergeCell ref="K51:L51"/>
    <mergeCell ref="Q51:Q55"/>
    <mergeCell ref="K52:L52"/>
    <mergeCell ref="B54:B57"/>
    <mergeCell ref="K54:L54"/>
    <mergeCell ref="K55:L55"/>
    <mergeCell ref="B50:B53"/>
    <mergeCell ref="K53:L53"/>
    <mergeCell ref="K50:L50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9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3.625" style="49" customWidth="1"/>
    <col min="3" max="3" width="15.625" style="49" customWidth="1"/>
    <col min="4" max="7" width="8.625" style="49" customWidth="1"/>
    <col min="8" max="8" width="1.625" style="151" customWidth="1"/>
    <col min="9" max="9" width="3.625" style="49" customWidth="1"/>
    <col min="10" max="10" width="15.625" style="49" customWidth="1"/>
    <col min="11" max="14" width="8.625" style="49" customWidth="1"/>
    <col min="15" max="15" width="3.50390625" style="49" customWidth="1"/>
    <col min="16" max="16" width="15.625" style="126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45" width="9.00390625" style="49" customWidth="1"/>
    <col min="246" max="246" width="1.37890625" style="49" customWidth="1"/>
    <col min="247" max="247" width="3.50390625" style="49" customWidth="1"/>
    <col min="248" max="248" width="22.125" style="49" customWidth="1"/>
    <col min="249" max="249" width="9.75390625" style="49" customWidth="1"/>
    <col min="250" max="250" width="7.375" style="49" customWidth="1"/>
    <col min="251" max="251" width="9.00390625" style="49" customWidth="1"/>
    <col min="252" max="252" width="9.25390625" style="49" customWidth="1"/>
    <col min="253" max="253" width="3.50390625" style="49" customWidth="1"/>
    <col min="254" max="255" width="12.625" style="49" customWidth="1"/>
    <col min="256" max="16384" width="9.00390625" style="49" customWidth="1"/>
  </cols>
  <sheetData>
    <row r="2" spans="2:15" ht="13.5">
      <c r="B2" s="49" t="s">
        <v>726</v>
      </c>
      <c r="C2" s="51"/>
      <c r="D2" s="2"/>
      <c r="E2" s="2"/>
      <c r="F2" s="51"/>
      <c r="G2" s="121"/>
      <c r="H2" s="122"/>
      <c r="I2" s="121"/>
      <c r="J2" s="121"/>
      <c r="K2" s="121"/>
      <c r="L2" s="121"/>
      <c r="M2" s="121"/>
      <c r="N2" s="121"/>
      <c r="O2" s="2"/>
    </row>
    <row r="3" spans="2:16" ht="14.25" thickBot="1">
      <c r="B3" s="49" t="s">
        <v>238</v>
      </c>
      <c r="I3" s="2" t="s">
        <v>239</v>
      </c>
      <c r="P3" s="151" t="s">
        <v>259</v>
      </c>
    </row>
    <row r="4" spans="2:22" ht="13.5">
      <c r="B4" s="219" t="s">
        <v>89</v>
      </c>
      <c r="C4" s="143" t="s">
        <v>194</v>
      </c>
      <c r="D4" s="143" t="s">
        <v>154</v>
      </c>
      <c r="E4" s="143" t="s">
        <v>155</v>
      </c>
      <c r="F4" s="143" t="s">
        <v>24</v>
      </c>
      <c r="G4" s="131" t="s">
        <v>156</v>
      </c>
      <c r="H4" s="144"/>
      <c r="I4" s="972" t="s">
        <v>89</v>
      </c>
      <c r="J4" s="974" t="s">
        <v>198</v>
      </c>
      <c r="K4" s="147" t="s">
        <v>571</v>
      </c>
      <c r="L4" s="147" t="s">
        <v>157</v>
      </c>
      <c r="M4" s="974" t="s">
        <v>24</v>
      </c>
      <c r="N4" s="976" t="s">
        <v>156</v>
      </c>
      <c r="O4" s="160"/>
      <c r="P4" s="220" t="s">
        <v>201</v>
      </c>
      <c r="Q4" s="221" t="s">
        <v>202</v>
      </c>
      <c r="R4" s="221" t="s">
        <v>203</v>
      </c>
      <c r="S4" s="221" t="s">
        <v>572</v>
      </c>
      <c r="T4" s="978" t="s">
        <v>205</v>
      </c>
      <c r="U4" s="979"/>
      <c r="V4" s="222" t="s">
        <v>206</v>
      </c>
    </row>
    <row r="5" spans="2:22" ht="13.5">
      <c r="B5" s="819" t="s">
        <v>190</v>
      </c>
      <c r="C5" s="48" t="s">
        <v>573</v>
      </c>
      <c r="D5" s="48">
        <v>3</v>
      </c>
      <c r="E5" s="59" t="s">
        <v>574</v>
      </c>
      <c r="F5" s="48">
        <v>3800</v>
      </c>
      <c r="G5" s="132">
        <f>D5*F5</f>
        <v>11400</v>
      </c>
      <c r="H5" s="145"/>
      <c r="I5" s="973"/>
      <c r="J5" s="975"/>
      <c r="K5" s="149" t="s">
        <v>159</v>
      </c>
      <c r="L5" s="149" t="s">
        <v>575</v>
      </c>
      <c r="M5" s="975"/>
      <c r="N5" s="977"/>
      <c r="O5" s="160"/>
      <c r="P5" s="223" t="s">
        <v>576</v>
      </c>
      <c r="Q5" s="350">
        <v>1.7</v>
      </c>
      <c r="R5" s="157" t="s">
        <v>577</v>
      </c>
      <c r="S5" s="129">
        <v>4320</v>
      </c>
      <c r="T5" s="968">
        <v>1</v>
      </c>
      <c r="U5" s="969"/>
      <c r="V5" s="152">
        <f>Q5*S5/T5</f>
        <v>7344</v>
      </c>
    </row>
    <row r="6" spans="2:22" ht="13.5">
      <c r="B6" s="820"/>
      <c r="C6" s="48"/>
      <c r="D6" s="48"/>
      <c r="E6" s="59"/>
      <c r="F6" s="48"/>
      <c r="G6" s="133">
        <f>D6*F6</f>
        <v>0</v>
      </c>
      <c r="H6" s="145"/>
      <c r="I6" s="970" t="s">
        <v>197</v>
      </c>
      <c r="J6" s="48" t="s">
        <v>578</v>
      </c>
      <c r="K6" s="150">
        <v>2</v>
      </c>
      <c r="L6" s="150">
        <v>6</v>
      </c>
      <c r="M6" s="150">
        <v>91.1</v>
      </c>
      <c r="N6" s="133">
        <f>+L6*M6</f>
        <v>546.5999999999999</v>
      </c>
      <c r="O6" s="160"/>
      <c r="P6" s="223" t="s">
        <v>579</v>
      </c>
      <c r="Q6" s="350">
        <v>1.7</v>
      </c>
      <c r="R6" s="157" t="s">
        <v>580</v>
      </c>
      <c r="S6" s="129">
        <v>6700</v>
      </c>
      <c r="T6" s="968">
        <v>1</v>
      </c>
      <c r="U6" s="969"/>
      <c r="V6" s="152">
        <f aca="true" t="shared" si="0" ref="V6:V19">Q6*S6/T6</f>
        <v>11390</v>
      </c>
    </row>
    <row r="7" spans="2:22" ht="14.25" thickBot="1">
      <c r="B7" s="967"/>
      <c r="C7" s="134" t="s">
        <v>160</v>
      </c>
      <c r="D7" s="134"/>
      <c r="E7" s="134"/>
      <c r="F7" s="134"/>
      <c r="G7" s="135">
        <f>SUM(G5:G6)</f>
        <v>11400</v>
      </c>
      <c r="H7" s="145"/>
      <c r="I7" s="820"/>
      <c r="J7" s="48"/>
      <c r="K7" s="150"/>
      <c r="L7" s="150"/>
      <c r="M7" s="150"/>
      <c r="N7" s="133">
        <f>+L7*M7</f>
        <v>0</v>
      </c>
      <c r="O7" s="160"/>
      <c r="P7" s="223" t="s">
        <v>581</v>
      </c>
      <c r="Q7" s="350">
        <v>70</v>
      </c>
      <c r="R7" s="157" t="s">
        <v>582</v>
      </c>
      <c r="S7" s="129">
        <v>490</v>
      </c>
      <c r="T7" s="968">
        <v>5</v>
      </c>
      <c r="U7" s="969"/>
      <c r="V7" s="152">
        <f t="shared" si="0"/>
        <v>6860</v>
      </c>
    </row>
    <row r="8" spans="2:22" ht="14.25" thickTop="1">
      <c r="B8" s="982" t="s">
        <v>188</v>
      </c>
      <c r="C8" s="48" t="s">
        <v>583</v>
      </c>
      <c r="D8" s="48">
        <v>7</v>
      </c>
      <c r="E8" s="59" t="s">
        <v>584</v>
      </c>
      <c r="F8" s="48">
        <v>680</v>
      </c>
      <c r="G8" s="133">
        <f>D8*F8</f>
        <v>4760</v>
      </c>
      <c r="H8" s="145"/>
      <c r="I8" s="820"/>
      <c r="J8" s="48"/>
      <c r="K8" s="150"/>
      <c r="L8" s="150"/>
      <c r="M8" s="150"/>
      <c r="N8" s="133">
        <f>K8*L8*M8</f>
        <v>0</v>
      </c>
      <c r="O8" s="160"/>
      <c r="P8" s="223" t="s">
        <v>585</v>
      </c>
      <c r="Q8" s="350">
        <v>630</v>
      </c>
      <c r="R8" s="157" t="s">
        <v>582</v>
      </c>
      <c r="S8" s="129">
        <v>540</v>
      </c>
      <c r="T8" s="968">
        <v>8</v>
      </c>
      <c r="U8" s="969"/>
      <c r="V8" s="152">
        <f t="shared" si="0"/>
        <v>42525</v>
      </c>
    </row>
    <row r="9" spans="2:22" ht="13.5">
      <c r="B9" s="820"/>
      <c r="C9" s="48" t="s">
        <v>586</v>
      </c>
      <c r="D9" s="48">
        <v>1</v>
      </c>
      <c r="E9" s="59" t="s">
        <v>587</v>
      </c>
      <c r="F9" s="48">
        <v>1870</v>
      </c>
      <c r="G9" s="133">
        <f>D9*F9</f>
        <v>1870</v>
      </c>
      <c r="H9" s="145"/>
      <c r="I9" s="820"/>
      <c r="J9" s="48"/>
      <c r="K9" s="150"/>
      <c r="L9" s="150"/>
      <c r="M9" s="150"/>
      <c r="N9" s="133">
        <f>K9*L9*M9</f>
        <v>0</v>
      </c>
      <c r="O9" s="160"/>
      <c r="P9" s="223" t="s">
        <v>588</v>
      </c>
      <c r="Q9" s="350">
        <v>13.2</v>
      </c>
      <c r="R9" s="157" t="s">
        <v>589</v>
      </c>
      <c r="S9" s="129">
        <v>4320</v>
      </c>
      <c r="T9" s="968">
        <v>5</v>
      </c>
      <c r="U9" s="969"/>
      <c r="V9" s="152">
        <f t="shared" si="0"/>
        <v>11404.8</v>
      </c>
    </row>
    <row r="10" spans="2:22" ht="14.25" thickBot="1">
      <c r="B10" s="820"/>
      <c r="C10" s="48"/>
      <c r="D10" s="48"/>
      <c r="E10" s="59"/>
      <c r="F10" s="48"/>
      <c r="G10" s="133">
        <f>D10*F10</f>
        <v>0</v>
      </c>
      <c r="H10" s="145"/>
      <c r="I10" s="967"/>
      <c r="J10" s="351" t="s">
        <v>590</v>
      </c>
      <c r="K10" s="352">
        <f>SUM(K6:K9)</f>
        <v>2</v>
      </c>
      <c r="L10" s="352">
        <f>SUM(L6:L9)</f>
        <v>6</v>
      </c>
      <c r="M10" s="352"/>
      <c r="N10" s="353">
        <f>SUM(N6:N9)</f>
        <v>546.5999999999999</v>
      </c>
      <c r="O10" s="160"/>
      <c r="P10" s="223" t="s">
        <v>591</v>
      </c>
      <c r="Q10" s="350">
        <v>1.1</v>
      </c>
      <c r="R10" s="157" t="s">
        <v>592</v>
      </c>
      <c r="S10" s="129">
        <v>3570</v>
      </c>
      <c r="T10" s="968">
        <v>5</v>
      </c>
      <c r="U10" s="971"/>
      <c r="V10" s="152">
        <f t="shared" si="0"/>
        <v>785.4000000000001</v>
      </c>
    </row>
    <row r="11" spans="2:22" ht="15" thickBot="1" thickTop="1">
      <c r="B11" s="967"/>
      <c r="C11" s="136" t="s">
        <v>161</v>
      </c>
      <c r="D11" s="137"/>
      <c r="E11" s="137"/>
      <c r="F11" s="137"/>
      <c r="G11" s="138">
        <f>SUM(G8:G10)</f>
        <v>6630</v>
      </c>
      <c r="H11" s="145"/>
      <c r="I11" s="982" t="s">
        <v>593</v>
      </c>
      <c r="J11" s="48" t="s">
        <v>594</v>
      </c>
      <c r="K11" s="150">
        <v>22</v>
      </c>
      <c r="L11" s="150">
        <v>43</v>
      </c>
      <c r="M11" s="150">
        <v>169.9</v>
      </c>
      <c r="N11" s="133">
        <f>+L11*M11</f>
        <v>7305.7</v>
      </c>
      <c r="O11" s="160"/>
      <c r="P11" s="223" t="s">
        <v>595</v>
      </c>
      <c r="Q11" s="350">
        <v>37</v>
      </c>
      <c r="R11" s="157" t="s">
        <v>596</v>
      </c>
      <c r="S11" s="129">
        <v>110</v>
      </c>
      <c r="T11" s="968">
        <v>5</v>
      </c>
      <c r="U11" s="971"/>
      <c r="V11" s="152">
        <f t="shared" si="0"/>
        <v>814</v>
      </c>
    </row>
    <row r="12" spans="2:22" ht="14.25" thickTop="1">
      <c r="B12" s="982" t="s">
        <v>189</v>
      </c>
      <c r="C12" s="48" t="s">
        <v>728</v>
      </c>
      <c r="D12" s="48">
        <v>12</v>
      </c>
      <c r="E12" s="59" t="s">
        <v>597</v>
      </c>
      <c r="F12" s="48">
        <v>3040</v>
      </c>
      <c r="G12" s="133">
        <f>D12*F12</f>
        <v>36480</v>
      </c>
      <c r="H12" s="145"/>
      <c r="I12" s="820"/>
      <c r="J12" s="48" t="s">
        <v>598</v>
      </c>
      <c r="K12" s="150">
        <v>35</v>
      </c>
      <c r="L12" s="150">
        <v>37</v>
      </c>
      <c r="M12" s="150">
        <v>169.9</v>
      </c>
      <c r="N12" s="133">
        <f>+L12*M12</f>
        <v>6286.3</v>
      </c>
      <c r="O12" s="160"/>
      <c r="P12" s="223" t="s">
        <v>599</v>
      </c>
      <c r="Q12" s="350">
        <v>3.4</v>
      </c>
      <c r="R12" s="157" t="s">
        <v>600</v>
      </c>
      <c r="S12" s="129">
        <v>15450</v>
      </c>
      <c r="T12" s="968">
        <v>10</v>
      </c>
      <c r="U12" s="971"/>
      <c r="V12" s="152">
        <f t="shared" si="0"/>
        <v>5253</v>
      </c>
    </row>
    <row r="13" spans="2:22" ht="13.5">
      <c r="B13" s="820"/>
      <c r="C13" s="48"/>
      <c r="D13" s="48"/>
      <c r="E13" s="59"/>
      <c r="F13" s="48"/>
      <c r="G13" s="133">
        <f>D13*F13</f>
        <v>0</v>
      </c>
      <c r="H13" s="145"/>
      <c r="I13" s="820"/>
      <c r="J13" s="48" t="s">
        <v>601</v>
      </c>
      <c r="K13" s="150">
        <v>4</v>
      </c>
      <c r="L13" s="150">
        <v>3</v>
      </c>
      <c r="M13" s="150">
        <v>169.9</v>
      </c>
      <c r="N13" s="133">
        <f>+L13*M13</f>
        <v>509.70000000000005</v>
      </c>
      <c r="O13" s="160"/>
      <c r="P13" s="223" t="s">
        <v>602</v>
      </c>
      <c r="Q13" s="350">
        <v>440</v>
      </c>
      <c r="R13" s="157" t="s">
        <v>603</v>
      </c>
      <c r="S13" s="129">
        <v>95</v>
      </c>
      <c r="T13" s="968">
        <v>10</v>
      </c>
      <c r="U13" s="971"/>
      <c r="V13" s="152">
        <f t="shared" si="0"/>
        <v>4180</v>
      </c>
    </row>
    <row r="14" spans="2:22" ht="13.5">
      <c r="B14" s="820"/>
      <c r="C14" s="48"/>
      <c r="D14" s="48"/>
      <c r="E14" s="59"/>
      <c r="F14" s="48"/>
      <c r="G14" s="133">
        <f>D14*F14</f>
        <v>0</v>
      </c>
      <c r="H14" s="145"/>
      <c r="I14" s="820"/>
      <c r="J14" s="48" t="s">
        <v>604</v>
      </c>
      <c r="K14" s="150">
        <v>2</v>
      </c>
      <c r="L14" s="150">
        <v>4</v>
      </c>
      <c r="M14" s="150">
        <v>169.9</v>
      </c>
      <c r="N14" s="133">
        <f>+L14*M14</f>
        <v>679.6</v>
      </c>
      <c r="O14" s="160"/>
      <c r="P14" s="223" t="s">
        <v>605</v>
      </c>
      <c r="Q14" s="350">
        <v>2.2</v>
      </c>
      <c r="R14" s="157" t="s">
        <v>606</v>
      </c>
      <c r="S14" s="129">
        <v>5620</v>
      </c>
      <c r="T14" s="968">
        <v>1</v>
      </c>
      <c r="U14" s="971"/>
      <c r="V14" s="152">
        <f t="shared" si="0"/>
        <v>12364.000000000002</v>
      </c>
    </row>
    <row r="15" spans="2:22" ht="14.25" thickBot="1">
      <c r="B15" s="820"/>
      <c r="C15" s="48"/>
      <c r="D15" s="48"/>
      <c r="E15" s="48"/>
      <c r="F15" s="48"/>
      <c r="G15" s="133">
        <f>D15*F15</f>
        <v>0</v>
      </c>
      <c r="H15" s="145"/>
      <c r="I15" s="967"/>
      <c r="J15" s="351" t="s">
        <v>590</v>
      </c>
      <c r="K15" s="352">
        <f>SUM(K11:K14)</f>
        <v>63</v>
      </c>
      <c r="L15" s="352">
        <f>SUM(L11:L14)</f>
        <v>87</v>
      </c>
      <c r="M15" s="352"/>
      <c r="N15" s="353">
        <f>SUM(N11:N14)</f>
        <v>14781.300000000001</v>
      </c>
      <c r="O15" s="160"/>
      <c r="P15" s="223" t="s">
        <v>607</v>
      </c>
      <c r="Q15" s="350">
        <v>10</v>
      </c>
      <c r="R15" s="157" t="s">
        <v>596</v>
      </c>
      <c r="S15" s="129">
        <v>860</v>
      </c>
      <c r="T15" s="968">
        <v>8</v>
      </c>
      <c r="U15" s="969"/>
      <c r="V15" s="152">
        <f t="shared" si="0"/>
        <v>1075</v>
      </c>
    </row>
    <row r="16" spans="2:22" ht="15" thickBot="1" thickTop="1">
      <c r="B16" s="967"/>
      <c r="C16" s="136" t="s">
        <v>161</v>
      </c>
      <c r="D16" s="137"/>
      <c r="E16" s="137"/>
      <c r="F16" s="137"/>
      <c r="G16" s="138">
        <f>SUM(G12:G15)</f>
        <v>36480</v>
      </c>
      <c r="H16" s="145"/>
      <c r="I16" s="982" t="s">
        <v>199</v>
      </c>
      <c r="J16" s="48" t="s">
        <v>608</v>
      </c>
      <c r="K16" s="150">
        <v>18</v>
      </c>
      <c r="L16" s="150">
        <v>7.2</v>
      </c>
      <c r="M16" s="150">
        <v>179.9</v>
      </c>
      <c r="N16" s="133">
        <f>+L16*M16</f>
        <v>1295.28</v>
      </c>
      <c r="O16" s="160"/>
      <c r="P16" s="223" t="s">
        <v>609</v>
      </c>
      <c r="Q16" s="129">
        <v>1</v>
      </c>
      <c r="R16" s="157" t="s">
        <v>413</v>
      </c>
      <c r="S16" s="129">
        <v>11700</v>
      </c>
      <c r="T16" s="968">
        <v>3</v>
      </c>
      <c r="U16" s="969"/>
      <c r="V16" s="152">
        <f t="shared" si="0"/>
        <v>3900</v>
      </c>
    </row>
    <row r="17" spans="2:22" ht="14.25" thickTop="1">
      <c r="B17" s="982" t="s">
        <v>191</v>
      </c>
      <c r="C17" s="48" t="s">
        <v>729</v>
      </c>
      <c r="D17" s="81">
        <v>0.6</v>
      </c>
      <c r="E17" s="59" t="s">
        <v>162</v>
      </c>
      <c r="F17" s="48">
        <v>2050</v>
      </c>
      <c r="G17" s="133">
        <f>D17*F17</f>
        <v>1230</v>
      </c>
      <c r="H17" s="145"/>
      <c r="I17" s="820"/>
      <c r="J17" s="48"/>
      <c r="K17" s="150"/>
      <c r="L17" s="150"/>
      <c r="M17" s="150"/>
      <c r="N17" s="133">
        <f>K17*L17*M17</f>
        <v>0</v>
      </c>
      <c r="O17" s="160"/>
      <c r="P17" s="223" t="s">
        <v>610</v>
      </c>
      <c r="Q17" s="350">
        <v>0.298</v>
      </c>
      <c r="R17" s="157" t="s">
        <v>611</v>
      </c>
      <c r="S17" s="129">
        <v>18150</v>
      </c>
      <c r="T17" s="968">
        <v>6</v>
      </c>
      <c r="U17" s="969"/>
      <c r="V17" s="152">
        <f t="shared" si="0"/>
        <v>901.4499999999999</v>
      </c>
    </row>
    <row r="18" spans="2:22" ht="13.5">
      <c r="B18" s="820"/>
      <c r="C18" s="48"/>
      <c r="D18" s="48"/>
      <c r="E18" s="59"/>
      <c r="F18" s="48"/>
      <c r="G18" s="133">
        <f>D18*F18</f>
        <v>0</v>
      </c>
      <c r="H18" s="145"/>
      <c r="I18" s="820"/>
      <c r="J18" s="48"/>
      <c r="K18" s="150"/>
      <c r="L18" s="150"/>
      <c r="M18" s="150"/>
      <c r="N18" s="133">
        <f>K18*L18*M18</f>
        <v>0</v>
      </c>
      <c r="O18" s="160"/>
      <c r="P18" s="223" t="s">
        <v>612</v>
      </c>
      <c r="Q18" s="350">
        <v>30.6</v>
      </c>
      <c r="R18" s="157" t="s">
        <v>603</v>
      </c>
      <c r="S18" s="129">
        <v>95</v>
      </c>
      <c r="T18" s="968">
        <v>8</v>
      </c>
      <c r="U18" s="969"/>
      <c r="V18" s="152">
        <f t="shared" si="0"/>
        <v>363.375</v>
      </c>
    </row>
    <row r="19" spans="2:22" ht="14.25" thickBot="1">
      <c r="B19" s="820"/>
      <c r="C19" s="48"/>
      <c r="D19" s="48"/>
      <c r="E19" s="48"/>
      <c r="F19" s="48"/>
      <c r="G19" s="133">
        <f>D19*F19</f>
        <v>0</v>
      </c>
      <c r="H19" s="145"/>
      <c r="I19" s="967"/>
      <c r="J19" s="351" t="s">
        <v>613</v>
      </c>
      <c r="K19" s="352">
        <f>SUM(K16:K18)</f>
        <v>18</v>
      </c>
      <c r="L19" s="354">
        <f>SUM(L16:L18)</f>
        <v>7.2</v>
      </c>
      <c r="M19" s="355"/>
      <c r="N19" s="353">
        <f>SUM(N16:N18)</f>
        <v>1295.28</v>
      </c>
      <c r="O19" s="160"/>
      <c r="P19" s="223" t="s">
        <v>614</v>
      </c>
      <c r="Q19" s="350">
        <v>1.4</v>
      </c>
      <c r="R19" s="157" t="s">
        <v>615</v>
      </c>
      <c r="S19" s="129">
        <v>4320</v>
      </c>
      <c r="T19" s="968">
        <v>8</v>
      </c>
      <c r="U19" s="969"/>
      <c r="V19" s="152">
        <f t="shared" si="0"/>
        <v>756</v>
      </c>
    </row>
    <row r="20" spans="2:22" ht="15" thickBot="1" thickTop="1">
      <c r="B20" s="967"/>
      <c r="C20" s="136" t="s">
        <v>161</v>
      </c>
      <c r="D20" s="137"/>
      <c r="E20" s="137"/>
      <c r="F20" s="137"/>
      <c r="G20" s="138">
        <f>SUM(G17:G19)</f>
        <v>1230</v>
      </c>
      <c r="H20" s="145"/>
      <c r="I20" s="982" t="s">
        <v>200</v>
      </c>
      <c r="J20" s="48"/>
      <c r="K20" s="150"/>
      <c r="L20" s="150"/>
      <c r="M20" s="150"/>
      <c r="N20" s="133">
        <f>K20*L20*M20</f>
        <v>0</v>
      </c>
      <c r="O20" s="160"/>
      <c r="P20" s="153" t="s">
        <v>29</v>
      </c>
      <c r="Q20" s="154"/>
      <c r="R20" s="154"/>
      <c r="S20" s="154"/>
      <c r="T20" s="980"/>
      <c r="U20" s="981"/>
      <c r="V20" s="155">
        <f>SUM(V5:V19)</f>
        <v>109916.025</v>
      </c>
    </row>
    <row r="21" spans="2:15" ht="14.25" thickTop="1">
      <c r="B21" s="982" t="s">
        <v>192</v>
      </c>
      <c r="C21" s="48"/>
      <c r="D21" s="48"/>
      <c r="E21" s="59"/>
      <c r="F21" s="48"/>
      <c r="G21" s="133">
        <f>D21*F21</f>
        <v>0</v>
      </c>
      <c r="H21" s="145"/>
      <c r="I21" s="820"/>
      <c r="J21" s="48"/>
      <c r="K21" s="150"/>
      <c r="L21" s="150"/>
      <c r="M21" s="150"/>
      <c r="N21" s="133">
        <f>K21*L21*M21</f>
        <v>0</v>
      </c>
      <c r="O21" s="160"/>
    </row>
    <row r="22" spans="2:16" ht="14.25" thickBot="1">
      <c r="B22" s="820"/>
      <c r="C22" s="48"/>
      <c r="D22" s="48"/>
      <c r="E22" s="59"/>
      <c r="F22" s="48"/>
      <c r="G22" s="133">
        <f>D22*F22</f>
        <v>0</v>
      </c>
      <c r="H22" s="145"/>
      <c r="I22" s="820"/>
      <c r="J22" s="48"/>
      <c r="K22" s="150"/>
      <c r="L22" s="150"/>
      <c r="M22" s="150"/>
      <c r="N22" s="133">
        <f>K22*L22*M22</f>
        <v>0</v>
      </c>
      <c r="O22" s="160"/>
      <c r="P22" s="151" t="s">
        <v>260</v>
      </c>
    </row>
    <row r="23" spans="2:22" ht="14.25" thickBot="1">
      <c r="B23" s="820"/>
      <c r="C23" s="48"/>
      <c r="D23" s="48"/>
      <c r="E23" s="59"/>
      <c r="F23" s="48"/>
      <c r="G23" s="133">
        <f>D23*F23</f>
        <v>0</v>
      </c>
      <c r="H23" s="145"/>
      <c r="I23" s="967"/>
      <c r="J23" s="351" t="s">
        <v>616</v>
      </c>
      <c r="K23" s="352">
        <f>SUM(K20:K22)</f>
        <v>0</v>
      </c>
      <c r="L23" s="354">
        <f>SUM(L20:L22)</f>
        <v>0</v>
      </c>
      <c r="M23" s="355"/>
      <c r="N23" s="353">
        <f>SUM(N20:N22)</f>
        <v>0</v>
      </c>
      <c r="O23" s="160"/>
      <c r="P23" s="220" t="s">
        <v>208</v>
      </c>
      <c r="Q23" s="221" t="s">
        <v>202</v>
      </c>
      <c r="R23" s="221" t="s">
        <v>203</v>
      </c>
      <c r="S23" s="221" t="s">
        <v>572</v>
      </c>
      <c r="T23" s="221" t="s">
        <v>205</v>
      </c>
      <c r="U23" s="356" t="s">
        <v>617</v>
      </c>
      <c r="V23" s="222" t="s">
        <v>206</v>
      </c>
    </row>
    <row r="24" spans="2:22" ht="15" thickBot="1" thickTop="1">
      <c r="B24" s="983"/>
      <c r="C24" s="139" t="s">
        <v>164</v>
      </c>
      <c r="D24" s="140"/>
      <c r="E24" s="140"/>
      <c r="F24" s="357"/>
      <c r="G24" s="141">
        <f>SUM(G21:G23)</f>
        <v>0</v>
      </c>
      <c r="I24" s="982" t="s">
        <v>289</v>
      </c>
      <c r="J24" s="48"/>
      <c r="K24" s="150"/>
      <c r="L24" s="150"/>
      <c r="M24" s="150"/>
      <c r="N24" s="133">
        <f>K24*L24*M24</f>
        <v>0</v>
      </c>
      <c r="O24" s="160"/>
      <c r="P24" s="223" t="s">
        <v>618</v>
      </c>
      <c r="Q24" s="129">
        <v>1</v>
      </c>
      <c r="R24" s="358" t="s">
        <v>103</v>
      </c>
      <c r="S24" s="129">
        <v>55000</v>
      </c>
      <c r="T24" s="129">
        <v>10</v>
      </c>
      <c r="U24" s="130">
        <v>100</v>
      </c>
      <c r="V24" s="152">
        <f>Q24*S24/T24/U24*10</f>
        <v>550</v>
      </c>
    </row>
    <row r="25" spans="8:22" ht="13.5">
      <c r="H25" s="146"/>
      <c r="I25" s="820"/>
      <c r="J25" s="48"/>
      <c r="K25" s="150"/>
      <c r="L25" s="150"/>
      <c r="M25" s="150"/>
      <c r="N25" s="133">
        <f>K25*L25*M25</f>
        <v>0</v>
      </c>
      <c r="O25" s="160"/>
      <c r="P25" s="223" t="s">
        <v>619</v>
      </c>
      <c r="Q25" s="129">
        <v>3</v>
      </c>
      <c r="R25" s="157" t="s">
        <v>162</v>
      </c>
      <c r="S25" s="129">
        <v>1000</v>
      </c>
      <c r="T25" s="129">
        <v>10</v>
      </c>
      <c r="U25" s="130">
        <v>100</v>
      </c>
      <c r="V25" s="152">
        <f aca="true" t="shared" si="1" ref="V25:V33">Q25*S25/T25/U25*10</f>
        <v>30</v>
      </c>
    </row>
    <row r="26" spans="2:22" ht="14.25" thickBot="1">
      <c r="B26" s="2" t="s">
        <v>620</v>
      </c>
      <c r="C26" s="2"/>
      <c r="D26" s="51"/>
      <c r="E26" s="2"/>
      <c r="F26" s="51"/>
      <c r="G26" s="55"/>
      <c r="H26" s="144"/>
      <c r="I26" s="820"/>
      <c r="J26" s="48"/>
      <c r="K26" s="150"/>
      <c r="L26" s="150"/>
      <c r="M26" s="150"/>
      <c r="N26" s="133">
        <f>K26*L26*M26</f>
        <v>0</v>
      </c>
      <c r="O26" s="160"/>
      <c r="P26" s="223" t="s">
        <v>621</v>
      </c>
      <c r="Q26" s="129">
        <v>40</v>
      </c>
      <c r="R26" s="358" t="s">
        <v>622</v>
      </c>
      <c r="S26" s="129">
        <v>1600</v>
      </c>
      <c r="T26" s="129">
        <v>10</v>
      </c>
      <c r="U26" s="130">
        <v>100</v>
      </c>
      <c r="V26" s="152">
        <f t="shared" si="1"/>
        <v>640</v>
      </c>
    </row>
    <row r="27" spans="2:22" ht="14.25" thickBot="1">
      <c r="B27" s="219" t="s">
        <v>89</v>
      </c>
      <c r="C27" s="143" t="s">
        <v>153</v>
      </c>
      <c r="D27" s="143" t="s">
        <v>154</v>
      </c>
      <c r="E27" s="143" t="s">
        <v>155</v>
      </c>
      <c r="F27" s="143" t="s">
        <v>24</v>
      </c>
      <c r="G27" s="131" t="s">
        <v>156</v>
      </c>
      <c r="H27" s="145"/>
      <c r="I27" s="967"/>
      <c r="J27" s="351" t="s">
        <v>623</v>
      </c>
      <c r="K27" s="352">
        <f>SUM(K24:K26)</f>
        <v>0</v>
      </c>
      <c r="L27" s="354">
        <f>SUM(L24:L26)</f>
        <v>0</v>
      </c>
      <c r="M27" s="355"/>
      <c r="N27" s="353">
        <f>SUM(N24:N26)</f>
        <v>0</v>
      </c>
      <c r="O27" s="160"/>
      <c r="P27" s="223" t="s">
        <v>624</v>
      </c>
      <c r="Q27" s="129">
        <v>1</v>
      </c>
      <c r="R27" s="358" t="s">
        <v>103</v>
      </c>
      <c r="S27" s="129">
        <v>55000</v>
      </c>
      <c r="T27" s="129">
        <v>10</v>
      </c>
      <c r="U27" s="130">
        <v>100</v>
      </c>
      <c r="V27" s="152">
        <f t="shared" si="1"/>
        <v>550</v>
      </c>
    </row>
    <row r="28" spans="2:22" ht="14.25" thickTop="1">
      <c r="B28" s="819" t="s">
        <v>30</v>
      </c>
      <c r="C28" s="48" t="s">
        <v>728</v>
      </c>
      <c r="D28" s="81">
        <v>6.4</v>
      </c>
      <c r="E28" s="59" t="s">
        <v>162</v>
      </c>
      <c r="F28" s="48">
        <v>1030</v>
      </c>
      <c r="G28" s="132">
        <f aca="true" t="shared" si="2" ref="G28:G35">D28*F28</f>
        <v>6592</v>
      </c>
      <c r="H28" s="145"/>
      <c r="I28" s="982" t="s">
        <v>196</v>
      </c>
      <c r="J28" s="48" t="s">
        <v>625</v>
      </c>
      <c r="K28" s="150">
        <v>19</v>
      </c>
      <c r="L28" s="359">
        <v>0.3</v>
      </c>
      <c r="M28" s="150">
        <v>14</v>
      </c>
      <c r="N28" s="133">
        <f>K28*L28*M28</f>
        <v>79.8</v>
      </c>
      <c r="O28" s="160"/>
      <c r="P28" s="223" t="s">
        <v>626</v>
      </c>
      <c r="Q28" s="129">
        <v>1</v>
      </c>
      <c r="R28" s="358" t="s">
        <v>413</v>
      </c>
      <c r="S28" s="129">
        <v>120000</v>
      </c>
      <c r="T28" s="129">
        <v>10</v>
      </c>
      <c r="U28" s="130">
        <v>100</v>
      </c>
      <c r="V28" s="152">
        <f t="shared" si="1"/>
        <v>1200</v>
      </c>
    </row>
    <row r="29" spans="2:22" ht="13.5">
      <c r="B29" s="821"/>
      <c r="C29" s="48" t="s">
        <v>731</v>
      </c>
      <c r="D29" s="81">
        <v>2.6</v>
      </c>
      <c r="E29" s="59" t="s">
        <v>162</v>
      </c>
      <c r="F29" s="48">
        <v>1760</v>
      </c>
      <c r="G29" s="132">
        <f t="shared" si="2"/>
        <v>4576</v>
      </c>
      <c r="H29" s="145"/>
      <c r="I29" s="820"/>
      <c r="J29" s="48" t="s">
        <v>627</v>
      </c>
      <c r="K29" s="150">
        <v>19</v>
      </c>
      <c r="L29" s="359">
        <v>0.25</v>
      </c>
      <c r="M29" s="150">
        <v>14</v>
      </c>
      <c r="N29" s="133">
        <f>K29*L29*M29</f>
        <v>66.5</v>
      </c>
      <c r="O29" s="50"/>
      <c r="P29" s="223" t="s">
        <v>628</v>
      </c>
      <c r="Q29" s="129">
        <v>3</v>
      </c>
      <c r="R29" s="358" t="s">
        <v>103</v>
      </c>
      <c r="S29" s="129">
        <v>32000</v>
      </c>
      <c r="T29" s="129">
        <v>15</v>
      </c>
      <c r="U29" s="130">
        <v>100</v>
      </c>
      <c r="V29" s="152">
        <f t="shared" si="1"/>
        <v>640</v>
      </c>
    </row>
    <row r="30" spans="2:22" ht="13.5">
      <c r="B30" s="821"/>
      <c r="C30" s="48" t="s">
        <v>733</v>
      </c>
      <c r="D30" s="81">
        <v>1.6</v>
      </c>
      <c r="E30" s="59" t="s">
        <v>162</v>
      </c>
      <c r="F30" s="48">
        <v>2270</v>
      </c>
      <c r="G30" s="133">
        <f t="shared" si="2"/>
        <v>3632</v>
      </c>
      <c r="H30" s="145"/>
      <c r="I30" s="820"/>
      <c r="J30" s="48" t="s">
        <v>629</v>
      </c>
      <c r="K30" s="150">
        <v>576</v>
      </c>
      <c r="L30" s="359">
        <v>1.7</v>
      </c>
      <c r="M30" s="150">
        <v>14</v>
      </c>
      <c r="N30" s="133">
        <f>K30*L30*M30</f>
        <v>13708.8</v>
      </c>
      <c r="P30" s="223" t="s">
        <v>630</v>
      </c>
      <c r="Q30" s="129">
        <v>3</v>
      </c>
      <c r="R30" s="157" t="s">
        <v>622</v>
      </c>
      <c r="S30" s="129">
        <v>3000</v>
      </c>
      <c r="T30" s="129">
        <v>10</v>
      </c>
      <c r="U30" s="130">
        <v>100</v>
      </c>
      <c r="V30" s="152">
        <f t="shared" si="1"/>
        <v>90</v>
      </c>
    </row>
    <row r="31" spans="2:22" ht="14.25" thickBot="1">
      <c r="B31" s="821"/>
      <c r="C31" s="48" t="s">
        <v>735</v>
      </c>
      <c r="D31" s="81">
        <v>0.3</v>
      </c>
      <c r="E31" s="59" t="s">
        <v>162</v>
      </c>
      <c r="F31" s="48">
        <v>8320</v>
      </c>
      <c r="G31" s="133">
        <f t="shared" si="2"/>
        <v>2496</v>
      </c>
      <c r="H31" s="145"/>
      <c r="I31" s="983"/>
      <c r="J31" s="360" t="s">
        <v>613</v>
      </c>
      <c r="K31" s="361">
        <f>SUM(K28:K30)</f>
        <v>614</v>
      </c>
      <c r="L31" s="362">
        <f>SUM(L28:L30)</f>
        <v>2.25</v>
      </c>
      <c r="M31" s="363"/>
      <c r="N31" s="364">
        <f>SUM(N28:N30)</f>
        <v>13855.099999999999</v>
      </c>
      <c r="P31" s="223" t="s">
        <v>631</v>
      </c>
      <c r="Q31" s="129">
        <v>1</v>
      </c>
      <c r="R31" s="157" t="s">
        <v>413</v>
      </c>
      <c r="S31" s="129">
        <v>120000</v>
      </c>
      <c r="T31" s="129">
        <v>10</v>
      </c>
      <c r="U31" s="130">
        <v>100</v>
      </c>
      <c r="V31" s="152">
        <f t="shared" si="1"/>
        <v>1200</v>
      </c>
    </row>
    <row r="32" spans="2:22" ht="13.5">
      <c r="B32" s="821"/>
      <c r="C32" s="48" t="s">
        <v>737</v>
      </c>
      <c r="D32" s="81">
        <v>0.1</v>
      </c>
      <c r="E32" s="59" t="s">
        <v>162</v>
      </c>
      <c r="F32" s="48">
        <v>4120</v>
      </c>
      <c r="G32" s="133">
        <f t="shared" si="2"/>
        <v>412</v>
      </c>
      <c r="H32" s="145"/>
      <c r="I32" s="127"/>
      <c r="J32" s="127"/>
      <c r="K32" s="127"/>
      <c r="L32" s="127"/>
      <c r="M32" s="127"/>
      <c r="N32" s="127"/>
      <c r="P32" s="223" t="s">
        <v>632</v>
      </c>
      <c r="Q32" s="129">
        <v>1</v>
      </c>
      <c r="R32" s="157" t="s">
        <v>622</v>
      </c>
      <c r="S32" s="129">
        <v>8700</v>
      </c>
      <c r="T32" s="129">
        <v>1</v>
      </c>
      <c r="U32" s="130">
        <v>100</v>
      </c>
      <c r="V32" s="152">
        <f t="shared" si="1"/>
        <v>870</v>
      </c>
    </row>
    <row r="33" spans="2:22" ht="14.25" thickBot="1">
      <c r="B33" s="821"/>
      <c r="C33" s="48" t="s">
        <v>739</v>
      </c>
      <c r="D33" s="81">
        <v>0.5</v>
      </c>
      <c r="E33" s="59" t="s">
        <v>162</v>
      </c>
      <c r="F33" s="48">
        <v>4640</v>
      </c>
      <c r="G33" s="133">
        <f t="shared" si="2"/>
        <v>2320</v>
      </c>
      <c r="H33" s="145"/>
      <c r="I33" s="365" t="s">
        <v>258</v>
      </c>
      <c r="J33" s="125"/>
      <c r="K33" s="125"/>
      <c r="L33" s="125"/>
      <c r="M33" s="125"/>
      <c r="P33" s="223" t="s">
        <v>633</v>
      </c>
      <c r="Q33" s="129">
        <v>1</v>
      </c>
      <c r="R33" s="157" t="s">
        <v>622</v>
      </c>
      <c r="S33" s="129">
        <v>30000</v>
      </c>
      <c r="T33" s="129">
        <v>3</v>
      </c>
      <c r="U33" s="130">
        <v>100</v>
      </c>
      <c r="V33" s="152">
        <f t="shared" si="1"/>
        <v>1000</v>
      </c>
    </row>
    <row r="34" spans="2:22" ht="14.25" thickBot="1">
      <c r="B34" s="821"/>
      <c r="C34" s="48" t="s">
        <v>741</v>
      </c>
      <c r="D34" s="81">
        <v>0.5</v>
      </c>
      <c r="E34" s="59" t="s">
        <v>162</v>
      </c>
      <c r="F34" s="48">
        <v>3350</v>
      </c>
      <c r="G34" s="133">
        <f t="shared" si="2"/>
        <v>1675</v>
      </c>
      <c r="H34" s="145"/>
      <c r="I34" s="202" t="s">
        <v>246</v>
      </c>
      <c r="J34" s="203" t="s">
        <v>5</v>
      </c>
      <c r="K34" s="990" t="s">
        <v>247</v>
      </c>
      <c r="L34" s="991"/>
      <c r="M34" s="366" t="s">
        <v>617</v>
      </c>
      <c r="N34" s="224" t="s">
        <v>634</v>
      </c>
      <c r="P34" s="225" t="s">
        <v>251</v>
      </c>
      <c r="Q34" s="154"/>
      <c r="R34" s="154"/>
      <c r="S34" s="154"/>
      <c r="T34" s="154"/>
      <c r="U34" s="156"/>
      <c r="V34" s="155">
        <f>SUM(V24:V33)</f>
        <v>6770</v>
      </c>
    </row>
    <row r="35" spans="2:14" ht="13.5">
      <c r="B35" s="821"/>
      <c r="C35" s="48" t="s">
        <v>743</v>
      </c>
      <c r="D35" s="81">
        <v>0.5</v>
      </c>
      <c r="E35" s="59" t="s">
        <v>635</v>
      </c>
      <c r="F35" s="48">
        <v>4940</v>
      </c>
      <c r="G35" s="133">
        <f t="shared" si="2"/>
        <v>2470</v>
      </c>
      <c r="H35" s="145"/>
      <c r="I35" s="992" t="s">
        <v>2</v>
      </c>
      <c r="J35" s="142" t="s">
        <v>636</v>
      </c>
      <c r="K35" s="984">
        <v>2376000</v>
      </c>
      <c r="L35" s="984"/>
      <c r="M35" s="201">
        <v>100</v>
      </c>
      <c r="N35" s="215">
        <f>+K35/M35*10*0.3*0.014</f>
        <v>997.9200000000001</v>
      </c>
    </row>
    <row r="36" spans="2:20" ht="14.25" thickBot="1">
      <c r="B36" s="989"/>
      <c r="C36" s="134" t="s">
        <v>160</v>
      </c>
      <c r="D36" s="367"/>
      <c r="E36" s="134"/>
      <c r="F36" s="134"/>
      <c r="G36" s="135">
        <f>SUM(G26:G35)</f>
        <v>24173</v>
      </c>
      <c r="H36" s="145"/>
      <c r="I36" s="993"/>
      <c r="J36" s="142" t="s">
        <v>521</v>
      </c>
      <c r="K36" s="984">
        <v>1950000</v>
      </c>
      <c r="L36" s="984"/>
      <c r="M36" s="201">
        <v>100</v>
      </c>
      <c r="N36" s="215">
        <f>+K36/M36*10*0.3*0.014</f>
        <v>819</v>
      </c>
      <c r="P36" s="365" t="s">
        <v>252</v>
      </c>
      <c r="Q36" s="125"/>
      <c r="R36" s="125"/>
      <c r="S36" s="125"/>
      <c r="T36" s="125"/>
    </row>
    <row r="37" spans="2:22" ht="14.25" thickTop="1">
      <c r="B37" s="982" t="s">
        <v>193</v>
      </c>
      <c r="C37" s="48" t="s">
        <v>727</v>
      </c>
      <c r="D37" s="81">
        <v>0.8</v>
      </c>
      <c r="E37" s="368" t="s">
        <v>162</v>
      </c>
      <c r="F37" s="48">
        <v>4110</v>
      </c>
      <c r="G37" s="369">
        <f>D37*F37</f>
        <v>3288</v>
      </c>
      <c r="H37" s="145"/>
      <c r="I37" s="993"/>
      <c r="J37" s="142"/>
      <c r="K37" s="984"/>
      <c r="L37" s="984"/>
      <c r="M37" s="201"/>
      <c r="N37" s="215"/>
      <c r="O37" s="151"/>
      <c r="P37" s="202" t="s">
        <v>245</v>
      </c>
      <c r="Q37" s="999" t="s">
        <v>253</v>
      </c>
      <c r="R37" s="999"/>
      <c r="S37" s="214" t="s">
        <v>256</v>
      </c>
      <c r="T37" s="214" t="s">
        <v>255</v>
      </c>
      <c r="U37" s="370" t="s">
        <v>617</v>
      </c>
      <c r="V37" s="226" t="s">
        <v>634</v>
      </c>
    </row>
    <row r="38" spans="2:22" ht="13.5">
      <c r="B38" s="821"/>
      <c r="C38" s="371" t="s">
        <v>730</v>
      </c>
      <c r="D38" s="372">
        <v>0.8</v>
      </c>
      <c r="E38" s="368" t="s">
        <v>162</v>
      </c>
      <c r="F38" s="371">
        <v>4970</v>
      </c>
      <c r="G38" s="369">
        <f>D38*F38</f>
        <v>3976</v>
      </c>
      <c r="H38" s="145"/>
      <c r="I38" s="993"/>
      <c r="J38" s="142"/>
      <c r="K38" s="984"/>
      <c r="L38" s="984"/>
      <c r="M38" s="201"/>
      <c r="N38" s="215"/>
      <c r="O38" s="151"/>
      <c r="P38" s="1000" t="s">
        <v>254</v>
      </c>
      <c r="Q38" s="208" t="s">
        <v>637</v>
      </c>
      <c r="R38" s="229"/>
      <c r="S38" s="209"/>
      <c r="T38" s="230"/>
      <c r="U38" s="209"/>
      <c r="V38" s="215">
        <v>2740</v>
      </c>
    </row>
    <row r="39" spans="2:22" ht="13.5">
      <c r="B39" s="821"/>
      <c r="C39" s="371" t="s">
        <v>732</v>
      </c>
      <c r="D39" s="372">
        <v>1.6</v>
      </c>
      <c r="E39" s="368" t="s">
        <v>162</v>
      </c>
      <c r="F39" s="371">
        <v>3740</v>
      </c>
      <c r="G39" s="369">
        <f>D39*F39</f>
        <v>5984</v>
      </c>
      <c r="H39" s="145"/>
      <c r="I39" s="993"/>
      <c r="J39" s="142"/>
      <c r="K39" s="984"/>
      <c r="L39" s="984"/>
      <c r="M39" s="201"/>
      <c r="N39" s="215"/>
      <c r="O39" s="151"/>
      <c r="P39" s="1001"/>
      <c r="Q39" s="208"/>
      <c r="R39" s="229"/>
      <c r="S39" s="209"/>
      <c r="T39" s="230"/>
      <c r="U39" s="209"/>
      <c r="V39" s="215"/>
    </row>
    <row r="40" spans="2:22" ht="13.5">
      <c r="B40" s="821"/>
      <c r="C40" s="48" t="s">
        <v>734</v>
      </c>
      <c r="D40" s="81">
        <v>0.5</v>
      </c>
      <c r="E40" s="368" t="s">
        <v>162</v>
      </c>
      <c r="F40" s="48">
        <v>4480</v>
      </c>
      <c r="G40" s="133">
        <f>D40*F40</f>
        <v>2240</v>
      </c>
      <c r="H40" s="145"/>
      <c r="I40" s="993"/>
      <c r="J40" s="142"/>
      <c r="K40" s="984"/>
      <c r="L40" s="984"/>
      <c r="M40" s="201"/>
      <c r="N40" s="215"/>
      <c r="O40" s="151"/>
      <c r="P40" s="1001"/>
      <c r="Q40" s="208"/>
      <c r="R40" s="229"/>
      <c r="S40" s="209"/>
      <c r="T40" s="230"/>
      <c r="U40" s="209"/>
      <c r="V40" s="215"/>
    </row>
    <row r="41" spans="2:22" ht="13.5">
      <c r="B41" s="821"/>
      <c r="C41" s="48" t="s">
        <v>736</v>
      </c>
      <c r="D41" s="81">
        <v>0.8</v>
      </c>
      <c r="E41" s="368" t="s">
        <v>162</v>
      </c>
      <c r="F41" s="48">
        <v>11990</v>
      </c>
      <c r="G41" s="133">
        <f aca="true" t="shared" si="3" ref="G41:G50">D41*F41</f>
        <v>9592</v>
      </c>
      <c r="H41" s="145"/>
      <c r="I41" s="993"/>
      <c r="J41" s="142"/>
      <c r="K41" s="984"/>
      <c r="L41" s="984"/>
      <c r="M41" s="201"/>
      <c r="N41" s="215"/>
      <c r="O41" s="151"/>
      <c r="P41" s="1001"/>
      <c r="Q41" s="208"/>
      <c r="R41" s="229"/>
      <c r="S41" s="209"/>
      <c r="T41" s="230"/>
      <c r="U41" s="209"/>
      <c r="V41" s="215"/>
    </row>
    <row r="42" spans="2:22" ht="14.25" thickBot="1">
      <c r="B42" s="821"/>
      <c r="C42" s="48" t="s">
        <v>738</v>
      </c>
      <c r="D42" s="81">
        <v>0.4</v>
      </c>
      <c r="E42" s="368" t="s">
        <v>162</v>
      </c>
      <c r="F42" s="48">
        <v>11200</v>
      </c>
      <c r="G42" s="133">
        <f t="shared" si="3"/>
        <v>4480</v>
      </c>
      <c r="H42" s="145"/>
      <c r="I42" s="994"/>
      <c r="J42" s="204" t="s">
        <v>161</v>
      </c>
      <c r="K42" s="995"/>
      <c r="L42" s="996"/>
      <c r="M42" s="205"/>
      <c r="N42" s="212">
        <f>SUM(N35:N41)</f>
        <v>1816.92</v>
      </c>
      <c r="O42" s="151"/>
      <c r="P42" s="1001"/>
      <c r="Q42" s="208"/>
      <c r="R42" s="229"/>
      <c r="S42" s="209"/>
      <c r="T42" s="230"/>
      <c r="U42" s="209"/>
      <c r="V42" s="215"/>
    </row>
    <row r="43" spans="2:22" ht="14.25" thickTop="1">
      <c r="B43" s="821"/>
      <c r="C43" s="48" t="s">
        <v>740</v>
      </c>
      <c r="D43" s="81">
        <v>0.8</v>
      </c>
      <c r="E43" s="368" t="s">
        <v>162</v>
      </c>
      <c r="F43" s="48">
        <v>5560</v>
      </c>
      <c r="G43" s="133">
        <f t="shared" si="3"/>
        <v>4448</v>
      </c>
      <c r="H43" s="145"/>
      <c r="I43" s="985" t="s">
        <v>248</v>
      </c>
      <c r="J43" s="206"/>
      <c r="K43" s="988"/>
      <c r="L43" s="988"/>
      <c r="M43" s="207"/>
      <c r="N43" s="215"/>
      <c r="O43" s="151"/>
      <c r="P43" s="1001"/>
      <c r="Q43" s="208"/>
      <c r="R43" s="229"/>
      <c r="S43" s="209"/>
      <c r="T43" s="230"/>
      <c r="U43" s="209"/>
      <c r="V43" s="215"/>
    </row>
    <row r="44" spans="2:22" ht="14.25" thickBot="1">
      <c r="B44" s="821"/>
      <c r="C44" s="48" t="s">
        <v>742</v>
      </c>
      <c r="D44" s="81">
        <v>0.5</v>
      </c>
      <c r="E44" s="368" t="s">
        <v>584</v>
      </c>
      <c r="F44" s="48">
        <v>11700</v>
      </c>
      <c r="G44" s="133">
        <f t="shared" si="3"/>
        <v>5850</v>
      </c>
      <c r="H44" s="145"/>
      <c r="I44" s="986"/>
      <c r="J44" s="208"/>
      <c r="K44" s="984"/>
      <c r="L44" s="984"/>
      <c r="M44" s="201"/>
      <c r="N44" s="215"/>
      <c r="O44" s="151"/>
      <c r="P44" s="1002"/>
      <c r="Q44" s="216" t="s">
        <v>257</v>
      </c>
      <c r="R44" s="217"/>
      <c r="S44" s="217"/>
      <c r="T44" s="217"/>
      <c r="U44" s="217"/>
      <c r="V44" s="373">
        <f>SUM(V38:V43)</f>
        <v>2740</v>
      </c>
    </row>
    <row r="45" spans="2:22" ht="14.25" thickTop="1">
      <c r="B45" s="821"/>
      <c r="C45" s="48" t="s">
        <v>744</v>
      </c>
      <c r="D45" s="81">
        <v>0.8</v>
      </c>
      <c r="E45" s="368" t="s">
        <v>162</v>
      </c>
      <c r="F45" s="48">
        <v>1570</v>
      </c>
      <c r="G45" s="133">
        <f t="shared" si="3"/>
        <v>1256</v>
      </c>
      <c r="H45" s="145"/>
      <c r="I45" s="986"/>
      <c r="J45" s="142"/>
      <c r="K45" s="984"/>
      <c r="L45" s="984"/>
      <c r="M45" s="201"/>
      <c r="N45" s="215"/>
      <c r="O45" s="151"/>
      <c r="P45" s="1004" t="s">
        <v>262</v>
      </c>
      <c r="Q45" s="959" t="s">
        <v>276</v>
      </c>
      <c r="R45" s="232"/>
      <c r="S45" s="208"/>
      <c r="T45" s="230"/>
      <c r="U45" s="208"/>
      <c r="V45" s="215"/>
    </row>
    <row r="46" spans="2:22" ht="14.25" thickBot="1">
      <c r="B46" s="821"/>
      <c r="C46" s="48" t="s">
        <v>745</v>
      </c>
      <c r="D46" s="81">
        <v>0.5</v>
      </c>
      <c r="E46" s="368" t="s">
        <v>162</v>
      </c>
      <c r="F46" s="48">
        <v>4890</v>
      </c>
      <c r="G46" s="133">
        <f t="shared" si="3"/>
        <v>2445</v>
      </c>
      <c r="H46" s="145"/>
      <c r="I46" s="987"/>
      <c r="J46" s="204" t="s">
        <v>161</v>
      </c>
      <c r="K46" s="995"/>
      <c r="L46" s="996"/>
      <c r="M46" s="205"/>
      <c r="N46" s="212">
        <f>SUM(N43:N45)</f>
        <v>0</v>
      </c>
      <c r="O46" s="151"/>
      <c r="P46" s="1001"/>
      <c r="Q46" s="960"/>
      <c r="R46" s="232"/>
      <c r="S46" s="208"/>
      <c r="T46" s="230"/>
      <c r="U46" s="208"/>
      <c r="V46" s="215"/>
    </row>
    <row r="47" spans="2:22" ht="14.25" thickTop="1">
      <c r="B47" s="821"/>
      <c r="C47" s="48" t="s">
        <v>746</v>
      </c>
      <c r="D47" s="81">
        <v>0.5</v>
      </c>
      <c r="E47" s="368" t="s">
        <v>162</v>
      </c>
      <c r="F47" s="48">
        <v>4990</v>
      </c>
      <c r="G47" s="133">
        <f t="shared" si="3"/>
        <v>2495</v>
      </c>
      <c r="H47" s="145"/>
      <c r="I47" s="985" t="s">
        <v>249</v>
      </c>
      <c r="J47" s="206"/>
      <c r="K47" s="988"/>
      <c r="L47" s="988"/>
      <c r="M47" s="207"/>
      <c r="N47" s="227"/>
      <c r="O47" s="151"/>
      <c r="P47" s="1001"/>
      <c r="Q47" s="960"/>
      <c r="R47" s="232"/>
      <c r="S47" s="208"/>
      <c r="T47" s="208"/>
      <c r="U47" s="142"/>
      <c r="V47" s="233"/>
    </row>
    <row r="48" spans="2:22" ht="13.5">
      <c r="B48" s="821"/>
      <c r="C48" s="48" t="s">
        <v>747</v>
      </c>
      <c r="D48" s="81">
        <v>1</v>
      </c>
      <c r="E48" s="368" t="s">
        <v>162</v>
      </c>
      <c r="F48" s="48">
        <v>2300</v>
      </c>
      <c r="G48" s="133">
        <f t="shared" si="3"/>
        <v>2300</v>
      </c>
      <c r="H48" s="145"/>
      <c r="I48" s="986"/>
      <c r="J48" s="208"/>
      <c r="K48" s="984"/>
      <c r="L48" s="984"/>
      <c r="M48" s="201"/>
      <c r="N48" s="215"/>
      <c r="O48" s="151"/>
      <c r="P48" s="1001"/>
      <c r="Q48" s="960"/>
      <c r="R48" s="232"/>
      <c r="S48" s="208"/>
      <c r="T48" s="230"/>
      <c r="U48" s="208"/>
      <c r="V48" s="215"/>
    </row>
    <row r="49" spans="2:22" ht="13.5">
      <c r="B49" s="821"/>
      <c r="C49" s="567" t="s">
        <v>748</v>
      </c>
      <c r="D49" s="372">
        <v>0.2</v>
      </c>
      <c r="E49" s="368" t="s">
        <v>162</v>
      </c>
      <c r="F49" s="371">
        <v>9020</v>
      </c>
      <c r="G49" s="369">
        <f t="shared" si="3"/>
        <v>1804</v>
      </c>
      <c r="H49" s="145"/>
      <c r="I49" s="986"/>
      <c r="J49" s="142"/>
      <c r="K49" s="984"/>
      <c r="L49" s="984"/>
      <c r="M49" s="201"/>
      <c r="N49" s="215"/>
      <c r="O49" s="151"/>
      <c r="P49" s="1001"/>
      <c r="Q49" s="961"/>
      <c r="R49" s="232"/>
      <c r="S49" s="208"/>
      <c r="T49" s="208"/>
      <c r="U49" s="142"/>
      <c r="V49" s="233"/>
    </row>
    <row r="50" spans="2:22" ht="14.25" thickBot="1">
      <c r="B50" s="821"/>
      <c r="C50" s="48" t="s">
        <v>749</v>
      </c>
      <c r="D50" s="81">
        <v>0.3</v>
      </c>
      <c r="E50" s="368" t="s">
        <v>162</v>
      </c>
      <c r="F50" s="48">
        <v>4990</v>
      </c>
      <c r="G50" s="133">
        <f t="shared" si="3"/>
        <v>1497</v>
      </c>
      <c r="H50" s="145"/>
      <c r="I50" s="987"/>
      <c r="J50" s="204" t="s">
        <v>161</v>
      </c>
      <c r="K50" s="995"/>
      <c r="L50" s="996"/>
      <c r="M50" s="205"/>
      <c r="N50" s="212">
        <f>SUM(N47:N49)</f>
        <v>0</v>
      </c>
      <c r="O50" s="151"/>
      <c r="P50" s="1001"/>
      <c r="Q50" s="216" t="s">
        <v>257</v>
      </c>
      <c r="R50" s="217"/>
      <c r="S50" s="217"/>
      <c r="T50" s="217"/>
      <c r="U50" s="217"/>
      <c r="V50" s="373">
        <f>SUM(V45:V49)</f>
        <v>0</v>
      </c>
    </row>
    <row r="51" spans="2:22" ht="15" thickBot="1" thickTop="1">
      <c r="B51" s="989"/>
      <c r="C51" s="136" t="s">
        <v>161</v>
      </c>
      <c r="D51" s="374"/>
      <c r="E51" s="137"/>
      <c r="F51" s="137"/>
      <c r="G51" s="138">
        <f>SUM(G37:G50)</f>
        <v>51655</v>
      </c>
      <c r="H51" s="145"/>
      <c r="I51" s="997" t="s">
        <v>250</v>
      </c>
      <c r="J51" s="206"/>
      <c r="K51" s="930"/>
      <c r="L51" s="931"/>
      <c r="M51" s="375"/>
      <c r="N51" s="228"/>
      <c r="O51" s="151"/>
      <c r="P51" s="1001"/>
      <c r="Q51" s="959" t="s">
        <v>278</v>
      </c>
      <c r="R51" s="232"/>
      <c r="S51" s="208"/>
      <c r="T51" s="230"/>
      <c r="U51" s="208"/>
      <c r="V51" s="215"/>
    </row>
    <row r="52" spans="2:22" ht="14.25" thickTop="1">
      <c r="B52" s="982" t="s">
        <v>32</v>
      </c>
      <c r="C52" s="48" t="s">
        <v>728</v>
      </c>
      <c r="D52" s="48"/>
      <c r="E52" s="48"/>
      <c r="F52" s="48"/>
      <c r="G52" s="133">
        <v>17440</v>
      </c>
      <c r="H52" s="145"/>
      <c r="I52" s="998"/>
      <c r="J52" s="201"/>
      <c r="K52" s="936"/>
      <c r="L52" s="937"/>
      <c r="M52" s="218"/>
      <c r="N52" s="215"/>
      <c r="O52" s="151"/>
      <c r="P52" s="1001"/>
      <c r="Q52" s="960"/>
      <c r="R52" s="232"/>
      <c r="S52" s="208"/>
      <c r="T52" s="230"/>
      <c r="U52" s="208"/>
      <c r="V52" s="215"/>
    </row>
    <row r="53" spans="2:22" ht="14.25" thickBot="1">
      <c r="B53" s="989"/>
      <c r="C53" s="136" t="s">
        <v>161</v>
      </c>
      <c r="D53" s="137"/>
      <c r="E53" s="137"/>
      <c r="F53" s="137"/>
      <c r="G53" s="138">
        <f>+G52</f>
        <v>17440</v>
      </c>
      <c r="I53" s="998"/>
      <c r="J53" s="208"/>
      <c r="K53" s="934"/>
      <c r="L53" s="935"/>
      <c r="M53" s="218"/>
      <c r="N53" s="215"/>
      <c r="O53" s="151"/>
      <c r="P53" s="1001"/>
      <c r="Q53" s="960"/>
      <c r="R53" s="232"/>
      <c r="S53" s="208"/>
      <c r="T53" s="208"/>
      <c r="U53" s="142"/>
      <c r="V53" s="233"/>
    </row>
    <row r="54" spans="2:22" ht="15" thickBot="1" thickTop="1">
      <c r="B54" s="982" t="s">
        <v>638</v>
      </c>
      <c r="C54" s="48" t="s">
        <v>729</v>
      </c>
      <c r="D54" s="48"/>
      <c r="E54" s="59"/>
      <c r="F54" s="48"/>
      <c r="G54" s="133">
        <v>1821</v>
      </c>
      <c r="I54" s="998"/>
      <c r="J54" s="210" t="s">
        <v>161</v>
      </c>
      <c r="K54" s="1012"/>
      <c r="L54" s="1013"/>
      <c r="M54" s="211"/>
      <c r="N54" s="213">
        <f>+N51+N52+N53</f>
        <v>0</v>
      </c>
      <c r="O54" s="151"/>
      <c r="P54" s="1001"/>
      <c r="Q54" s="960"/>
      <c r="R54" s="232"/>
      <c r="S54" s="208"/>
      <c r="T54" s="230"/>
      <c r="U54" s="208"/>
      <c r="V54" s="215"/>
    </row>
    <row r="55" spans="2:22" ht="14.25" thickTop="1">
      <c r="B55" s="820"/>
      <c r="C55" s="48" t="s">
        <v>750</v>
      </c>
      <c r="D55" s="48"/>
      <c r="E55" s="59"/>
      <c r="F55" s="48"/>
      <c r="G55" s="133">
        <v>8872</v>
      </c>
      <c r="I55" s="997" t="s">
        <v>639</v>
      </c>
      <c r="J55" s="206"/>
      <c r="K55" s="930"/>
      <c r="L55" s="931"/>
      <c r="M55" s="375"/>
      <c r="N55" s="227"/>
      <c r="O55" s="151"/>
      <c r="P55" s="1001"/>
      <c r="Q55" s="961"/>
      <c r="R55" s="232"/>
      <c r="S55" s="208"/>
      <c r="T55" s="208"/>
      <c r="U55" s="142"/>
      <c r="V55" s="233"/>
    </row>
    <row r="56" spans="2:22" ht="14.25" thickBot="1">
      <c r="B56" s="820"/>
      <c r="C56" s="48"/>
      <c r="D56" s="48"/>
      <c r="E56" s="59"/>
      <c r="F56" s="48"/>
      <c r="G56" s="133">
        <f>D56*F56</f>
        <v>0</v>
      </c>
      <c r="I56" s="1003"/>
      <c r="J56" s="204" t="s">
        <v>161</v>
      </c>
      <c r="K56" s="995"/>
      <c r="L56" s="996"/>
      <c r="M56" s="205"/>
      <c r="N56" s="212">
        <f>+N55</f>
        <v>0</v>
      </c>
      <c r="O56" s="151"/>
      <c r="P56" s="1005"/>
      <c r="Q56" s="234" t="s">
        <v>257</v>
      </c>
      <c r="R56" s="235"/>
      <c r="S56" s="235"/>
      <c r="T56" s="235"/>
      <c r="U56" s="235"/>
      <c r="V56" s="376">
        <f>SUM(V51:V55)</f>
        <v>0</v>
      </c>
    </row>
    <row r="57" spans="2:22" ht="15" thickBot="1" thickTop="1">
      <c r="B57" s="983"/>
      <c r="C57" s="139" t="s">
        <v>164</v>
      </c>
      <c r="D57" s="140"/>
      <c r="E57" s="140"/>
      <c r="F57" s="140"/>
      <c r="G57" s="141">
        <f>+G54+G55+G56</f>
        <v>10693</v>
      </c>
      <c r="I57" s="1006" t="s">
        <v>251</v>
      </c>
      <c r="J57" s="1007"/>
      <c r="K57" s="1008"/>
      <c r="L57" s="1009"/>
      <c r="M57" s="377"/>
      <c r="N57" s="141">
        <f>+N42+N46+N50+N54+N56</f>
        <v>1816.92</v>
      </c>
      <c r="O57" s="151"/>
      <c r="P57" s="1010" t="s">
        <v>251</v>
      </c>
      <c r="Q57" s="1011"/>
      <c r="R57" s="154"/>
      <c r="S57" s="154"/>
      <c r="T57" s="154"/>
      <c r="U57" s="154"/>
      <c r="V57" s="148">
        <f>SUM(V44,V50,V56)</f>
        <v>2740</v>
      </c>
    </row>
    <row r="58" spans="15:22" ht="13.5">
      <c r="O58" s="151"/>
      <c r="V58" s="49"/>
    </row>
    <row r="59" spans="9:15" ht="13.5">
      <c r="I59" s="151"/>
      <c r="J59" s="151"/>
      <c r="K59" s="151"/>
      <c r="L59" s="151"/>
      <c r="M59" s="151"/>
      <c r="N59" s="151"/>
      <c r="O59" s="151"/>
    </row>
    <row r="60" spans="9:15" ht="13.5">
      <c r="I60" s="151"/>
      <c r="J60" s="151"/>
      <c r="K60" s="151"/>
      <c r="L60" s="151"/>
      <c r="M60" s="151"/>
      <c r="N60" s="151"/>
      <c r="O60" s="151"/>
    </row>
    <row r="61" spans="9:15" ht="13.5">
      <c r="I61" s="151"/>
      <c r="J61" s="151"/>
      <c r="K61" s="151"/>
      <c r="L61" s="151"/>
      <c r="M61" s="151"/>
      <c r="N61" s="151"/>
      <c r="O61" s="151"/>
    </row>
    <row r="62" spans="9:15" ht="13.5">
      <c r="I62" s="151"/>
      <c r="J62" s="151"/>
      <c r="K62" s="151"/>
      <c r="L62" s="151"/>
      <c r="M62" s="151"/>
      <c r="N62" s="151"/>
      <c r="O62" s="151"/>
    </row>
    <row r="63" spans="9:15" ht="13.5">
      <c r="I63" s="151"/>
      <c r="J63" s="151"/>
      <c r="K63" s="151"/>
      <c r="L63" s="151"/>
      <c r="M63" s="151"/>
      <c r="N63" s="151"/>
      <c r="O63" s="151"/>
    </row>
    <row r="64" spans="9:15" ht="13.5">
      <c r="I64" s="151"/>
      <c r="J64" s="151"/>
      <c r="K64" s="151"/>
      <c r="L64" s="151"/>
      <c r="M64" s="151"/>
      <c r="N64" s="151"/>
      <c r="O64" s="151"/>
    </row>
    <row r="65" spans="9:15" ht="13.5">
      <c r="I65" s="151"/>
      <c r="J65" s="151"/>
      <c r="K65" s="151"/>
      <c r="L65" s="151"/>
      <c r="M65" s="151"/>
      <c r="N65" s="151"/>
      <c r="O65" s="151"/>
    </row>
    <row r="66" spans="9:15" ht="13.5">
      <c r="I66" s="151"/>
      <c r="J66" s="151"/>
      <c r="K66" s="151"/>
      <c r="L66" s="151"/>
      <c r="M66" s="151"/>
      <c r="N66" s="151"/>
      <c r="O66" s="151"/>
    </row>
    <row r="67" spans="9:15" ht="13.5">
      <c r="I67" s="151"/>
      <c r="J67" s="151"/>
      <c r="K67" s="151"/>
      <c r="L67" s="151"/>
      <c r="M67" s="151"/>
      <c r="N67" s="151"/>
      <c r="O67" s="151"/>
    </row>
    <row r="68" spans="9:15" ht="13.5">
      <c r="I68" s="151"/>
      <c r="J68" s="151"/>
      <c r="K68" s="151"/>
      <c r="L68" s="151"/>
      <c r="M68" s="151"/>
      <c r="N68" s="151"/>
      <c r="O68" s="151"/>
    </row>
    <row r="69" spans="9:15" ht="13.5">
      <c r="I69" s="151"/>
      <c r="J69" s="151"/>
      <c r="K69" s="151"/>
      <c r="L69" s="151"/>
      <c r="M69" s="151"/>
      <c r="N69" s="151"/>
      <c r="O69" s="151"/>
    </row>
    <row r="70" spans="9:15" ht="13.5">
      <c r="I70" s="151"/>
      <c r="J70" s="151"/>
      <c r="K70" s="151"/>
      <c r="L70" s="151"/>
      <c r="M70" s="151"/>
      <c r="N70" s="151"/>
      <c r="O70" s="151"/>
    </row>
    <row r="71" spans="9:15" ht="13.5">
      <c r="I71" s="151"/>
      <c r="J71" s="151"/>
      <c r="K71" s="151"/>
      <c r="L71" s="151"/>
      <c r="M71" s="151"/>
      <c r="N71" s="151"/>
      <c r="O71" s="151"/>
    </row>
    <row r="72" spans="9:15" ht="13.5">
      <c r="I72" s="151"/>
      <c r="J72" s="151"/>
      <c r="K72" s="151"/>
      <c r="L72" s="151"/>
      <c r="M72" s="151"/>
      <c r="N72" s="151"/>
      <c r="O72" s="151"/>
    </row>
    <row r="73" spans="9:15" ht="13.5">
      <c r="I73" s="151"/>
      <c r="J73" s="151"/>
      <c r="K73" s="151"/>
      <c r="L73" s="151"/>
      <c r="M73" s="151"/>
      <c r="N73" s="151"/>
      <c r="O73" s="151"/>
    </row>
    <row r="74" spans="9:15" ht="13.5">
      <c r="I74" s="151"/>
      <c r="J74" s="151"/>
      <c r="K74" s="151"/>
      <c r="L74" s="151"/>
      <c r="M74" s="151"/>
      <c r="N74" s="151"/>
      <c r="O74" s="151"/>
    </row>
    <row r="75" spans="9:15" ht="13.5">
      <c r="I75" s="151"/>
      <c r="J75" s="151"/>
      <c r="K75" s="151"/>
      <c r="L75" s="151"/>
      <c r="M75" s="151"/>
      <c r="N75" s="151"/>
      <c r="O75" s="151"/>
    </row>
    <row r="76" spans="9:15" ht="13.5">
      <c r="I76" s="151"/>
      <c r="J76" s="151"/>
      <c r="K76" s="151"/>
      <c r="L76" s="151"/>
      <c r="M76" s="151"/>
      <c r="N76" s="151"/>
      <c r="O76" s="151"/>
    </row>
    <row r="77" spans="9:15" ht="13.5">
      <c r="I77" s="151"/>
      <c r="J77" s="151"/>
      <c r="K77" s="151"/>
      <c r="L77" s="151"/>
      <c r="M77" s="151"/>
      <c r="N77" s="151"/>
      <c r="O77" s="151"/>
    </row>
    <row r="78" spans="9:15" ht="13.5">
      <c r="I78" s="151"/>
      <c r="J78" s="151"/>
      <c r="K78" s="151"/>
      <c r="L78" s="151"/>
      <c r="M78" s="151"/>
      <c r="N78" s="151"/>
      <c r="O78" s="151"/>
    </row>
    <row r="79" spans="9:15" ht="13.5">
      <c r="I79" s="151"/>
      <c r="J79" s="151"/>
      <c r="K79" s="151"/>
      <c r="L79" s="151"/>
      <c r="M79" s="151"/>
      <c r="N79" s="151"/>
      <c r="O79" s="151"/>
    </row>
    <row r="80" spans="9:15" ht="13.5">
      <c r="I80" s="151"/>
      <c r="J80" s="151"/>
      <c r="K80" s="151"/>
      <c r="L80" s="151"/>
      <c r="M80" s="151"/>
      <c r="N80" s="151"/>
      <c r="O80" s="151"/>
    </row>
    <row r="81" spans="9:15" ht="13.5">
      <c r="I81" s="151"/>
      <c r="J81" s="151"/>
      <c r="K81" s="151"/>
      <c r="L81" s="151"/>
      <c r="M81" s="151"/>
      <c r="N81" s="151"/>
      <c r="O81" s="151"/>
    </row>
    <row r="82" spans="9:15" ht="13.5">
      <c r="I82" s="151"/>
      <c r="J82" s="151"/>
      <c r="K82" s="151"/>
      <c r="L82" s="151"/>
      <c r="M82" s="151"/>
      <c r="N82" s="151"/>
      <c r="O82" s="151"/>
    </row>
    <row r="83" spans="2:15" ht="13.5">
      <c r="B83" s="144"/>
      <c r="C83" s="145"/>
      <c r="D83" s="145"/>
      <c r="E83" s="145"/>
      <c r="F83" s="145"/>
      <c r="I83" s="151"/>
      <c r="J83" s="151"/>
      <c r="K83" s="151"/>
      <c r="L83" s="151"/>
      <c r="M83" s="151"/>
      <c r="N83" s="151"/>
      <c r="O83" s="151"/>
    </row>
    <row r="84" spans="2:15" ht="13.5">
      <c r="B84" s="144"/>
      <c r="C84" s="145"/>
      <c r="D84" s="145"/>
      <c r="E84" s="145"/>
      <c r="F84" s="145"/>
      <c r="I84" s="151"/>
      <c r="J84" s="151"/>
      <c r="K84" s="151"/>
      <c r="L84" s="151"/>
      <c r="M84" s="151"/>
      <c r="N84" s="151"/>
      <c r="O84" s="151"/>
    </row>
    <row r="85" spans="9:15" ht="13.5">
      <c r="I85" s="151"/>
      <c r="J85" s="151"/>
      <c r="K85" s="151"/>
      <c r="L85" s="151"/>
      <c r="M85" s="151"/>
      <c r="N85" s="151"/>
      <c r="O85" s="151"/>
    </row>
    <row r="86" spans="9:15" ht="13.5">
      <c r="I86" s="151"/>
      <c r="J86" s="151"/>
      <c r="K86" s="151"/>
      <c r="L86" s="151"/>
      <c r="M86" s="151"/>
      <c r="N86" s="151"/>
      <c r="O86" s="151"/>
    </row>
    <row r="87" spans="9:15" ht="13.5">
      <c r="I87" s="151"/>
      <c r="J87" s="151"/>
      <c r="K87" s="151"/>
      <c r="L87" s="151"/>
      <c r="M87" s="151"/>
      <c r="N87" s="151"/>
      <c r="O87" s="151"/>
    </row>
    <row r="88" spans="9:15" ht="13.5">
      <c r="I88" s="151"/>
      <c r="J88" s="151"/>
      <c r="K88" s="151"/>
      <c r="L88" s="151"/>
      <c r="M88" s="151"/>
      <c r="N88" s="151"/>
      <c r="O88" s="151"/>
    </row>
    <row r="89" spans="9:15" ht="13.5">
      <c r="I89" s="151"/>
      <c r="J89" s="151"/>
      <c r="K89" s="151"/>
      <c r="L89" s="151"/>
      <c r="M89" s="151"/>
      <c r="N89" s="151"/>
      <c r="O89" s="151"/>
    </row>
    <row r="90" spans="9:15" ht="13.5">
      <c r="I90" s="151"/>
      <c r="J90" s="151"/>
      <c r="K90" s="151"/>
      <c r="L90" s="151"/>
      <c r="M90" s="151"/>
      <c r="N90" s="151"/>
      <c r="O90" s="151"/>
    </row>
    <row r="91" spans="9:15" ht="13.5">
      <c r="I91" s="151"/>
      <c r="J91" s="151"/>
      <c r="K91" s="151"/>
      <c r="L91" s="151"/>
      <c r="M91" s="151"/>
      <c r="N91" s="151"/>
      <c r="O91" s="151"/>
    </row>
    <row r="92" spans="9:15" ht="13.5">
      <c r="I92" s="151"/>
      <c r="J92" s="151"/>
      <c r="K92" s="151"/>
      <c r="L92" s="151"/>
      <c r="M92" s="151"/>
      <c r="N92" s="151"/>
      <c r="O92" s="151"/>
    </row>
    <row r="93" spans="9:15" ht="13.5">
      <c r="I93" s="151"/>
      <c r="J93" s="151"/>
      <c r="K93" s="151"/>
      <c r="L93" s="151"/>
      <c r="M93" s="151"/>
      <c r="N93" s="151"/>
      <c r="O93" s="151"/>
    </row>
    <row r="94" spans="9:15" ht="13.5">
      <c r="I94" s="151"/>
      <c r="J94" s="151"/>
      <c r="K94" s="151"/>
      <c r="L94" s="151"/>
      <c r="M94" s="151"/>
      <c r="N94" s="151"/>
      <c r="O94" s="151"/>
    </row>
    <row r="95" spans="9:15" ht="13.5">
      <c r="I95" s="151"/>
      <c r="J95" s="151"/>
      <c r="K95" s="151"/>
      <c r="L95" s="151"/>
      <c r="M95" s="151"/>
      <c r="N95" s="151"/>
      <c r="O95" s="151"/>
    </row>
    <row r="96" spans="9:15" ht="13.5">
      <c r="I96" s="151"/>
      <c r="J96" s="151"/>
      <c r="K96" s="151"/>
      <c r="L96" s="151"/>
      <c r="M96" s="151"/>
      <c r="N96" s="151"/>
      <c r="O96" s="151"/>
    </row>
    <row r="97" spans="9:15" ht="13.5">
      <c r="I97" s="151"/>
      <c r="J97" s="151"/>
      <c r="K97" s="151"/>
      <c r="L97" s="151"/>
      <c r="M97" s="151"/>
      <c r="N97" s="151"/>
      <c r="O97" s="151"/>
    </row>
    <row r="98" spans="9:15" ht="13.5">
      <c r="I98" s="151"/>
      <c r="J98" s="151"/>
      <c r="K98" s="151"/>
      <c r="L98" s="151"/>
      <c r="M98" s="151"/>
      <c r="N98" s="151"/>
      <c r="O98" s="151"/>
    </row>
    <row r="99" spans="9:15" ht="13.5">
      <c r="I99" s="151"/>
      <c r="J99" s="151"/>
      <c r="K99" s="151"/>
      <c r="L99" s="151"/>
      <c r="M99" s="151"/>
      <c r="N99" s="151"/>
      <c r="O99" s="151"/>
    </row>
    <row r="100" spans="9:15" ht="13.5">
      <c r="I100" s="151"/>
      <c r="J100" s="151"/>
      <c r="K100" s="151"/>
      <c r="L100" s="151"/>
      <c r="M100" s="151"/>
      <c r="N100" s="151"/>
      <c r="O100" s="151"/>
    </row>
    <row r="101" spans="9:15" ht="13.5">
      <c r="I101" s="151"/>
      <c r="J101" s="151"/>
      <c r="K101" s="151"/>
      <c r="L101" s="151"/>
      <c r="M101" s="151"/>
      <c r="N101" s="151"/>
      <c r="O101" s="151"/>
    </row>
    <row r="102" spans="9:15" ht="13.5">
      <c r="I102" s="151"/>
      <c r="J102" s="151"/>
      <c r="K102" s="151"/>
      <c r="L102" s="151"/>
      <c r="M102" s="151"/>
      <c r="N102" s="151"/>
      <c r="O102" s="151"/>
    </row>
    <row r="103" spans="9:15" ht="13.5">
      <c r="I103" s="151"/>
      <c r="J103" s="151"/>
      <c r="K103" s="151"/>
      <c r="L103" s="151"/>
      <c r="M103" s="151"/>
      <c r="N103" s="151"/>
      <c r="O103" s="151"/>
    </row>
    <row r="104" spans="9:15" ht="13.5">
      <c r="I104" s="151"/>
      <c r="J104" s="151"/>
      <c r="K104" s="151"/>
      <c r="L104" s="151"/>
      <c r="M104" s="151"/>
      <c r="N104" s="151"/>
      <c r="O104" s="151"/>
    </row>
    <row r="105" spans="9:15" ht="13.5">
      <c r="I105" s="151"/>
      <c r="J105" s="151"/>
      <c r="K105" s="151"/>
      <c r="L105" s="151"/>
      <c r="M105" s="151"/>
      <c r="N105" s="151"/>
      <c r="O105" s="151"/>
    </row>
    <row r="106" spans="9:15" ht="13.5">
      <c r="I106" s="151"/>
      <c r="J106" s="151"/>
      <c r="K106" s="151"/>
      <c r="L106" s="151"/>
      <c r="M106" s="151"/>
      <c r="N106" s="151"/>
      <c r="O106" s="151"/>
    </row>
    <row r="107" spans="9:15" ht="13.5">
      <c r="I107" s="151"/>
      <c r="J107" s="151"/>
      <c r="K107" s="151"/>
      <c r="L107" s="151"/>
      <c r="M107" s="151"/>
      <c r="N107" s="151"/>
      <c r="O107" s="151"/>
    </row>
    <row r="108" spans="9:15" ht="13.5">
      <c r="I108" s="151"/>
      <c r="J108" s="151"/>
      <c r="K108" s="151"/>
      <c r="L108" s="151"/>
      <c r="M108" s="151"/>
      <c r="N108" s="151"/>
      <c r="O108" s="151"/>
    </row>
    <row r="109" spans="9:15" ht="13.5">
      <c r="I109" s="151"/>
      <c r="J109" s="151"/>
      <c r="K109" s="151"/>
      <c r="L109" s="151"/>
      <c r="M109" s="151"/>
      <c r="N109" s="151"/>
      <c r="O109" s="151"/>
    </row>
    <row r="110" spans="9:15" ht="13.5">
      <c r="I110" s="151"/>
      <c r="J110" s="151"/>
      <c r="K110" s="151"/>
      <c r="L110" s="151"/>
      <c r="M110" s="151"/>
      <c r="N110" s="151"/>
      <c r="O110" s="151"/>
    </row>
    <row r="111" spans="9:15" ht="13.5">
      <c r="I111" s="151"/>
      <c r="J111" s="151"/>
      <c r="K111" s="151"/>
      <c r="L111" s="151"/>
      <c r="M111" s="151"/>
      <c r="N111" s="151"/>
      <c r="O111" s="151"/>
    </row>
    <row r="112" spans="9:15" ht="13.5">
      <c r="I112" s="151"/>
      <c r="J112" s="151"/>
      <c r="K112" s="151"/>
      <c r="L112" s="151"/>
      <c r="M112" s="151"/>
      <c r="N112" s="151"/>
      <c r="O112" s="151"/>
    </row>
    <row r="113" spans="9:15" ht="13.5">
      <c r="I113" s="151"/>
      <c r="J113" s="151"/>
      <c r="K113" s="151"/>
      <c r="L113" s="151"/>
      <c r="M113" s="151"/>
      <c r="N113" s="151"/>
      <c r="O113" s="151"/>
    </row>
    <row r="114" spans="9:15" ht="13.5">
      <c r="I114" s="151"/>
      <c r="J114" s="151"/>
      <c r="K114" s="151"/>
      <c r="L114" s="151"/>
      <c r="M114" s="151"/>
      <c r="N114" s="151"/>
      <c r="O114" s="151"/>
    </row>
    <row r="115" spans="9:15" ht="13.5">
      <c r="I115" s="151"/>
      <c r="J115" s="151"/>
      <c r="K115" s="151"/>
      <c r="L115" s="151"/>
      <c r="M115" s="151"/>
      <c r="N115" s="151"/>
      <c r="O115" s="151"/>
    </row>
    <row r="116" spans="9:15" ht="13.5">
      <c r="I116" s="151"/>
      <c r="J116" s="151"/>
      <c r="K116" s="151"/>
      <c r="L116" s="151"/>
      <c r="M116" s="151"/>
      <c r="N116" s="151"/>
      <c r="O116" s="151"/>
    </row>
    <row r="117" spans="9:15" ht="13.5">
      <c r="I117" s="151"/>
      <c r="J117" s="151"/>
      <c r="K117" s="151"/>
      <c r="L117" s="151"/>
      <c r="M117" s="151"/>
      <c r="N117" s="151"/>
      <c r="O117" s="151"/>
    </row>
    <row r="118" spans="9:15" ht="13.5">
      <c r="I118" s="151"/>
      <c r="J118" s="151"/>
      <c r="K118" s="151"/>
      <c r="L118" s="151"/>
      <c r="M118" s="151"/>
      <c r="N118" s="151"/>
      <c r="O118" s="151"/>
    </row>
    <row r="119" spans="9:15" ht="13.5">
      <c r="I119" s="151"/>
      <c r="J119" s="151"/>
      <c r="K119" s="151"/>
      <c r="L119" s="151"/>
      <c r="M119" s="151"/>
      <c r="N119" s="151"/>
      <c r="O119" s="151"/>
    </row>
    <row r="120" spans="9:15" ht="13.5">
      <c r="I120" s="151"/>
      <c r="J120" s="151"/>
      <c r="K120" s="151"/>
      <c r="L120" s="151"/>
      <c r="M120" s="151"/>
      <c r="N120" s="151"/>
      <c r="O120" s="151"/>
    </row>
    <row r="121" spans="9:15" ht="13.5">
      <c r="I121" s="151"/>
      <c r="J121" s="151"/>
      <c r="K121" s="151"/>
      <c r="L121" s="151"/>
      <c r="M121" s="151"/>
      <c r="N121" s="151"/>
      <c r="O121" s="151"/>
    </row>
    <row r="122" spans="9:15" ht="13.5">
      <c r="I122" s="151"/>
      <c r="J122" s="151"/>
      <c r="K122" s="151"/>
      <c r="L122" s="151"/>
      <c r="M122" s="151"/>
      <c r="N122" s="151"/>
      <c r="O122" s="151"/>
    </row>
    <row r="123" spans="9:15" ht="13.5">
      <c r="I123" s="151"/>
      <c r="J123" s="151"/>
      <c r="K123" s="151"/>
      <c r="L123" s="151"/>
      <c r="M123" s="151"/>
      <c r="N123" s="151"/>
      <c r="O123" s="151"/>
    </row>
    <row r="124" spans="9:15" ht="13.5">
      <c r="I124" s="151"/>
      <c r="J124" s="151"/>
      <c r="K124" s="151"/>
      <c r="L124" s="151"/>
      <c r="M124" s="151"/>
      <c r="N124" s="151"/>
      <c r="O124" s="151"/>
    </row>
    <row r="125" spans="9:15" ht="13.5">
      <c r="I125" s="151"/>
      <c r="J125" s="151"/>
      <c r="K125" s="151"/>
      <c r="L125" s="151"/>
      <c r="M125" s="151"/>
      <c r="N125" s="151"/>
      <c r="O125" s="151"/>
    </row>
    <row r="126" spans="9:15" ht="13.5">
      <c r="I126" s="151"/>
      <c r="J126" s="151"/>
      <c r="K126" s="151"/>
      <c r="L126" s="151"/>
      <c r="M126" s="151"/>
      <c r="N126" s="151"/>
      <c r="O126" s="151"/>
    </row>
    <row r="127" spans="9:15" ht="13.5">
      <c r="I127" s="151"/>
      <c r="J127" s="151"/>
      <c r="K127" s="151"/>
      <c r="L127" s="151"/>
      <c r="M127" s="151"/>
      <c r="N127" s="151"/>
      <c r="O127" s="151"/>
    </row>
    <row r="128" spans="9:15" ht="13.5">
      <c r="I128" s="151"/>
      <c r="J128" s="151"/>
      <c r="K128" s="151"/>
      <c r="L128" s="151"/>
      <c r="M128" s="151"/>
      <c r="N128" s="151"/>
      <c r="O128" s="151"/>
    </row>
    <row r="129" spans="9:15" ht="13.5">
      <c r="I129" s="151"/>
      <c r="J129" s="151"/>
      <c r="K129" s="151"/>
      <c r="L129" s="151"/>
      <c r="M129" s="151"/>
      <c r="N129" s="151"/>
      <c r="O129" s="151"/>
    </row>
    <row r="130" spans="9:15" ht="13.5">
      <c r="I130" s="151"/>
      <c r="J130" s="151"/>
      <c r="K130" s="151"/>
      <c r="L130" s="151"/>
      <c r="M130" s="151"/>
      <c r="N130" s="151"/>
      <c r="O130" s="151"/>
    </row>
    <row r="131" spans="9:15" ht="13.5">
      <c r="I131" s="151"/>
      <c r="J131" s="151"/>
      <c r="K131" s="151"/>
      <c r="L131" s="151"/>
      <c r="M131" s="151"/>
      <c r="N131" s="151"/>
      <c r="O131" s="151"/>
    </row>
    <row r="132" spans="9:15" ht="13.5">
      <c r="I132" s="151"/>
      <c r="J132" s="151"/>
      <c r="K132" s="151"/>
      <c r="L132" s="151"/>
      <c r="M132" s="151"/>
      <c r="N132" s="151"/>
      <c r="O132" s="151"/>
    </row>
    <row r="133" spans="9:15" ht="13.5">
      <c r="I133" s="151"/>
      <c r="J133" s="151"/>
      <c r="K133" s="151"/>
      <c r="L133" s="151"/>
      <c r="M133" s="151"/>
      <c r="N133" s="151"/>
      <c r="O133" s="151"/>
    </row>
    <row r="134" spans="9:15" ht="13.5">
      <c r="I134" s="151"/>
      <c r="J134" s="151"/>
      <c r="K134" s="151"/>
      <c r="L134" s="151"/>
      <c r="M134" s="151"/>
      <c r="N134" s="151"/>
      <c r="O134" s="151"/>
    </row>
    <row r="135" spans="9:15" ht="13.5">
      <c r="I135" s="151"/>
      <c r="J135" s="151"/>
      <c r="K135" s="151"/>
      <c r="L135" s="151"/>
      <c r="M135" s="151"/>
      <c r="N135" s="151"/>
      <c r="O135" s="151"/>
    </row>
    <row r="136" spans="9:15" ht="13.5">
      <c r="I136" s="151"/>
      <c r="J136" s="151"/>
      <c r="K136" s="151"/>
      <c r="L136" s="151"/>
      <c r="M136" s="151"/>
      <c r="N136" s="151"/>
      <c r="O136" s="151"/>
    </row>
    <row r="137" spans="9:15" ht="13.5">
      <c r="I137" s="151"/>
      <c r="J137" s="151"/>
      <c r="K137" s="151"/>
      <c r="L137" s="151"/>
      <c r="M137" s="151"/>
      <c r="N137" s="151"/>
      <c r="O137" s="151"/>
    </row>
    <row r="138" spans="9:15" ht="13.5">
      <c r="I138" s="151"/>
      <c r="J138" s="151"/>
      <c r="K138" s="151"/>
      <c r="L138" s="151"/>
      <c r="M138" s="151"/>
      <c r="N138" s="151"/>
      <c r="O138" s="151"/>
    </row>
    <row r="139" spans="9:14" ht="13.5">
      <c r="I139" s="151"/>
      <c r="J139" s="151"/>
      <c r="K139" s="151"/>
      <c r="L139" s="151"/>
      <c r="M139" s="151"/>
      <c r="N139" s="151"/>
    </row>
    <row r="140" spans="9:14" ht="13.5">
      <c r="I140" s="151"/>
      <c r="J140" s="151"/>
      <c r="K140" s="151"/>
      <c r="L140" s="151"/>
      <c r="M140" s="151"/>
      <c r="N140" s="151"/>
    </row>
    <row r="141" spans="9:14" ht="13.5">
      <c r="I141" s="151"/>
      <c r="J141" s="151"/>
      <c r="K141" s="151"/>
      <c r="L141" s="151"/>
      <c r="M141" s="151"/>
      <c r="N141" s="151"/>
    </row>
    <row r="142" spans="9:14" ht="13.5">
      <c r="I142" s="151"/>
      <c r="J142" s="151"/>
      <c r="K142" s="151"/>
      <c r="L142" s="151"/>
      <c r="M142" s="151"/>
      <c r="N142" s="151"/>
    </row>
    <row r="143" spans="9:14" ht="13.5">
      <c r="I143" s="151"/>
      <c r="J143" s="151"/>
      <c r="K143" s="151"/>
      <c r="L143" s="151"/>
      <c r="M143" s="151"/>
      <c r="N143" s="151"/>
    </row>
    <row r="144" spans="9:14" ht="13.5">
      <c r="I144" s="151"/>
      <c r="J144" s="151"/>
      <c r="K144" s="151"/>
      <c r="L144" s="151"/>
      <c r="M144" s="151"/>
      <c r="N144" s="151"/>
    </row>
    <row r="145" spans="9:14" ht="13.5">
      <c r="I145" s="151"/>
      <c r="J145" s="151"/>
      <c r="K145" s="151"/>
      <c r="L145" s="151"/>
      <c r="M145" s="151"/>
      <c r="N145" s="151"/>
    </row>
    <row r="146" spans="9:14" ht="13.5">
      <c r="I146" s="151"/>
      <c r="J146" s="151"/>
      <c r="K146" s="151"/>
      <c r="L146" s="151"/>
      <c r="M146" s="151"/>
      <c r="N146" s="151"/>
    </row>
    <row r="147" spans="9:14" ht="13.5">
      <c r="I147" s="151"/>
      <c r="J147" s="151"/>
      <c r="K147" s="151"/>
      <c r="L147" s="151"/>
      <c r="M147" s="151"/>
      <c r="N147" s="151"/>
    </row>
    <row r="148" spans="9:14" ht="13.5">
      <c r="I148" s="151"/>
      <c r="J148" s="151"/>
      <c r="K148" s="151"/>
      <c r="L148" s="151"/>
      <c r="M148" s="151"/>
      <c r="N148" s="151"/>
    </row>
    <row r="149" spans="9:14" ht="13.5">
      <c r="I149" s="151"/>
      <c r="J149" s="151"/>
      <c r="K149" s="151"/>
      <c r="L149" s="151"/>
      <c r="M149" s="151"/>
      <c r="N149" s="151"/>
    </row>
    <row r="150" spans="9:14" ht="13.5">
      <c r="I150" s="151"/>
      <c r="J150" s="151"/>
      <c r="K150" s="151"/>
      <c r="L150" s="151"/>
      <c r="M150" s="151"/>
      <c r="N150" s="151"/>
    </row>
    <row r="151" spans="9:14" ht="13.5">
      <c r="I151" s="151"/>
      <c r="J151" s="151"/>
      <c r="K151" s="151"/>
      <c r="L151" s="151"/>
      <c r="M151" s="151"/>
      <c r="N151" s="151"/>
    </row>
    <row r="152" spans="9:14" ht="13.5">
      <c r="I152" s="151"/>
      <c r="J152" s="151"/>
      <c r="K152" s="151"/>
      <c r="L152" s="151"/>
      <c r="M152" s="151"/>
      <c r="N152" s="151"/>
    </row>
    <row r="153" spans="9:14" ht="13.5">
      <c r="I153" s="151"/>
      <c r="J153" s="151"/>
      <c r="K153" s="151"/>
      <c r="L153" s="151"/>
      <c r="M153" s="151"/>
      <c r="N153" s="151"/>
    </row>
    <row r="154" spans="9:14" ht="13.5">
      <c r="I154" s="151"/>
      <c r="J154" s="151"/>
      <c r="K154" s="151"/>
      <c r="L154" s="151"/>
      <c r="M154" s="151"/>
      <c r="N154" s="151"/>
    </row>
    <row r="155" spans="10:14" ht="13.5">
      <c r="J155" s="151"/>
      <c r="K155" s="151"/>
      <c r="L155" s="151"/>
      <c r="M155" s="151"/>
      <c r="N155" s="151"/>
    </row>
    <row r="156" spans="10:14" ht="13.5">
      <c r="J156" s="151"/>
      <c r="K156" s="151"/>
      <c r="L156" s="151"/>
      <c r="M156" s="151"/>
      <c r="N156" s="151"/>
    </row>
    <row r="172" ht="13.5">
      <c r="O172" s="151"/>
    </row>
    <row r="173" ht="13.5">
      <c r="O173" s="151"/>
    </row>
    <row r="174" ht="13.5">
      <c r="O174" s="151"/>
    </row>
    <row r="175" ht="13.5">
      <c r="O175" s="151"/>
    </row>
    <row r="176" ht="13.5">
      <c r="O176" s="151"/>
    </row>
    <row r="177" ht="13.5">
      <c r="O177" s="151"/>
    </row>
    <row r="178" ht="13.5">
      <c r="O178" s="151"/>
    </row>
    <row r="179" ht="13.5">
      <c r="O179" s="151"/>
    </row>
    <row r="180" ht="13.5">
      <c r="O180" s="151"/>
    </row>
    <row r="181" ht="13.5">
      <c r="O181" s="151"/>
    </row>
    <row r="182" ht="13.5">
      <c r="O182" s="151"/>
    </row>
    <row r="183" ht="13.5">
      <c r="O183" s="151"/>
    </row>
    <row r="184" ht="13.5">
      <c r="O184" s="151"/>
    </row>
    <row r="185" ht="13.5">
      <c r="O185" s="151"/>
    </row>
    <row r="186" ht="13.5">
      <c r="O186" s="151"/>
    </row>
    <row r="187" ht="13.5">
      <c r="O187" s="151"/>
    </row>
    <row r="188" ht="13.5">
      <c r="O188" s="151"/>
    </row>
    <row r="189" ht="13.5">
      <c r="O189" s="151"/>
    </row>
    <row r="190" ht="13.5">
      <c r="O190" s="151"/>
    </row>
    <row r="191" ht="13.5">
      <c r="O191" s="151"/>
    </row>
  </sheetData>
  <sheetProtection/>
  <mergeCells count="72">
    <mergeCell ref="I57:J57"/>
    <mergeCell ref="K57:L57"/>
    <mergeCell ref="P57:Q57"/>
    <mergeCell ref="K51:L51"/>
    <mergeCell ref="Q51:Q55"/>
    <mergeCell ref="B52:B53"/>
    <mergeCell ref="K52:L52"/>
    <mergeCell ref="K53:L53"/>
    <mergeCell ref="B54:B57"/>
    <mergeCell ref="K54:L54"/>
    <mergeCell ref="I55:I56"/>
    <mergeCell ref="K55:L55"/>
    <mergeCell ref="K56:L56"/>
    <mergeCell ref="K45:L45"/>
    <mergeCell ref="P45:P56"/>
    <mergeCell ref="Q45:Q49"/>
    <mergeCell ref="K46:L46"/>
    <mergeCell ref="I47:I50"/>
    <mergeCell ref="K47:L47"/>
    <mergeCell ref="K48:L48"/>
    <mergeCell ref="K49:L49"/>
    <mergeCell ref="K50:L50"/>
    <mergeCell ref="I51:I54"/>
    <mergeCell ref="Q37:R37"/>
    <mergeCell ref="K38:L38"/>
    <mergeCell ref="P38:P44"/>
    <mergeCell ref="K39:L39"/>
    <mergeCell ref="K40:L40"/>
    <mergeCell ref="K41:L41"/>
    <mergeCell ref="K42:L42"/>
    <mergeCell ref="K43:L43"/>
    <mergeCell ref="K44:L44"/>
    <mergeCell ref="I24:I27"/>
    <mergeCell ref="B28:B36"/>
    <mergeCell ref="I28:I31"/>
    <mergeCell ref="K34:L34"/>
    <mergeCell ref="I35:I42"/>
    <mergeCell ref="K35:L35"/>
    <mergeCell ref="K36:L36"/>
    <mergeCell ref="B37:B51"/>
    <mergeCell ref="K37:L37"/>
    <mergeCell ref="I43:I46"/>
    <mergeCell ref="T15:U15"/>
    <mergeCell ref="I16:I19"/>
    <mergeCell ref="T16:U16"/>
    <mergeCell ref="B17:B20"/>
    <mergeCell ref="T17:U17"/>
    <mergeCell ref="T18:U18"/>
    <mergeCell ref="T19:U19"/>
    <mergeCell ref="I20:I23"/>
    <mergeCell ref="T20:U20"/>
    <mergeCell ref="B21:B24"/>
    <mergeCell ref="B8:B11"/>
    <mergeCell ref="T8:U8"/>
    <mergeCell ref="T9:U9"/>
    <mergeCell ref="T10:U10"/>
    <mergeCell ref="I11:I15"/>
    <mergeCell ref="T11:U11"/>
    <mergeCell ref="B12:B16"/>
    <mergeCell ref="T12:U12"/>
    <mergeCell ref="T14:U14"/>
    <mergeCell ref="I4:I5"/>
    <mergeCell ref="J4:J5"/>
    <mergeCell ref="M4:M5"/>
    <mergeCell ref="N4:N5"/>
    <mergeCell ref="T4:U4"/>
    <mergeCell ref="B5:B7"/>
    <mergeCell ref="T5:U5"/>
    <mergeCell ref="I6:I10"/>
    <mergeCell ref="T6:U6"/>
    <mergeCell ref="T7:U7"/>
    <mergeCell ref="T13:U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7"/>
  <sheetViews>
    <sheetView zoomScale="75" zoomScaleNormal="75" zoomScalePageLayoutView="0" workbookViewId="0" topLeftCell="A1">
      <pane xSplit="6" topLeftCell="K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425" customWidth="1"/>
    <col min="2" max="2" width="5.00390625" style="425" customWidth="1"/>
    <col min="3" max="3" width="22.50390625" style="425" bestFit="1" customWidth="1"/>
    <col min="4" max="4" width="30.00390625" style="425" bestFit="1" customWidth="1"/>
    <col min="5" max="6" width="6.00390625" style="425" bestFit="1" customWidth="1"/>
    <col min="7" max="7" width="17.625" style="425" customWidth="1"/>
    <col min="8" max="8" width="10.625" style="425" customWidth="1"/>
    <col min="9" max="9" width="17.625" style="425" customWidth="1"/>
    <col min="10" max="10" width="10.625" style="425" customWidth="1"/>
    <col min="11" max="11" width="15.125" style="441" bestFit="1" customWidth="1"/>
    <col min="12" max="12" width="17.625" style="425" customWidth="1"/>
    <col min="13" max="13" width="10.625" style="425" customWidth="1"/>
    <col min="14" max="14" width="17.625" style="425" customWidth="1"/>
    <col min="15" max="15" width="10.625" style="425" customWidth="1"/>
    <col min="16" max="16" width="19.75390625" style="425" bestFit="1" customWidth="1"/>
    <col min="17" max="17" width="3.50390625" style="425" customWidth="1"/>
    <col min="18" max="18" width="16.00390625" style="425" customWidth="1"/>
    <col min="19" max="19" width="13.75390625" style="425" customWidth="1"/>
    <col min="20" max="16384" width="9.00390625" style="425" customWidth="1"/>
  </cols>
  <sheetData>
    <row r="1" s="410" customFormat="1" ht="9.75" customHeight="1">
      <c r="K1" s="411"/>
    </row>
    <row r="2" spans="2:19" s="410" customFormat="1" ht="24.75" customHeight="1" thickBot="1">
      <c r="B2" s="412" t="s">
        <v>285</v>
      </c>
      <c r="C2" s="413"/>
      <c r="D2" s="413"/>
      <c r="E2" s="414"/>
      <c r="F2" s="1019"/>
      <c r="G2" s="1020"/>
      <c r="H2" s="416" t="s">
        <v>280</v>
      </c>
      <c r="I2" s="417" t="s">
        <v>282</v>
      </c>
      <c r="J2" s="122"/>
      <c r="K2" s="416" t="s">
        <v>281</v>
      </c>
      <c r="L2" s="417" t="s">
        <v>283</v>
      </c>
      <c r="M2" s="418"/>
      <c r="P2" s="415"/>
      <c r="R2" s="151" t="s">
        <v>394</v>
      </c>
      <c r="S2" s="151" t="s">
        <v>385</v>
      </c>
    </row>
    <row r="3" spans="2:26" s="410" customFormat="1" ht="13.5">
      <c r="B3" s="1021" t="s">
        <v>138</v>
      </c>
      <c r="C3" s="1014" t="s">
        <v>38</v>
      </c>
      <c r="D3" s="1023" t="s">
        <v>137</v>
      </c>
      <c r="E3" s="1025" t="s">
        <v>39</v>
      </c>
      <c r="F3" s="1026"/>
      <c r="G3" s="271" t="s">
        <v>40</v>
      </c>
      <c r="H3" s="273" t="s">
        <v>140</v>
      </c>
      <c r="I3" s="273" t="s">
        <v>139</v>
      </c>
      <c r="J3" s="1014" t="s">
        <v>99</v>
      </c>
      <c r="K3" s="419" t="s">
        <v>100</v>
      </c>
      <c r="L3" s="271" t="s">
        <v>41</v>
      </c>
      <c r="M3" s="273" t="s">
        <v>144</v>
      </c>
      <c r="N3" s="271" t="s">
        <v>42</v>
      </c>
      <c r="O3" s="271" t="s">
        <v>43</v>
      </c>
      <c r="P3" s="420" t="s">
        <v>44</v>
      </c>
      <c r="S3" s="421" t="s">
        <v>386</v>
      </c>
      <c r="T3" s="421" t="s">
        <v>387</v>
      </c>
      <c r="U3" s="421" t="s">
        <v>388</v>
      </c>
      <c r="V3" s="421" t="s">
        <v>389</v>
      </c>
      <c r="W3" s="421" t="s">
        <v>390</v>
      </c>
      <c r="X3" s="421" t="s">
        <v>391</v>
      </c>
      <c r="Y3" s="421" t="s">
        <v>392</v>
      </c>
      <c r="Z3" s="151" t="s">
        <v>393</v>
      </c>
    </row>
    <row r="4" spans="2:26" ht="13.5">
      <c r="B4" s="1022"/>
      <c r="C4" s="1015"/>
      <c r="D4" s="1024"/>
      <c r="E4" s="422" t="s">
        <v>101</v>
      </c>
      <c r="F4" s="422" t="s">
        <v>9</v>
      </c>
      <c r="G4" s="272" t="s">
        <v>142</v>
      </c>
      <c r="H4" s="272" t="s">
        <v>141</v>
      </c>
      <c r="I4" s="272" t="s">
        <v>148</v>
      </c>
      <c r="J4" s="1015"/>
      <c r="K4" s="423" t="s">
        <v>143</v>
      </c>
      <c r="L4" s="272" t="s">
        <v>149</v>
      </c>
      <c r="M4" s="272" t="s">
        <v>145</v>
      </c>
      <c r="N4" s="272" t="s">
        <v>150</v>
      </c>
      <c r="O4" s="272" t="s">
        <v>146</v>
      </c>
      <c r="P4" s="424" t="s">
        <v>151</v>
      </c>
      <c r="R4" s="425">
        <f>SUM(S4:Z4)</f>
        <v>30</v>
      </c>
      <c r="S4" s="425">
        <f>'１　対象経営の概要，２　前提条件'!AB26+'１　対象経営の概要，２　前提条件'!AM26+'１　対象経営の概要，２　前提条件'!AB28</f>
        <v>15</v>
      </c>
      <c r="T4" s="425">
        <f>'１　対象経営の概要，２　前提条件'!AB27+'１　対象経営の概要，２　前提条件'!AM27</f>
        <v>5</v>
      </c>
      <c r="U4" s="425">
        <f>'１　対象経営の概要，２　前提条件'!AM28</f>
        <v>9</v>
      </c>
      <c r="V4" s="425">
        <f>'１　対象経営の概要，２　前提条件'!AM29+'１　対象経営の概要，２　前提条件'!AB30</f>
        <v>0</v>
      </c>
      <c r="W4" s="425">
        <f>'１　対象経営の概要，２　前提条件'!AM30</f>
        <v>0</v>
      </c>
      <c r="X4" s="425">
        <f>'１　対象経営の概要，２　前提条件'!F17</f>
        <v>1</v>
      </c>
      <c r="Y4" s="425">
        <f>'１　対象経営の概要，２　前提条件'!F18</f>
        <v>0</v>
      </c>
      <c r="Z4" s="425">
        <f>'１　対象経営の概要，２　前提条件'!F19</f>
        <v>0</v>
      </c>
    </row>
    <row r="5" spans="2:16" ht="13.5">
      <c r="B5" s="1016" t="s">
        <v>212</v>
      </c>
      <c r="C5" s="426" t="s">
        <v>335</v>
      </c>
      <c r="D5" s="283" t="s">
        <v>104</v>
      </c>
      <c r="E5" s="283">
        <v>100</v>
      </c>
      <c r="F5" s="283" t="s">
        <v>105</v>
      </c>
      <c r="G5" s="283">
        <f>59400*E5</f>
        <v>5940000</v>
      </c>
      <c r="H5" s="286">
        <v>0</v>
      </c>
      <c r="I5" s="283">
        <f>G5*(1-H5)</f>
        <v>5940000</v>
      </c>
      <c r="J5" s="287">
        <f>SUM('１　対象経営の概要，２　前提条件'!$F$13:$F$16)</f>
        <v>29</v>
      </c>
      <c r="K5" s="284">
        <f>30/30/30</f>
        <v>0.03333333333333333</v>
      </c>
      <c r="L5" s="6">
        <f>I5*K5</f>
        <v>198000</v>
      </c>
      <c r="M5" s="11">
        <v>0</v>
      </c>
      <c r="N5" s="6">
        <f>L5*M5/100</f>
        <v>0</v>
      </c>
      <c r="O5" s="6">
        <v>25</v>
      </c>
      <c r="P5" s="288">
        <f>IF(O5="","",(L5-N5)/O5)</f>
        <v>7920</v>
      </c>
    </row>
    <row r="6" spans="2:16" ht="13.5">
      <c r="B6" s="1017"/>
      <c r="C6" s="283" t="s">
        <v>334</v>
      </c>
      <c r="D6" s="283" t="s">
        <v>104</v>
      </c>
      <c r="E6" s="283">
        <v>180</v>
      </c>
      <c r="F6" s="283" t="s">
        <v>105</v>
      </c>
      <c r="G6" s="283">
        <f>59400*E6</f>
        <v>10692000</v>
      </c>
      <c r="H6" s="286">
        <v>0</v>
      </c>
      <c r="I6" s="283">
        <f>G6*(1-H6)</f>
        <v>10692000</v>
      </c>
      <c r="J6" s="287">
        <f>SUM('１　対象経営の概要，２　前提条件'!$F$13:$F$16)</f>
        <v>29</v>
      </c>
      <c r="K6" s="284">
        <f>29/29/29</f>
        <v>0.034482758620689655</v>
      </c>
      <c r="L6" s="6">
        <f>I6*K6</f>
        <v>368689.6551724138</v>
      </c>
      <c r="M6" s="11">
        <v>0</v>
      </c>
      <c r="N6" s="6">
        <f>L6*M6/100</f>
        <v>0</v>
      </c>
      <c r="O6" s="6">
        <v>25</v>
      </c>
      <c r="P6" s="288">
        <f>IF(O6="","",(L6-N6)/O6)</f>
        <v>14747.586206896553</v>
      </c>
    </row>
    <row r="7" spans="2:16" ht="13.5">
      <c r="B7" s="1017"/>
      <c r="C7" s="426" t="s">
        <v>299</v>
      </c>
      <c r="D7" s="283" t="s">
        <v>47</v>
      </c>
      <c r="E7" s="427">
        <v>1770</v>
      </c>
      <c r="F7" s="428" t="s">
        <v>105</v>
      </c>
      <c r="G7" s="283">
        <f>2430*E7</f>
        <v>4301100</v>
      </c>
      <c r="H7" s="286">
        <v>0</v>
      </c>
      <c r="I7" s="283">
        <f>G7*(1-H7)</f>
        <v>4301100</v>
      </c>
      <c r="J7" s="287">
        <f>SUM('１　対象経営の概要，２　前提条件'!$F$13:$F$16)</f>
        <v>29</v>
      </c>
      <c r="K7" s="284">
        <f>29/29/29</f>
        <v>0.034482758620689655</v>
      </c>
      <c r="L7" s="6">
        <f>I7*K7</f>
        <v>148313.79310344826</v>
      </c>
      <c r="M7" s="11">
        <v>0</v>
      </c>
      <c r="N7" s="6">
        <f>L7*M7/100</f>
        <v>0</v>
      </c>
      <c r="O7" s="6">
        <v>10</v>
      </c>
      <c r="P7" s="288">
        <f>IF(O7="","",(L7-N7)/O7)</f>
        <v>14831.379310344826</v>
      </c>
    </row>
    <row r="8" spans="2:16" ht="13.5">
      <c r="B8" s="1017"/>
      <c r="C8" s="283"/>
      <c r="D8" s="283"/>
      <c r="E8" s="427"/>
      <c r="F8" s="428"/>
      <c r="G8" s="283"/>
      <c r="H8" s="286"/>
      <c r="I8" s="283"/>
      <c r="J8" s="283"/>
      <c r="K8" s="284"/>
      <c r="L8" s="6"/>
      <c r="M8" s="11"/>
      <c r="N8" s="6"/>
      <c r="O8" s="6"/>
      <c r="P8" s="288"/>
    </row>
    <row r="9" spans="2:16" ht="13.5">
      <c r="B9" s="1017"/>
      <c r="C9" s="426"/>
      <c r="D9" s="283"/>
      <c r="E9" s="427"/>
      <c r="F9" s="428"/>
      <c r="G9" s="283"/>
      <c r="H9" s="286"/>
      <c r="I9" s="283"/>
      <c r="J9" s="426"/>
      <c r="K9" s="284"/>
      <c r="L9" s="6"/>
      <c r="M9" s="11"/>
      <c r="N9" s="6"/>
      <c r="O9" s="6"/>
      <c r="P9" s="288"/>
    </row>
    <row r="10" spans="2:16" ht="13.5">
      <c r="B10" s="1017"/>
      <c r="C10" s="283"/>
      <c r="D10" s="283"/>
      <c r="E10" s="283"/>
      <c r="F10" s="429"/>
      <c r="G10" s="283"/>
      <c r="H10" s="286"/>
      <c r="I10" s="283"/>
      <c r="J10" s="283"/>
      <c r="K10" s="284"/>
      <c r="L10" s="6"/>
      <c r="M10" s="11"/>
      <c r="N10" s="6"/>
      <c r="O10" s="6"/>
      <c r="P10" s="288"/>
    </row>
    <row r="11" spans="2:16" ht="13.5">
      <c r="B11" s="1017"/>
      <c r="C11" s="283"/>
      <c r="D11" s="283"/>
      <c r="E11" s="283"/>
      <c r="F11" s="283"/>
      <c r="G11" s="283"/>
      <c r="H11" s="286"/>
      <c r="I11" s="283"/>
      <c r="J11" s="283"/>
      <c r="K11" s="284"/>
      <c r="L11" s="6"/>
      <c r="M11" s="11"/>
      <c r="N11" s="6"/>
      <c r="O11" s="6"/>
      <c r="P11" s="288"/>
    </row>
    <row r="12" spans="2:16" ht="13.5">
      <c r="B12" s="1017"/>
      <c r="C12" s="283"/>
      <c r="D12" s="283"/>
      <c r="E12" s="283"/>
      <c r="F12" s="429"/>
      <c r="G12" s="283"/>
      <c r="H12" s="286"/>
      <c r="I12" s="283"/>
      <c r="J12" s="429"/>
      <c r="K12" s="284"/>
      <c r="L12" s="6"/>
      <c r="M12" s="11"/>
      <c r="N12" s="6"/>
      <c r="O12" s="6"/>
      <c r="P12" s="288"/>
    </row>
    <row r="13" spans="2:16" ht="13.5">
      <c r="B13" s="1017"/>
      <c r="C13" s="6"/>
      <c r="D13" s="6"/>
      <c r="E13" s="6"/>
      <c r="F13" s="6"/>
      <c r="G13" s="6"/>
      <c r="H13" s="11"/>
      <c r="I13" s="6"/>
      <c r="J13" s="6"/>
      <c r="K13" s="285"/>
      <c r="L13" s="6"/>
      <c r="M13" s="11"/>
      <c r="N13" s="6"/>
      <c r="O13" s="6"/>
      <c r="P13" s="288"/>
    </row>
    <row r="14" spans="2:16" ht="13.5">
      <c r="B14" s="1017"/>
      <c r="C14" s="6"/>
      <c r="D14" s="6"/>
      <c r="E14" s="6"/>
      <c r="F14" s="6"/>
      <c r="G14" s="6"/>
      <c r="H14" s="11"/>
      <c r="I14" s="6"/>
      <c r="J14" s="6"/>
      <c r="K14" s="285"/>
      <c r="L14" s="6"/>
      <c r="M14" s="11"/>
      <c r="N14" s="6"/>
      <c r="O14" s="6"/>
      <c r="P14" s="288"/>
    </row>
    <row r="15" spans="2:18" ht="13.5">
      <c r="B15" s="1018"/>
      <c r="C15" s="430" t="s">
        <v>45</v>
      </c>
      <c r="D15" s="6"/>
      <c r="E15" s="6"/>
      <c r="F15" s="431"/>
      <c r="G15" s="6">
        <f>SUM(G5:G14)</f>
        <v>20933100</v>
      </c>
      <c r="H15" s="6"/>
      <c r="I15" s="6">
        <f>SUM(I5:I14)</f>
        <v>20933100</v>
      </c>
      <c r="J15" s="6"/>
      <c r="K15" s="432"/>
      <c r="L15" s="6">
        <f>SUM(L5:L14)</f>
        <v>715003.448275862</v>
      </c>
      <c r="M15" s="6"/>
      <c r="N15" s="6"/>
      <c r="O15" s="6"/>
      <c r="P15" s="288">
        <f>SUM(P5:P14)</f>
        <v>37498.96551724138</v>
      </c>
      <c r="R15" s="6"/>
    </row>
    <row r="16" spans="2:16" ht="13.5">
      <c r="B16" s="1016" t="s">
        <v>213</v>
      </c>
      <c r="C16" s="283" t="s">
        <v>54</v>
      </c>
      <c r="D16" s="426" t="s">
        <v>353</v>
      </c>
      <c r="E16" s="283">
        <v>1</v>
      </c>
      <c r="F16" s="283" t="s">
        <v>103</v>
      </c>
      <c r="G16" s="283">
        <f>5302000*1.08</f>
        <v>5726160</v>
      </c>
      <c r="H16" s="286">
        <v>0.5</v>
      </c>
      <c r="I16" s="283">
        <f aca="true" t="shared" si="0" ref="I16:I23">G16*(1-H16)</f>
        <v>2863080</v>
      </c>
      <c r="J16" s="287">
        <f>SUM('１　対象経営の概要，２　前提条件'!$F$13:$F$16)</f>
        <v>29</v>
      </c>
      <c r="K16" s="284">
        <f>29/29/29</f>
        <v>0.034482758620689655</v>
      </c>
      <c r="L16" s="283">
        <f>I16*K16</f>
        <v>98726.89655172413</v>
      </c>
      <c r="M16" s="11">
        <v>0</v>
      </c>
      <c r="N16" s="6">
        <f>L16*M16</f>
        <v>0</v>
      </c>
      <c r="O16" s="6">
        <v>7</v>
      </c>
      <c r="P16" s="288">
        <f aca="true" t="shared" si="1" ref="P16:P36">IF(O16="","",(L16-N16)/O16)</f>
        <v>14103.842364532018</v>
      </c>
    </row>
    <row r="17" spans="2:16" ht="13.5">
      <c r="B17" s="1017"/>
      <c r="C17" s="426" t="s">
        <v>307</v>
      </c>
      <c r="D17" s="426" t="s">
        <v>354</v>
      </c>
      <c r="E17" s="283">
        <v>1</v>
      </c>
      <c r="F17" s="426" t="s">
        <v>300</v>
      </c>
      <c r="G17" s="283">
        <f>4284000*1.08</f>
        <v>4626720</v>
      </c>
      <c r="H17" s="286">
        <v>0.5</v>
      </c>
      <c r="I17" s="283">
        <f t="shared" si="0"/>
        <v>2313360</v>
      </c>
      <c r="J17" s="287">
        <f>SUM('１　対象経営の概要，２　前提条件'!$F$13:$F$16)</f>
        <v>29</v>
      </c>
      <c r="K17" s="284">
        <f>30/30/30</f>
        <v>0.03333333333333333</v>
      </c>
      <c r="L17" s="283">
        <f aca="true" t="shared" si="2" ref="L17:L36">I17*K17</f>
        <v>77112</v>
      </c>
      <c r="M17" s="11">
        <v>0</v>
      </c>
      <c r="N17" s="6">
        <f aca="true" t="shared" si="3" ref="N17:N36">L17*M17</f>
        <v>0</v>
      </c>
      <c r="O17" s="6">
        <v>7</v>
      </c>
      <c r="P17" s="288">
        <f t="shared" si="1"/>
        <v>11016</v>
      </c>
    </row>
    <row r="18" spans="2:16" ht="13.5">
      <c r="B18" s="1017"/>
      <c r="C18" s="283" t="s">
        <v>55</v>
      </c>
      <c r="D18" s="426" t="s">
        <v>302</v>
      </c>
      <c r="E18" s="283">
        <v>1</v>
      </c>
      <c r="F18" s="283" t="s">
        <v>103</v>
      </c>
      <c r="G18" s="283">
        <f>715000*1.08</f>
        <v>772200</v>
      </c>
      <c r="H18" s="286">
        <v>0.5</v>
      </c>
      <c r="I18" s="283">
        <f t="shared" si="0"/>
        <v>386100</v>
      </c>
      <c r="J18" s="287">
        <f>SUM('１　対象経営の概要，２　前提条件'!$F$13:$F$16)</f>
        <v>29</v>
      </c>
      <c r="K18" s="284">
        <f aca="true" t="shared" si="4" ref="K18:K24">29/29/29</f>
        <v>0.034482758620689655</v>
      </c>
      <c r="L18" s="283">
        <f t="shared" si="2"/>
        <v>13313.793103448275</v>
      </c>
      <c r="M18" s="11">
        <v>0</v>
      </c>
      <c r="N18" s="6">
        <f t="shared" si="3"/>
        <v>0</v>
      </c>
      <c r="O18" s="6">
        <v>7</v>
      </c>
      <c r="P18" s="288">
        <f t="shared" si="1"/>
        <v>1901.9704433497536</v>
      </c>
    </row>
    <row r="19" spans="2:16" ht="13.5">
      <c r="B19" s="1017"/>
      <c r="C19" s="433" t="s">
        <v>55</v>
      </c>
      <c r="D19" s="382" t="s">
        <v>303</v>
      </c>
      <c r="E19" s="433">
        <v>1</v>
      </c>
      <c r="F19" s="283" t="s">
        <v>103</v>
      </c>
      <c r="G19" s="283">
        <f>540000*1.08</f>
        <v>583200</v>
      </c>
      <c r="H19" s="286">
        <v>0.5</v>
      </c>
      <c r="I19" s="283">
        <f t="shared" si="0"/>
        <v>291600</v>
      </c>
      <c r="J19" s="287">
        <f>SUM('１　対象経営の概要，２　前提条件'!$F$13:$F$16)</f>
        <v>29</v>
      </c>
      <c r="K19" s="284">
        <f t="shared" si="4"/>
        <v>0.034482758620689655</v>
      </c>
      <c r="L19" s="283">
        <f t="shared" si="2"/>
        <v>10055.172413793103</v>
      </c>
      <c r="M19" s="11">
        <v>0</v>
      </c>
      <c r="N19" s="6">
        <f t="shared" si="3"/>
        <v>0</v>
      </c>
      <c r="O19" s="6">
        <v>7</v>
      </c>
      <c r="P19" s="288">
        <f t="shared" si="1"/>
        <v>1436.4532019704434</v>
      </c>
    </row>
    <row r="20" spans="2:16" ht="13.5">
      <c r="B20" s="1017"/>
      <c r="C20" s="426" t="s">
        <v>301</v>
      </c>
      <c r="D20" s="429" t="s">
        <v>452</v>
      </c>
      <c r="E20" s="283">
        <v>1</v>
      </c>
      <c r="F20" s="283" t="s">
        <v>103</v>
      </c>
      <c r="G20" s="283">
        <v>4158000</v>
      </c>
      <c r="H20" s="286">
        <v>0.5</v>
      </c>
      <c r="I20" s="283">
        <f t="shared" si="0"/>
        <v>2079000</v>
      </c>
      <c r="J20" s="287">
        <f>SUM('１　対象経営の概要，２　前提条件'!$F$13:$F$16)</f>
        <v>29</v>
      </c>
      <c r="K20" s="284">
        <f t="shared" si="4"/>
        <v>0.034482758620689655</v>
      </c>
      <c r="L20" s="283">
        <f>I20*K20</f>
        <v>71689.6551724138</v>
      </c>
      <c r="M20" s="11">
        <v>0</v>
      </c>
      <c r="N20" s="6">
        <f>L20*M20</f>
        <v>0</v>
      </c>
      <c r="O20" s="6">
        <v>7</v>
      </c>
      <c r="P20" s="288">
        <f>IF(O20="","",(L20-N20)/O20)</f>
        <v>10241.379310344828</v>
      </c>
    </row>
    <row r="21" spans="2:16" ht="13.5">
      <c r="B21" s="1017"/>
      <c r="C21" s="283" t="s">
        <v>56</v>
      </c>
      <c r="D21" s="426" t="s">
        <v>398</v>
      </c>
      <c r="E21" s="283">
        <v>1</v>
      </c>
      <c r="F21" s="426" t="s">
        <v>308</v>
      </c>
      <c r="G21" s="283">
        <f>6800000*1.08</f>
        <v>7344000.000000001</v>
      </c>
      <c r="H21" s="286">
        <v>0.5</v>
      </c>
      <c r="I21" s="283">
        <f t="shared" si="0"/>
        <v>3672000.0000000005</v>
      </c>
      <c r="J21" s="287">
        <f>SUM('１　対象経営の概要，２　前提条件'!$F$13:$F$15)</f>
        <v>29</v>
      </c>
      <c r="K21" s="284">
        <f t="shared" si="4"/>
        <v>0.034482758620689655</v>
      </c>
      <c r="L21" s="283">
        <f>I21*K21</f>
        <v>126620.68965517243</v>
      </c>
      <c r="M21" s="11">
        <v>0</v>
      </c>
      <c r="N21" s="6">
        <f>L21*M21</f>
        <v>0</v>
      </c>
      <c r="O21" s="6">
        <v>7</v>
      </c>
      <c r="P21" s="288">
        <f>IF(O21="","",(L21-N21)/O21)</f>
        <v>18088.66995073892</v>
      </c>
    </row>
    <row r="22" spans="2:16" ht="13.5">
      <c r="B22" s="1017"/>
      <c r="C22" s="283" t="s">
        <v>56</v>
      </c>
      <c r="D22" s="426" t="s">
        <v>398</v>
      </c>
      <c r="E22" s="283">
        <v>1</v>
      </c>
      <c r="F22" s="426" t="s">
        <v>308</v>
      </c>
      <c r="G22" s="283">
        <f>6800000*1.08</f>
        <v>7344000.000000001</v>
      </c>
      <c r="H22" s="286">
        <v>0.5</v>
      </c>
      <c r="I22" s="283">
        <f t="shared" si="0"/>
        <v>3672000.0000000005</v>
      </c>
      <c r="J22" s="287">
        <f>SUM('１　対象経営の概要，２　前提条件'!$F$13:$F$15)</f>
        <v>29</v>
      </c>
      <c r="K22" s="284">
        <f t="shared" si="4"/>
        <v>0.034482758620689655</v>
      </c>
      <c r="L22" s="283">
        <f>I22*K22</f>
        <v>126620.68965517243</v>
      </c>
      <c r="M22" s="11">
        <v>0</v>
      </c>
      <c r="N22" s="6">
        <f>L22*M22</f>
        <v>0</v>
      </c>
      <c r="O22" s="6">
        <v>7</v>
      </c>
      <c r="P22" s="288">
        <f>IF(O22="","",(L22-N22)/O22)</f>
        <v>18088.66995073892</v>
      </c>
    </row>
    <row r="23" spans="2:16" ht="13.5">
      <c r="B23" s="1017"/>
      <c r="C23" s="426" t="s">
        <v>309</v>
      </c>
      <c r="D23" s="426" t="s">
        <v>317</v>
      </c>
      <c r="E23" s="283">
        <v>1</v>
      </c>
      <c r="F23" s="426" t="s">
        <v>103</v>
      </c>
      <c r="G23" s="283">
        <f>3500000*1.08</f>
        <v>3780000.0000000005</v>
      </c>
      <c r="H23" s="286">
        <v>0</v>
      </c>
      <c r="I23" s="283">
        <f t="shared" si="0"/>
        <v>3780000.0000000005</v>
      </c>
      <c r="J23" s="287">
        <f>SUM('１　対象経営の概要，２　前提条件'!$F$13:$F$16)</f>
        <v>29</v>
      </c>
      <c r="K23" s="284">
        <f t="shared" si="4"/>
        <v>0.034482758620689655</v>
      </c>
      <c r="L23" s="283">
        <f>I23*K23</f>
        <v>130344.82758620691</v>
      </c>
      <c r="M23" s="11">
        <v>0</v>
      </c>
      <c r="N23" s="6">
        <f>L23*M23</f>
        <v>0</v>
      </c>
      <c r="O23" s="6">
        <v>7</v>
      </c>
      <c r="P23" s="288">
        <f>IF(O23="","",(L23-N23)/O23)</f>
        <v>18620.689655172417</v>
      </c>
    </row>
    <row r="24" spans="2:16" ht="13.5">
      <c r="B24" s="1017"/>
      <c r="C24" s="426" t="s">
        <v>416</v>
      </c>
      <c r="D24" s="283"/>
      <c r="E24" s="283">
        <v>1</v>
      </c>
      <c r="F24" s="426" t="s">
        <v>103</v>
      </c>
      <c r="G24" s="283">
        <f>315000*1.08</f>
        <v>340200</v>
      </c>
      <c r="H24" s="286">
        <v>0</v>
      </c>
      <c r="I24" s="283">
        <f>G24*(1-H24)</f>
        <v>340200</v>
      </c>
      <c r="J24" s="287">
        <f>SUM('１　対象経営の概要，２　前提条件'!$F$13:$F$16)</f>
        <v>29</v>
      </c>
      <c r="K24" s="284">
        <f t="shared" si="4"/>
        <v>0.034482758620689655</v>
      </c>
      <c r="L24" s="283">
        <f t="shared" si="2"/>
        <v>11731.034482758621</v>
      </c>
      <c r="M24" s="11">
        <v>0</v>
      </c>
      <c r="N24" s="6">
        <f t="shared" si="3"/>
        <v>0</v>
      </c>
      <c r="O24" s="6">
        <v>7</v>
      </c>
      <c r="P24" s="288">
        <f t="shared" si="1"/>
        <v>1675.8620689655174</v>
      </c>
    </row>
    <row r="25" spans="2:16" ht="13.5">
      <c r="B25" s="1017"/>
      <c r="C25" s="426"/>
      <c r="D25" s="283"/>
      <c r="E25" s="283"/>
      <c r="F25" s="283"/>
      <c r="G25" s="283"/>
      <c r="H25" s="286"/>
      <c r="I25" s="283"/>
      <c r="J25" s="287"/>
      <c r="K25" s="284"/>
      <c r="L25" s="283"/>
      <c r="M25" s="11"/>
      <c r="N25" s="6"/>
      <c r="O25" s="6"/>
      <c r="P25" s="288"/>
    </row>
    <row r="26" spans="2:16" ht="13.5">
      <c r="B26" s="1017"/>
      <c r="C26" s="426" t="s">
        <v>311</v>
      </c>
      <c r="D26" s="426" t="s">
        <v>408</v>
      </c>
      <c r="E26" s="283">
        <v>1</v>
      </c>
      <c r="F26" s="426" t="s">
        <v>103</v>
      </c>
      <c r="G26" s="283">
        <f>273000*1.08</f>
        <v>294840</v>
      </c>
      <c r="H26" s="286">
        <v>0</v>
      </c>
      <c r="I26" s="283">
        <f>G26*(1-H26)</f>
        <v>294840</v>
      </c>
      <c r="J26" s="287">
        <f>SUM('１　対象経営の概要，２　前提条件'!$F$13:$F$16)</f>
        <v>29</v>
      </c>
      <c r="K26" s="284">
        <f>29/29/29</f>
        <v>0.034482758620689655</v>
      </c>
      <c r="L26" s="283">
        <f t="shared" si="2"/>
        <v>10166.896551724138</v>
      </c>
      <c r="M26" s="11">
        <v>0</v>
      </c>
      <c r="N26" s="6">
        <f>L26*M26</f>
        <v>0</v>
      </c>
      <c r="O26" s="6">
        <v>7</v>
      </c>
      <c r="P26" s="288">
        <f>IF(O26="","",(L26-N26)/O26)</f>
        <v>1452.4137931034481</v>
      </c>
    </row>
    <row r="27" spans="2:16" ht="13.5">
      <c r="B27" s="1017"/>
      <c r="C27" s="426" t="s">
        <v>312</v>
      </c>
      <c r="D27" s="426"/>
      <c r="E27" s="283">
        <v>1</v>
      </c>
      <c r="F27" s="426" t="s">
        <v>103</v>
      </c>
      <c r="G27" s="283">
        <f>521000*1.08</f>
        <v>562680</v>
      </c>
      <c r="H27" s="286">
        <v>0</v>
      </c>
      <c r="I27" s="283">
        <f>G27*(1-H27)</f>
        <v>562680</v>
      </c>
      <c r="J27" s="287">
        <f>SUM('１　対象経営の概要，２　前提条件'!$F$13:$F$16)</f>
        <v>29</v>
      </c>
      <c r="K27" s="284">
        <f>29/29/29</f>
        <v>0.034482758620689655</v>
      </c>
      <c r="L27" s="283">
        <f t="shared" si="2"/>
        <v>19402.758620689656</v>
      </c>
      <c r="M27" s="11">
        <v>0</v>
      </c>
      <c r="N27" s="6">
        <f>L27*M27</f>
        <v>0</v>
      </c>
      <c r="O27" s="6">
        <v>7</v>
      </c>
      <c r="P27" s="288">
        <f>IF(O27="","",(L27-N27)/O27)</f>
        <v>2771.822660098522</v>
      </c>
    </row>
    <row r="28" spans="2:16" ht="13.5">
      <c r="B28" s="1017"/>
      <c r="C28" s="426" t="s">
        <v>313</v>
      </c>
      <c r="D28" s="426" t="s">
        <v>409</v>
      </c>
      <c r="E28" s="283">
        <v>1</v>
      </c>
      <c r="F28" s="426" t="s">
        <v>103</v>
      </c>
      <c r="G28" s="283">
        <f>583000*1.08</f>
        <v>629640</v>
      </c>
      <c r="H28" s="286">
        <v>0</v>
      </c>
      <c r="I28" s="283">
        <f>G28*(1-H28)</f>
        <v>629640</v>
      </c>
      <c r="J28" s="287">
        <f>SUM('１　対象経営の概要，２　前提条件'!$F$13:$F$16)</f>
        <v>29</v>
      </c>
      <c r="K28" s="284">
        <f>29/29/29</f>
        <v>0.034482758620689655</v>
      </c>
      <c r="L28" s="283">
        <f t="shared" si="2"/>
        <v>21711.724137931033</v>
      </c>
      <c r="M28" s="11">
        <v>0</v>
      </c>
      <c r="N28" s="6">
        <f>L28*M28</f>
        <v>0</v>
      </c>
      <c r="O28" s="6">
        <v>7</v>
      </c>
      <c r="P28" s="288">
        <f>IF(O28="","",(L28-N28)/O28)</f>
        <v>3101.6748768472903</v>
      </c>
    </row>
    <row r="29" spans="2:16" ht="13.5">
      <c r="B29" s="1017"/>
      <c r="C29" s="426" t="s">
        <v>314</v>
      </c>
      <c r="D29" s="283"/>
      <c r="E29" s="283">
        <v>1</v>
      </c>
      <c r="F29" s="426" t="s">
        <v>103</v>
      </c>
      <c r="G29" s="283">
        <f>207900*1.08</f>
        <v>224532.00000000003</v>
      </c>
      <c r="H29" s="286">
        <v>0</v>
      </c>
      <c r="I29" s="283">
        <f>G29*(1-H29)</f>
        <v>224532.00000000003</v>
      </c>
      <c r="J29" s="287">
        <f>SUM('１　対象経営の概要，２　前提条件'!$F$13:$F$16)</f>
        <v>29</v>
      </c>
      <c r="K29" s="284">
        <f>29/29/29</f>
        <v>0.034482758620689655</v>
      </c>
      <c r="L29" s="283">
        <f t="shared" si="2"/>
        <v>7742.48275862069</v>
      </c>
      <c r="M29" s="11">
        <v>0</v>
      </c>
      <c r="N29" s="6">
        <f t="shared" si="3"/>
        <v>0</v>
      </c>
      <c r="O29" s="6">
        <v>7</v>
      </c>
      <c r="P29" s="288">
        <f t="shared" si="1"/>
        <v>1106.0689655172414</v>
      </c>
    </row>
    <row r="30" spans="2:16" ht="13.5">
      <c r="B30" s="1017"/>
      <c r="C30" s="426"/>
      <c r="D30" s="283"/>
      <c r="E30" s="283"/>
      <c r="F30" s="426"/>
      <c r="G30" s="283"/>
      <c r="H30" s="286"/>
      <c r="I30" s="283"/>
      <c r="J30" s="287"/>
      <c r="K30" s="284"/>
      <c r="L30" s="283"/>
      <c r="M30" s="11"/>
      <c r="N30" s="6"/>
      <c r="O30" s="6"/>
      <c r="P30" s="288"/>
    </row>
    <row r="31" spans="2:16" ht="13.5">
      <c r="B31" s="1017"/>
      <c r="C31" s="426" t="s">
        <v>414</v>
      </c>
      <c r="D31" s="426" t="s">
        <v>397</v>
      </c>
      <c r="E31" s="283">
        <v>1</v>
      </c>
      <c r="F31" s="426" t="s">
        <v>413</v>
      </c>
      <c r="G31" s="283">
        <v>17000000</v>
      </c>
      <c r="H31" s="286">
        <v>0</v>
      </c>
      <c r="I31" s="283">
        <f>G31*(1-H31)</f>
        <v>17000000</v>
      </c>
      <c r="J31" s="287">
        <f>SUM('１　対象経営の概要，２　前提条件'!$F$13:$F$15)</f>
        <v>29</v>
      </c>
      <c r="K31" s="284">
        <f>'１　対象経営の概要，２　前提条件'!$N$7/'１　対象経営の概要，２　前提条件'!$N$7/'１　対象経営の概要，２　前提条件'!$N$7</f>
        <v>0.034482758620689655</v>
      </c>
      <c r="L31" s="283">
        <f t="shared" si="2"/>
        <v>586206.8965517242</v>
      </c>
      <c r="M31" s="11">
        <v>0</v>
      </c>
      <c r="N31" s="6">
        <f t="shared" si="3"/>
        <v>0</v>
      </c>
      <c r="O31" s="6">
        <v>7</v>
      </c>
      <c r="P31" s="288">
        <f t="shared" si="1"/>
        <v>83743.84236453203</v>
      </c>
    </row>
    <row r="32" spans="2:16" ht="13.5">
      <c r="B32" s="1017"/>
      <c r="C32" s="426"/>
      <c r="D32" s="426"/>
      <c r="E32" s="283"/>
      <c r="F32" s="426"/>
      <c r="G32" s="283"/>
      <c r="H32" s="286"/>
      <c r="I32" s="283"/>
      <c r="J32" s="287"/>
      <c r="K32" s="284"/>
      <c r="L32" s="283"/>
      <c r="M32" s="11"/>
      <c r="N32" s="6"/>
      <c r="O32" s="6"/>
      <c r="P32" s="288"/>
    </row>
    <row r="33" spans="2:16" ht="13.5">
      <c r="B33" s="1017"/>
      <c r="C33" s="426" t="s">
        <v>410</v>
      </c>
      <c r="D33" s="283"/>
      <c r="E33" s="283">
        <v>1</v>
      </c>
      <c r="F33" s="426" t="s">
        <v>103</v>
      </c>
      <c r="G33" s="283">
        <f>268000*1.08</f>
        <v>289440</v>
      </c>
      <c r="H33" s="286">
        <v>0</v>
      </c>
      <c r="I33" s="283">
        <f>G33*(1-H33)</f>
        <v>289440</v>
      </c>
      <c r="J33" s="287">
        <f>SUM('１　対象経営の概要，２　前提条件'!$F$13:$F$16)</f>
        <v>29</v>
      </c>
      <c r="K33" s="284">
        <f>29/29/29</f>
        <v>0.034482758620689655</v>
      </c>
      <c r="L33" s="283">
        <f t="shared" si="2"/>
        <v>9980.689655172413</v>
      </c>
      <c r="M33" s="11">
        <v>0</v>
      </c>
      <c r="N33" s="6">
        <f t="shared" si="3"/>
        <v>0</v>
      </c>
      <c r="O33" s="6">
        <v>7</v>
      </c>
      <c r="P33" s="288">
        <f t="shared" si="1"/>
        <v>1425.8128078817733</v>
      </c>
    </row>
    <row r="34" spans="2:16" ht="13.5">
      <c r="B34" s="1017"/>
      <c r="C34" s="426" t="s">
        <v>333</v>
      </c>
      <c r="D34" s="283"/>
      <c r="E34" s="283">
        <v>1</v>
      </c>
      <c r="F34" s="426" t="s">
        <v>103</v>
      </c>
      <c r="G34" s="283">
        <f>3272000</f>
        <v>3272000</v>
      </c>
      <c r="H34" s="286">
        <v>0</v>
      </c>
      <c r="I34" s="283">
        <f>G34*(1-H34)</f>
        <v>3272000</v>
      </c>
      <c r="J34" s="287">
        <f>SUM('１　対象経営の概要，２　前提条件'!$F$13:$F$16)</f>
        <v>29</v>
      </c>
      <c r="K34" s="284">
        <f>29/29/29</f>
        <v>0.034482758620689655</v>
      </c>
      <c r="L34" s="283">
        <f t="shared" si="2"/>
        <v>112827.58620689655</v>
      </c>
      <c r="M34" s="11">
        <v>0</v>
      </c>
      <c r="N34" s="6">
        <f t="shared" si="3"/>
        <v>0</v>
      </c>
      <c r="O34" s="6">
        <v>7</v>
      </c>
      <c r="P34" s="288">
        <f t="shared" si="1"/>
        <v>16118.226600985221</v>
      </c>
    </row>
    <row r="35" spans="2:16" ht="13.5">
      <c r="B35" s="1017"/>
      <c r="C35" s="426" t="s">
        <v>277</v>
      </c>
      <c r="D35" s="426" t="s">
        <v>461</v>
      </c>
      <c r="E35" s="283">
        <v>1</v>
      </c>
      <c r="F35" s="426" t="s">
        <v>103</v>
      </c>
      <c r="G35" s="283">
        <v>1500000</v>
      </c>
      <c r="H35" s="286">
        <v>0</v>
      </c>
      <c r="I35" s="283">
        <f>G35*(1-H35)</f>
        <v>1500000</v>
      </c>
      <c r="J35" s="287">
        <f>SUM('１　対象経営の概要，２　前提条件'!$F$13:$F$16)</f>
        <v>29</v>
      </c>
      <c r="K35" s="284">
        <f>29/29/29</f>
        <v>0.034482758620689655</v>
      </c>
      <c r="L35" s="283">
        <f t="shared" si="2"/>
        <v>51724.137931034486</v>
      </c>
      <c r="M35" s="11">
        <v>0</v>
      </c>
      <c r="N35" s="6">
        <f t="shared" si="3"/>
        <v>0</v>
      </c>
      <c r="O35" s="6">
        <v>4</v>
      </c>
      <c r="P35" s="288">
        <f t="shared" si="1"/>
        <v>12931.034482758621</v>
      </c>
    </row>
    <row r="36" spans="2:16" ht="13.5">
      <c r="B36" s="1017"/>
      <c r="C36" s="426" t="s">
        <v>261</v>
      </c>
      <c r="D36" s="429"/>
      <c r="E36" s="283">
        <v>1</v>
      </c>
      <c r="F36" s="426" t="s">
        <v>103</v>
      </c>
      <c r="G36" s="283">
        <v>920000</v>
      </c>
      <c r="H36" s="286">
        <v>0</v>
      </c>
      <c r="I36" s="283">
        <f>G36*(1-H36)</f>
        <v>920000</v>
      </c>
      <c r="J36" s="287">
        <f>SUM('１　対象経営の概要，２　前提条件'!$F$13:$F$16)</f>
        <v>29</v>
      </c>
      <c r="K36" s="284">
        <f>30/30/30</f>
        <v>0.03333333333333333</v>
      </c>
      <c r="L36" s="283">
        <f t="shared" si="2"/>
        <v>30666.666666666668</v>
      </c>
      <c r="M36" s="11">
        <v>0</v>
      </c>
      <c r="N36" s="6">
        <f t="shared" si="3"/>
        <v>0</v>
      </c>
      <c r="O36" s="6">
        <v>4</v>
      </c>
      <c r="P36" s="288">
        <f t="shared" si="1"/>
        <v>7666.666666666667</v>
      </c>
    </row>
    <row r="37" spans="2:16" ht="13.5">
      <c r="B37" s="1017"/>
      <c r="C37" s="426"/>
      <c r="D37" s="429"/>
      <c r="E37" s="283"/>
      <c r="F37" s="426"/>
      <c r="G37" s="283"/>
      <c r="H37" s="286"/>
      <c r="I37" s="283"/>
      <c r="J37" s="287"/>
      <c r="K37" s="284"/>
      <c r="L37" s="283"/>
      <c r="M37" s="11"/>
      <c r="N37" s="6"/>
      <c r="O37" s="6"/>
      <c r="P37" s="288"/>
    </row>
    <row r="38" spans="2:16" ht="13.5">
      <c r="B38" s="1017"/>
      <c r="C38" s="426"/>
      <c r="D38" s="283"/>
      <c r="E38" s="283"/>
      <c r="F38" s="426"/>
      <c r="G38" s="283"/>
      <c r="H38" s="286"/>
      <c r="I38" s="283"/>
      <c r="J38" s="287"/>
      <c r="K38" s="284"/>
      <c r="L38" s="283"/>
      <c r="M38" s="11"/>
      <c r="N38" s="6"/>
      <c r="O38" s="6"/>
      <c r="P38" s="288"/>
    </row>
    <row r="39" spans="2:16" ht="13.5">
      <c r="B39" s="1017"/>
      <c r="C39" s="426"/>
      <c r="D39" s="283"/>
      <c r="E39" s="283"/>
      <c r="F39" s="426"/>
      <c r="G39" s="283"/>
      <c r="H39" s="286"/>
      <c r="I39" s="283"/>
      <c r="J39" s="426"/>
      <c r="K39" s="284"/>
      <c r="L39" s="283"/>
      <c r="M39" s="11"/>
      <c r="N39" s="6"/>
      <c r="O39" s="6"/>
      <c r="P39" s="288"/>
    </row>
    <row r="40" spans="2:16" ht="13.5">
      <c r="B40" s="1017"/>
      <c r="C40" s="426"/>
      <c r="D40" s="283"/>
      <c r="E40" s="283"/>
      <c r="F40" s="283"/>
      <c r="G40" s="283"/>
      <c r="H40" s="286"/>
      <c r="I40" s="283"/>
      <c r="J40" s="426"/>
      <c r="K40" s="284"/>
      <c r="L40" s="283"/>
      <c r="M40" s="11"/>
      <c r="N40" s="6"/>
      <c r="O40" s="6"/>
      <c r="P40" s="288"/>
    </row>
    <row r="41" spans="2:16" ht="13.5">
      <c r="B41" s="1017"/>
      <c r="C41" s="426"/>
      <c r="D41" s="283"/>
      <c r="E41" s="283"/>
      <c r="F41" s="426"/>
      <c r="G41" s="283"/>
      <c r="H41" s="286"/>
      <c r="I41" s="283"/>
      <c r="J41" s="426"/>
      <c r="K41" s="284"/>
      <c r="L41" s="283"/>
      <c r="M41" s="11"/>
      <c r="N41" s="6"/>
      <c r="O41" s="6"/>
      <c r="P41" s="288"/>
    </row>
    <row r="42" spans="2:16" ht="13.5">
      <c r="B42" s="1017"/>
      <c r="C42" s="426"/>
      <c r="D42" s="283"/>
      <c r="E42" s="283"/>
      <c r="F42" s="426"/>
      <c r="G42" s="283"/>
      <c r="H42" s="286"/>
      <c r="I42" s="283"/>
      <c r="J42" s="426"/>
      <c r="K42" s="284"/>
      <c r="L42" s="283"/>
      <c r="M42" s="11"/>
      <c r="N42" s="6"/>
      <c r="O42" s="6"/>
      <c r="P42" s="288"/>
    </row>
    <row r="43" spans="2:16" ht="13.5">
      <c r="B43" s="1017"/>
      <c r="C43" s="283"/>
      <c r="D43" s="283"/>
      <c r="E43" s="283"/>
      <c r="F43" s="426"/>
      <c r="G43" s="283"/>
      <c r="H43" s="286"/>
      <c r="I43" s="283"/>
      <c r="J43" s="426"/>
      <c r="K43" s="284"/>
      <c r="L43" s="283"/>
      <c r="M43" s="11"/>
      <c r="N43" s="6"/>
      <c r="O43" s="6"/>
      <c r="P43" s="288"/>
    </row>
    <row r="44" spans="2:16" ht="13.5">
      <c r="B44" s="1017"/>
      <c r="C44" s="426"/>
      <c r="D44" s="283"/>
      <c r="E44" s="283"/>
      <c r="F44" s="426"/>
      <c r="G44" s="283"/>
      <c r="H44" s="286"/>
      <c r="I44" s="283"/>
      <c r="J44" s="426"/>
      <c r="K44" s="284"/>
      <c r="L44" s="283"/>
      <c r="M44" s="11"/>
      <c r="N44" s="6"/>
      <c r="O44" s="6"/>
      <c r="P44" s="288"/>
    </row>
    <row r="45" spans="2:16" ht="13.5">
      <c r="B45" s="1017"/>
      <c r="C45" s="426"/>
      <c r="D45" s="283"/>
      <c r="E45" s="283"/>
      <c r="F45" s="426"/>
      <c r="G45" s="283"/>
      <c r="H45" s="286"/>
      <c r="I45" s="283"/>
      <c r="J45" s="426"/>
      <c r="K45" s="284"/>
      <c r="L45" s="283"/>
      <c r="M45" s="11"/>
      <c r="N45" s="6"/>
      <c r="O45" s="6"/>
      <c r="P45" s="288"/>
    </row>
    <row r="46" spans="2:16" ht="13.5">
      <c r="B46" s="1017"/>
      <c r="C46" s="434"/>
      <c r="D46" s="426"/>
      <c r="E46" s="434"/>
      <c r="F46" s="426"/>
      <c r="G46" s="283"/>
      <c r="H46" s="286"/>
      <c r="I46" s="283"/>
      <c r="J46" s="426"/>
      <c r="K46" s="284"/>
      <c r="L46" s="283"/>
      <c r="M46" s="11"/>
      <c r="N46" s="6"/>
      <c r="O46" s="6"/>
      <c r="P46" s="288"/>
    </row>
    <row r="47" spans="2:16" ht="13.5">
      <c r="B47" s="1017"/>
      <c r="C47" s="434"/>
      <c r="D47" s="429"/>
      <c r="E47" s="434"/>
      <c r="F47" s="426"/>
      <c r="G47" s="283"/>
      <c r="H47" s="286"/>
      <c r="I47" s="283"/>
      <c r="J47" s="426"/>
      <c r="K47" s="284"/>
      <c r="L47" s="283"/>
      <c r="M47" s="11"/>
      <c r="N47" s="6"/>
      <c r="O47" s="6"/>
      <c r="P47" s="288"/>
    </row>
    <row r="48" spans="2:16" ht="13.5">
      <c r="B48" s="1017"/>
      <c r="C48" s="434"/>
      <c r="D48" s="429"/>
      <c r="E48" s="434"/>
      <c r="F48" s="426"/>
      <c r="G48" s="283"/>
      <c r="H48" s="286"/>
      <c r="I48" s="283"/>
      <c r="J48" s="426"/>
      <c r="K48" s="284"/>
      <c r="L48" s="283"/>
      <c r="M48" s="11"/>
      <c r="N48" s="6"/>
      <c r="O48" s="6"/>
      <c r="P48" s="288"/>
    </row>
    <row r="49" spans="2:16" ht="13.5">
      <c r="B49" s="1017"/>
      <c r="C49" s="283"/>
      <c r="D49" s="429"/>
      <c r="E49" s="283"/>
      <c r="F49" s="283"/>
      <c r="G49" s="283"/>
      <c r="H49" s="286"/>
      <c r="I49" s="283"/>
      <c r="J49" s="429"/>
      <c r="K49" s="284"/>
      <c r="L49" s="283"/>
      <c r="M49" s="11"/>
      <c r="N49" s="6"/>
      <c r="O49" s="6"/>
      <c r="P49" s="288"/>
    </row>
    <row r="50" spans="2:16" ht="13.5">
      <c r="B50" s="1017"/>
      <c r="C50" s="283"/>
      <c r="D50" s="429"/>
      <c r="E50" s="283"/>
      <c r="F50" s="283"/>
      <c r="G50" s="283"/>
      <c r="H50" s="286"/>
      <c r="I50" s="283"/>
      <c r="J50" s="429"/>
      <c r="K50" s="284"/>
      <c r="L50" s="283"/>
      <c r="M50" s="11"/>
      <c r="N50" s="6"/>
      <c r="O50" s="6"/>
      <c r="P50" s="288"/>
    </row>
    <row r="51" spans="2:18" ht="13.5">
      <c r="B51" s="1018"/>
      <c r="C51" s="283" t="s">
        <v>46</v>
      </c>
      <c r="D51" s="283"/>
      <c r="E51" s="283"/>
      <c r="F51" s="428"/>
      <c r="G51" s="283">
        <f>SUM(G16:G47)</f>
        <v>59367612</v>
      </c>
      <c r="H51" s="283"/>
      <c r="I51" s="283">
        <f>SUM(I16:I47)</f>
        <v>44090472</v>
      </c>
      <c r="J51" s="283"/>
      <c r="K51" s="435"/>
      <c r="L51" s="283">
        <f>SUM(L16:L47)</f>
        <v>1516644.5977011493</v>
      </c>
      <c r="M51" s="6"/>
      <c r="N51" s="6"/>
      <c r="O51" s="6"/>
      <c r="P51" s="288">
        <f>SUM(P16:P47)</f>
        <v>225491.1001642036</v>
      </c>
      <c r="R51" s="6"/>
    </row>
    <row r="52" spans="2:16" ht="13.5">
      <c r="B52" s="1016" t="s">
        <v>147</v>
      </c>
      <c r="C52" s="283"/>
      <c r="D52" s="283"/>
      <c r="E52" s="283"/>
      <c r="F52" s="429"/>
      <c r="G52" s="283"/>
      <c r="H52" s="436"/>
      <c r="I52" s="283">
        <f>G52*(1-H52)</f>
        <v>0</v>
      </c>
      <c r="J52" s="429"/>
      <c r="K52" s="284"/>
      <c r="L52" s="283">
        <f>I52*K52</f>
        <v>0</v>
      </c>
      <c r="M52" s="437"/>
      <c r="N52" s="6">
        <f>L52*M52</f>
        <v>0</v>
      </c>
      <c r="O52" s="6"/>
      <c r="P52" s="288">
        <f>IF(O52="","",(L52-N52)/O52)</f>
      </c>
    </row>
    <row r="53" spans="2:16" ht="13.5">
      <c r="B53" s="1017"/>
      <c r="C53" s="283"/>
      <c r="D53" s="283"/>
      <c r="E53" s="283"/>
      <c r="F53" s="429"/>
      <c r="G53" s="283"/>
      <c r="H53" s="436"/>
      <c r="I53" s="283">
        <f>G53*(1-H53)</f>
        <v>0</v>
      </c>
      <c r="J53" s="283"/>
      <c r="K53" s="284"/>
      <c r="L53" s="283">
        <f>I53*K53</f>
        <v>0</v>
      </c>
      <c r="M53" s="437"/>
      <c r="N53" s="6">
        <f>L53*M53</f>
        <v>0</v>
      </c>
      <c r="O53" s="6"/>
      <c r="P53" s="288">
        <f>IF(O53="","",(L53-N53)/O53)</f>
      </c>
    </row>
    <row r="54" spans="2:16" ht="13.5">
      <c r="B54" s="1017"/>
      <c r="C54" s="6"/>
      <c r="D54" s="6"/>
      <c r="E54" s="6"/>
      <c r="F54" s="438"/>
      <c r="G54" s="6"/>
      <c r="H54" s="437"/>
      <c r="I54" s="6">
        <f>G54*(1-H54)</f>
        <v>0</v>
      </c>
      <c r="J54" s="6"/>
      <c r="K54" s="285"/>
      <c r="L54" s="6">
        <f>I54*K54</f>
        <v>0</v>
      </c>
      <c r="M54" s="437"/>
      <c r="N54" s="6">
        <f>L54*M54</f>
        <v>0</v>
      </c>
      <c r="O54" s="6"/>
      <c r="P54" s="288">
        <f>IF(O54="","",(L54-N54)/O54)</f>
      </c>
    </row>
    <row r="55" spans="2:16" ht="13.5">
      <c r="B55" s="1017"/>
      <c r="C55" s="6"/>
      <c r="D55" s="6"/>
      <c r="E55" s="6"/>
      <c r="F55" s="438"/>
      <c r="G55" s="6"/>
      <c r="H55" s="437"/>
      <c r="I55" s="6">
        <f>G55*(1-H55)</f>
        <v>0</v>
      </c>
      <c r="J55" s="6"/>
      <c r="K55" s="285"/>
      <c r="L55" s="6">
        <f>I55*K55</f>
        <v>0</v>
      </c>
      <c r="M55" s="437"/>
      <c r="N55" s="6">
        <f>L55*M55</f>
        <v>0</v>
      </c>
      <c r="O55" s="6"/>
      <c r="P55" s="288">
        <f>IF(O55="","",(L55-N55)/O55)</f>
      </c>
    </row>
    <row r="56" spans="2:18" ht="13.5">
      <c r="B56" s="1018"/>
      <c r="C56" s="439" t="s">
        <v>46</v>
      </c>
      <c r="D56" s="6"/>
      <c r="E56" s="6"/>
      <c r="F56" s="431"/>
      <c r="G56" s="6">
        <f>SUM(G52:G55)</f>
        <v>0</v>
      </c>
      <c r="H56" s="6"/>
      <c r="I56" s="6">
        <f>SUM(I52:I55)</f>
        <v>0</v>
      </c>
      <c r="J56" s="6"/>
      <c r="K56" s="432"/>
      <c r="L56" s="6">
        <f>SUM(L52:L55)</f>
        <v>0</v>
      </c>
      <c r="M56" s="6"/>
      <c r="N56" s="6"/>
      <c r="O56" s="6"/>
      <c r="P56" s="288">
        <f>SUM(P52:P55)</f>
        <v>0</v>
      </c>
      <c r="R56" s="6"/>
    </row>
    <row r="57" spans="2:18" ht="14.25" thickBot="1">
      <c r="B57" s="440"/>
      <c r="C57" s="7" t="s">
        <v>102</v>
      </c>
      <c r="D57" s="8"/>
      <c r="E57" s="8"/>
      <c r="F57" s="9"/>
      <c r="G57" s="8">
        <f>G15+G51+G56</f>
        <v>80300712</v>
      </c>
      <c r="H57" s="8"/>
      <c r="I57" s="8">
        <f>I15+I51+I56</f>
        <v>65023572</v>
      </c>
      <c r="J57" s="8"/>
      <c r="K57" s="10"/>
      <c r="L57" s="8">
        <f>L15+L51+L56</f>
        <v>2231648.0459770113</v>
      </c>
      <c r="M57" s="8"/>
      <c r="N57" s="8"/>
      <c r="O57" s="8"/>
      <c r="P57" s="245">
        <f>P15+P51+P56</f>
        <v>262990.065681445</v>
      </c>
      <c r="R57" s="6"/>
    </row>
    <row r="58" ht="11.25" customHeight="1"/>
  </sheetData>
  <sheetProtection/>
  <mergeCells count="9">
    <mergeCell ref="J3:J4"/>
    <mergeCell ref="B52:B56"/>
    <mergeCell ref="B16:B51"/>
    <mergeCell ref="B5:B15"/>
    <mergeCell ref="F2:G2"/>
    <mergeCell ref="B3:B4"/>
    <mergeCell ref="C3:C4"/>
    <mergeCell ref="D3:D4"/>
    <mergeCell ref="E3:F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8" scale="88" r:id="rId3"/>
  <headerFooter alignWithMargins="0">
    <oddHeader>&amp;R&amp;A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5.00390625" style="49" customWidth="1"/>
    <col min="3" max="3" width="22.50390625" style="49" bestFit="1" customWidth="1"/>
    <col min="4" max="4" width="30.00390625" style="49" bestFit="1" customWidth="1"/>
    <col min="5" max="6" width="6.00390625" style="49" bestFit="1" customWidth="1"/>
    <col min="7" max="7" width="17.625" style="49" customWidth="1"/>
    <col min="8" max="8" width="10.625" style="49" customWidth="1"/>
    <col min="9" max="9" width="17.625" style="49" customWidth="1"/>
    <col min="10" max="10" width="10.625" style="49" customWidth="1"/>
    <col min="11" max="11" width="15.125" style="50" bestFit="1" customWidth="1"/>
    <col min="12" max="12" width="17.625" style="49" customWidth="1"/>
    <col min="13" max="13" width="10.625" style="49" customWidth="1"/>
    <col min="14" max="14" width="17.625" style="49" customWidth="1"/>
    <col min="15" max="15" width="10.625" style="49" customWidth="1"/>
    <col min="16" max="16" width="19.75390625" style="49" bestFit="1" customWidth="1"/>
    <col min="17" max="16384" width="9.00390625" style="49" customWidth="1"/>
  </cols>
  <sheetData>
    <row r="1" ht="9.75" customHeight="1"/>
    <row r="2" spans="2:16" ht="24.75" customHeight="1" thickBot="1">
      <c r="B2" s="2" t="s">
        <v>545</v>
      </c>
      <c r="C2" s="2"/>
      <c r="D2" s="2"/>
      <c r="E2" s="51"/>
      <c r="F2" s="831"/>
      <c r="G2" s="832"/>
      <c r="H2" s="332" t="s">
        <v>280</v>
      </c>
      <c r="I2" s="303" t="s">
        <v>508</v>
      </c>
      <c r="J2" s="303"/>
      <c r="K2" s="332" t="s">
        <v>281</v>
      </c>
      <c r="L2" s="303" t="s">
        <v>543</v>
      </c>
      <c r="M2" s="55"/>
      <c r="P2" s="53"/>
    </row>
    <row r="3" spans="2:16" ht="20.25" customHeight="1">
      <c r="B3" s="837" t="s">
        <v>89</v>
      </c>
      <c r="C3" s="829" t="s">
        <v>38</v>
      </c>
      <c r="D3" s="829" t="s">
        <v>137</v>
      </c>
      <c r="E3" s="833" t="s">
        <v>39</v>
      </c>
      <c r="F3" s="834"/>
      <c r="G3" s="56" t="s">
        <v>40</v>
      </c>
      <c r="H3" s="56" t="s">
        <v>140</v>
      </c>
      <c r="I3" s="56" t="s">
        <v>139</v>
      </c>
      <c r="J3" s="829" t="s">
        <v>99</v>
      </c>
      <c r="K3" s="57" t="s">
        <v>509</v>
      </c>
      <c r="L3" s="56" t="s">
        <v>41</v>
      </c>
      <c r="M3" s="56" t="s">
        <v>144</v>
      </c>
      <c r="N3" s="56" t="s">
        <v>42</v>
      </c>
      <c r="O3" s="56" t="s">
        <v>43</v>
      </c>
      <c r="P3" s="246" t="s">
        <v>44</v>
      </c>
    </row>
    <row r="4" spans="2:16" ht="20.25" customHeight="1">
      <c r="B4" s="838"/>
      <c r="C4" s="830"/>
      <c r="D4" s="830"/>
      <c r="E4" s="3" t="s">
        <v>101</v>
      </c>
      <c r="F4" s="3" t="s">
        <v>9</v>
      </c>
      <c r="G4" s="4" t="s">
        <v>510</v>
      </c>
      <c r="H4" s="4" t="s">
        <v>511</v>
      </c>
      <c r="I4" s="4" t="s">
        <v>148</v>
      </c>
      <c r="J4" s="830"/>
      <c r="K4" s="5" t="s">
        <v>512</v>
      </c>
      <c r="L4" s="4" t="s">
        <v>513</v>
      </c>
      <c r="M4" s="4" t="s">
        <v>514</v>
      </c>
      <c r="N4" s="4" t="s">
        <v>150</v>
      </c>
      <c r="O4" s="4" t="s">
        <v>515</v>
      </c>
      <c r="P4" s="244" t="s">
        <v>516</v>
      </c>
    </row>
    <row r="5" spans="2:16" ht="20.25" customHeight="1">
      <c r="B5" s="819" t="s">
        <v>210</v>
      </c>
      <c r="C5" s="242" t="s">
        <v>517</v>
      </c>
      <c r="D5" s="242" t="s">
        <v>518</v>
      </c>
      <c r="E5" s="242">
        <v>40</v>
      </c>
      <c r="F5" s="58" t="s">
        <v>519</v>
      </c>
      <c r="G5" s="242">
        <v>2376000</v>
      </c>
      <c r="H5" s="333">
        <v>0</v>
      </c>
      <c r="I5" s="242">
        <f>G5*(1-H5)</f>
        <v>2376000</v>
      </c>
      <c r="J5" s="242" t="s">
        <v>544</v>
      </c>
      <c r="K5" s="334">
        <f>1/1/1</f>
        <v>1</v>
      </c>
      <c r="L5" s="48">
        <f>I5*K5</f>
        <v>2376000</v>
      </c>
      <c r="M5" s="62">
        <v>0</v>
      </c>
      <c r="N5" s="48">
        <v>0</v>
      </c>
      <c r="O5" s="48">
        <v>25</v>
      </c>
      <c r="P5" s="133">
        <f>IF(O5="","",(L5-N5)/O5)</f>
        <v>95040</v>
      </c>
    </row>
    <row r="6" spans="2:16" ht="20.25" customHeight="1">
      <c r="B6" s="820"/>
      <c r="C6" s="242" t="s">
        <v>520</v>
      </c>
      <c r="D6" s="242" t="s">
        <v>518</v>
      </c>
      <c r="E6" s="242">
        <v>100</v>
      </c>
      <c r="F6" s="58" t="s">
        <v>519</v>
      </c>
      <c r="G6" s="242">
        <v>5940000</v>
      </c>
      <c r="H6" s="333">
        <v>0</v>
      </c>
      <c r="I6" s="242">
        <f aca="true" t="shared" si="0" ref="I6:I11">G6*(1-H6)</f>
        <v>5940000</v>
      </c>
      <c r="J6" s="242" t="s">
        <v>544</v>
      </c>
      <c r="K6" s="334">
        <f>1/30/1</f>
        <v>0.03333333333333333</v>
      </c>
      <c r="L6" s="48">
        <f aca="true" t="shared" si="1" ref="L6:L11">I6*K6</f>
        <v>198000</v>
      </c>
      <c r="M6" s="62">
        <v>0</v>
      </c>
      <c r="N6" s="48">
        <v>0</v>
      </c>
      <c r="O6" s="48">
        <v>25</v>
      </c>
      <c r="P6" s="133">
        <f aca="true" t="shared" si="2" ref="P6:P11">IF(O6="","",(L6-N6)/O6)</f>
        <v>7920</v>
      </c>
    </row>
    <row r="7" spans="2:16" ht="20.25" customHeight="1">
      <c r="B7" s="820"/>
      <c r="C7" s="242" t="s">
        <v>521</v>
      </c>
      <c r="D7" s="242" t="s">
        <v>522</v>
      </c>
      <c r="E7" s="335">
        <v>200</v>
      </c>
      <c r="F7" s="58" t="s">
        <v>523</v>
      </c>
      <c r="G7" s="242">
        <v>900000</v>
      </c>
      <c r="H7" s="333">
        <v>0</v>
      </c>
      <c r="I7" s="242">
        <f t="shared" si="0"/>
        <v>900000</v>
      </c>
      <c r="J7" s="242" t="s">
        <v>544</v>
      </c>
      <c r="K7" s="334">
        <f>1/1/1</f>
        <v>1</v>
      </c>
      <c r="L7" s="48">
        <f t="shared" si="1"/>
        <v>900000</v>
      </c>
      <c r="M7" s="62">
        <v>0</v>
      </c>
      <c r="N7" s="48">
        <v>0</v>
      </c>
      <c r="O7" s="48">
        <v>10</v>
      </c>
      <c r="P7" s="133">
        <f t="shared" si="2"/>
        <v>90000</v>
      </c>
    </row>
    <row r="8" spans="2:16" ht="20.25" customHeight="1">
      <c r="B8" s="820"/>
      <c r="C8" s="242" t="s">
        <v>521</v>
      </c>
      <c r="D8" s="242" t="s">
        <v>524</v>
      </c>
      <c r="E8" s="335">
        <v>250</v>
      </c>
      <c r="F8" s="58" t="s">
        <v>523</v>
      </c>
      <c r="G8" s="242">
        <v>1050000</v>
      </c>
      <c r="H8" s="333">
        <v>0</v>
      </c>
      <c r="I8" s="242">
        <f t="shared" si="0"/>
        <v>1050000</v>
      </c>
      <c r="J8" s="242" t="s">
        <v>544</v>
      </c>
      <c r="K8" s="334">
        <f>1/1/1</f>
        <v>1</v>
      </c>
      <c r="L8" s="48">
        <f t="shared" si="1"/>
        <v>1050000</v>
      </c>
      <c r="M8" s="62">
        <v>0</v>
      </c>
      <c r="N8" s="48">
        <v>0</v>
      </c>
      <c r="O8" s="48">
        <v>10</v>
      </c>
      <c r="P8" s="133">
        <f t="shared" si="2"/>
        <v>105000</v>
      </c>
    </row>
    <row r="9" spans="2:16" ht="20.25" customHeight="1">
      <c r="B9" s="820"/>
      <c r="C9" s="242"/>
      <c r="D9" s="242"/>
      <c r="E9" s="335"/>
      <c r="F9" s="58"/>
      <c r="G9" s="242"/>
      <c r="H9" s="333"/>
      <c r="I9" s="242">
        <f t="shared" si="0"/>
        <v>0</v>
      </c>
      <c r="J9" s="242"/>
      <c r="K9" s="334"/>
      <c r="L9" s="48">
        <f t="shared" si="1"/>
        <v>0</v>
      </c>
      <c r="M9" s="62"/>
      <c r="N9" s="48">
        <f>L9*M9/100</f>
        <v>0</v>
      </c>
      <c r="O9" s="48"/>
      <c r="P9" s="133">
        <f t="shared" si="2"/>
      </c>
    </row>
    <row r="10" spans="2:16" ht="20.25" customHeight="1">
      <c r="B10" s="820"/>
      <c r="C10" s="242"/>
      <c r="D10" s="242"/>
      <c r="E10" s="335"/>
      <c r="F10" s="58"/>
      <c r="G10" s="242"/>
      <c r="H10" s="333"/>
      <c r="I10" s="242">
        <f t="shared" si="0"/>
        <v>0</v>
      </c>
      <c r="J10" s="242"/>
      <c r="K10" s="334"/>
      <c r="L10" s="48">
        <f t="shared" si="1"/>
        <v>0</v>
      </c>
      <c r="M10" s="62"/>
      <c r="N10" s="48">
        <f>L10*M10/100</f>
        <v>0</v>
      </c>
      <c r="O10" s="48"/>
      <c r="P10" s="133">
        <f t="shared" si="2"/>
      </c>
    </row>
    <row r="11" spans="2:16" ht="20.25" customHeight="1">
      <c r="B11" s="820"/>
      <c r="C11" s="48"/>
      <c r="D11" s="48"/>
      <c r="E11" s="48"/>
      <c r="F11" s="59"/>
      <c r="G11" s="48"/>
      <c r="H11" s="62"/>
      <c r="I11" s="48">
        <f t="shared" si="0"/>
        <v>0</v>
      </c>
      <c r="J11" s="48"/>
      <c r="K11" s="61"/>
      <c r="L11" s="48">
        <f t="shared" si="1"/>
        <v>0</v>
      </c>
      <c r="M11" s="62"/>
      <c r="N11" s="48">
        <f>L11*M11/100</f>
        <v>0</v>
      </c>
      <c r="O11" s="48"/>
      <c r="P11" s="133">
        <f t="shared" si="2"/>
      </c>
    </row>
    <row r="12" spans="2:16" ht="20.25" customHeight="1">
      <c r="B12" s="836"/>
      <c r="C12" s="336" t="s">
        <v>45</v>
      </c>
      <c r="D12" s="63"/>
      <c r="E12" s="63"/>
      <c r="F12" s="337"/>
      <c r="G12" s="63">
        <f>SUM(G5:G11)</f>
        <v>10266000</v>
      </c>
      <c r="H12" s="63"/>
      <c r="I12" s="63">
        <f>SUM(I5:I11)</f>
        <v>10266000</v>
      </c>
      <c r="J12" s="63"/>
      <c r="K12" s="64"/>
      <c r="L12" s="63">
        <f>SUM(L5:L11)</f>
        <v>4524000</v>
      </c>
      <c r="M12" s="63"/>
      <c r="N12" s="63"/>
      <c r="O12" s="63"/>
      <c r="P12" s="248">
        <f>SUM(P5:P11)</f>
        <v>297960</v>
      </c>
    </row>
    <row r="13" spans="2:16" ht="20.25" customHeight="1">
      <c r="B13" s="819" t="s">
        <v>211</v>
      </c>
      <c r="C13" s="242" t="s">
        <v>525</v>
      </c>
      <c r="D13" s="242" t="s">
        <v>546</v>
      </c>
      <c r="E13" s="242">
        <v>1</v>
      </c>
      <c r="F13" s="58" t="s">
        <v>526</v>
      </c>
      <c r="G13" s="242">
        <v>4626720</v>
      </c>
      <c r="H13" s="333">
        <v>0.5</v>
      </c>
      <c r="I13" s="242">
        <f>G13*(1-H13)</f>
        <v>2313360</v>
      </c>
      <c r="J13" s="242" t="s">
        <v>544</v>
      </c>
      <c r="K13" s="334">
        <f>1/30/1</f>
        <v>0.03333333333333333</v>
      </c>
      <c r="L13" s="242">
        <f>I13*K13</f>
        <v>77112</v>
      </c>
      <c r="M13" s="65">
        <v>0</v>
      </c>
      <c r="N13" s="48">
        <v>0</v>
      </c>
      <c r="O13" s="66">
        <v>7</v>
      </c>
      <c r="P13" s="133">
        <f aca="true" t="shared" si="3" ref="P13:P36">IF(O13="","",(L13-N13)/O13)</f>
        <v>11016</v>
      </c>
    </row>
    <row r="14" spans="2:16" ht="20.25" customHeight="1">
      <c r="B14" s="820"/>
      <c r="C14" s="242" t="s">
        <v>527</v>
      </c>
      <c r="D14" s="242" t="s">
        <v>528</v>
      </c>
      <c r="E14" s="242">
        <v>1</v>
      </c>
      <c r="F14" s="58" t="s">
        <v>526</v>
      </c>
      <c r="G14" s="242">
        <v>920000</v>
      </c>
      <c r="H14" s="333">
        <v>0</v>
      </c>
      <c r="I14" s="242">
        <f aca="true" t="shared" si="4" ref="I14:I41">G14*(1-H14)</f>
        <v>920000</v>
      </c>
      <c r="J14" s="242" t="s">
        <v>544</v>
      </c>
      <c r="K14" s="334">
        <f>1/30/1</f>
        <v>0.03333333333333333</v>
      </c>
      <c r="L14" s="242">
        <f aca="true" t="shared" si="5" ref="L14:L36">I14*K14</f>
        <v>30666.666666666668</v>
      </c>
      <c r="M14" s="65">
        <v>0</v>
      </c>
      <c r="N14" s="48">
        <v>0</v>
      </c>
      <c r="O14" s="48">
        <v>4</v>
      </c>
      <c r="P14" s="133">
        <f t="shared" si="3"/>
        <v>7666.666666666667</v>
      </c>
    </row>
    <row r="15" spans="2:16" ht="20.25" customHeight="1">
      <c r="B15" s="820"/>
      <c r="C15" s="12" t="s">
        <v>529</v>
      </c>
      <c r="D15" s="12" t="s">
        <v>530</v>
      </c>
      <c r="E15" s="242">
        <v>1</v>
      </c>
      <c r="F15" s="338" t="s">
        <v>103</v>
      </c>
      <c r="G15" s="242">
        <v>550000</v>
      </c>
      <c r="H15" s="333">
        <v>0</v>
      </c>
      <c r="I15" s="242">
        <f t="shared" si="4"/>
        <v>550000</v>
      </c>
      <c r="J15" s="242" t="s">
        <v>544</v>
      </c>
      <c r="K15" s="334">
        <f aca="true" t="shared" si="6" ref="K15:K22">1/1/1</f>
        <v>1</v>
      </c>
      <c r="L15" s="242">
        <f t="shared" si="5"/>
        <v>550000</v>
      </c>
      <c r="M15" s="65">
        <v>0</v>
      </c>
      <c r="N15" s="48">
        <v>0</v>
      </c>
      <c r="O15" s="48">
        <v>7</v>
      </c>
      <c r="P15" s="133">
        <f t="shared" si="3"/>
        <v>78571.42857142857</v>
      </c>
    </row>
    <row r="16" spans="2:16" ht="20.25" customHeight="1">
      <c r="B16" s="820"/>
      <c r="C16" s="242" t="s">
        <v>531</v>
      </c>
      <c r="D16" s="242" t="s">
        <v>532</v>
      </c>
      <c r="E16" s="242">
        <v>1</v>
      </c>
      <c r="F16" s="338" t="s">
        <v>103</v>
      </c>
      <c r="G16" s="242">
        <v>540000</v>
      </c>
      <c r="H16" s="333">
        <v>0</v>
      </c>
      <c r="I16" s="242">
        <f t="shared" si="4"/>
        <v>540000</v>
      </c>
      <c r="J16" s="242" t="s">
        <v>544</v>
      </c>
      <c r="K16" s="334">
        <f t="shared" si="6"/>
        <v>1</v>
      </c>
      <c r="L16" s="242">
        <f t="shared" si="5"/>
        <v>540000</v>
      </c>
      <c r="M16" s="62">
        <v>0</v>
      </c>
      <c r="N16" s="48">
        <v>0</v>
      </c>
      <c r="O16" s="48">
        <v>7</v>
      </c>
      <c r="P16" s="133">
        <f t="shared" si="3"/>
        <v>77142.85714285714</v>
      </c>
    </row>
    <row r="17" spans="2:16" ht="20.25" customHeight="1">
      <c r="B17" s="820"/>
      <c r="C17" s="242" t="s">
        <v>533</v>
      </c>
      <c r="D17" s="242" t="s">
        <v>534</v>
      </c>
      <c r="E17" s="242">
        <v>1</v>
      </c>
      <c r="F17" s="338" t="s">
        <v>103</v>
      </c>
      <c r="G17" s="242">
        <v>1500000</v>
      </c>
      <c r="H17" s="333">
        <v>0</v>
      </c>
      <c r="I17" s="242">
        <f t="shared" si="4"/>
        <v>1500000</v>
      </c>
      <c r="J17" s="242" t="s">
        <v>544</v>
      </c>
      <c r="K17" s="334">
        <f t="shared" si="6"/>
        <v>1</v>
      </c>
      <c r="L17" s="242">
        <f t="shared" si="5"/>
        <v>1500000</v>
      </c>
      <c r="M17" s="62">
        <v>0</v>
      </c>
      <c r="N17" s="48">
        <v>0</v>
      </c>
      <c r="O17" s="48">
        <v>7</v>
      </c>
      <c r="P17" s="133">
        <f t="shared" si="3"/>
        <v>214285.7142857143</v>
      </c>
    </row>
    <row r="18" spans="2:16" ht="20.25" customHeight="1">
      <c r="B18" s="820"/>
      <c r="C18" s="242" t="s">
        <v>535</v>
      </c>
      <c r="D18" s="242" t="s">
        <v>536</v>
      </c>
      <c r="E18" s="242">
        <v>1</v>
      </c>
      <c r="F18" s="338" t="s">
        <v>103</v>
      </c>
      <c r="G18" s="242">
        <v>550000</v>
      </c>
      <c r="H18" s="333">
        <v>0</v>
      </c>
      <c r="I18" s="242">
        <f t="shared" si="4"/>
        <v>550000</v>
      </c>
      <c r="J18" s="242" t="s">
        <v>544</v>
      </c>
      <c r="K18" s="334">
        <f t="shared" si="6"/>
        <v>1</v>
      </c>
      <c r="L18" s="242">
        <f t="shared" si="5"/>
        <v>550000</v>
      </c>
      <c r="M18" s="62">
        <v>0</v>
      </c>
      <c r="N18" s="48">
        <v>0</v>
      </c>
      <c r="O18" s="48">
        <v>7</v>
      </c>
      <c r="P18" s="133">
        <f t="shared" si="3"/>
        <v>78571.42857142857</v>
      </c>
    </row>
    <row r="19" spans="2:16" ht="20.25" customHeight="1">
      <c r="B19" s="820"/>
      <c r="C19" s="242" t="s">
        <v>537</v>
      </c>
      <c r="D19" s="242"/>
      <c r="E19" s="242">
        <v>1</v>
      </c>
      <c r="F19" s="338" t="s">
        <v>103</v>
      </c>
      <c r="G19" s="242">
        <v>500000</v>
      </c>
      <c r="H19" s="333">
        <v>0</v>
      </c>
      <c r="I19" s="242">
        <f t="shared" si="4"/>
        <v>500000</v>
      </c>
      <c r="J19" s="242" t="s">
        <v>544</v>
      </c>
      <c r="K19" s="334">
        <f t="shared" si="6"/>
        <v>1</v>
      </c>
      <c r="L19" s="242">
        <f t="shared" si="5"/>
        <v>500000</v>
      </c>
      <c r="M19" s="62">
        <v>0</v>
      </c>
      <c r="N19" s="48">
        <v>0</v>
      </c>
      <c r="O19" s="48">
        <v>7</v>
      </c>
      <c r="P19" s="133">
        <f t="shared" si="3"/>
        <v>71428.57142857143</v>
      </c>
    </row>
    <row r="20" spans="2:16" ht="20.25" customHeight="1">
      <c r="B20" s="820"/>
      <c r="C20" s="242" t="s">
        <v>538</v>
      </c>
      <c r="D20" s="242" t="s">
        <v>539</v>
      </c>
      <c r="E20" s="242">
        <v>1</v>
      </c>
      <c r="F20" s="338" t="s">
        <v>103</v>
      </c>
      <c r="G20" s="242">
        <v>900000</v>
      </c>
      <c r="H20" s="333">
        <v>0</v>
      </c>
      <c r="I20" s="242">
        <f t="shared" si="4"/>
        <v>900000</v>
      </c>
      <c r="J20" s="242" t="s">
        <v>544</v>
      </c>
      <c r="K20" s="334">
        <f t="shared" si="6"/>
        <v>1</v>
      </c>
      <c r="L20" s="242">
        <f t="shared" si="5"/>
        <v>900000</v>
      </c>
      <c r="M20" s="62">
        <v>0</v>
      </c>
      <c r="N20" s="48">
        <v>0</v>
      </c>
      <c r="O20" s="48">
        <v>7</v>
      </c>
      <c r="P20" s="133">
        <f t="shared" si="3"/>
        <v>128571.42857142857</v>
      </c>
    </row>
    <row r="21" spans="2:16" ht="20.25" customHeight="1">
      <c r="B21" s="820"/>
      <c r="C21" s="242" t="s">
        <v>540</v>
      </c>
      <c r="D21" s="242"/>
      <c r="E21" s="242">
        <v>1</v>
      </c>
      <c r="F21" s="58" t="s">
        <v>103</v>
      </c>
      <c r="G21" s="242">
        <v>200000</v>
      </c>
      <c r="H21" s="333">
        <v>0</v>
      </c>
      <c r="I21" s="242">
        <f t="shared" si="4"/>
        <v>200000</v>
      </c>
      <c r="J21" s="242" t="s">
        <v>544</v>
      </c>
      <c r="K21" s="334">
        <f t="shared" si="6"/>
        <v>1</v>
      </c>
      <c r="L21" s="242">
        <f t="shared" si="5"/>
        <v>200000</v>
      </c>
      <c r="M21" s="62">
        <v>0</v>
      </c>
      <c r="N21" s="48">
        <v>0</v>
      </c>
      <c r="O21" s="48">
        <v>7</v>
      </c>
      <c r="P21" s="133">
        <f t="shared" si="3"/>
        <v>28571.428571428572</v>
      </c>
    </row>
    <row r="22" spans="2:16" ht="20.25" customHeight="1">
      <c r="B22" s="820"/>
      <c r="C22" s="242" t="s">
        <v>541</v>
      </c>
      <c r="D22" s="242"/>
      <c r="E22" s="242">
        <v>1</v>
      </c>
      <c r="F22" s="58" t="s">
        <v>103</v>
      </c>
      <c r="G22" s="242">
        <v>400000</v>
      </c>
      <c r="H22" s="333">
        <v>0</v>
      </c>
      <c r="I22" s="242">
        <f t="shared" si="4"/>
        <v>400000</v>
      </c>
      <c r="J22" s="242" t="s">
        <v>544</v>
      </c>
      <c r="K22" s="334">
        <f t="shared" si="6"/>
        <v>1</v>
      </c>
      <c r="L22" s="242">
        <f t="shared" si="5"/>
        <v>400000</v>
      </c>
      <c r="M22" s="62">
        <v>0</v>
      </c>
      <c r="N22" s="48">
        <v>0</v>
      </c>
      <c r="O22" s="48">
        <v>4</v>
      </c>
      <c r="P22" s="133">
        <f t="shared" si="3"/>
        <v>100000</v>
      </c>
    </row>
    <row r="23" spans="2:16" ht="20.25" customHeight="1">
      <c r="B23" s="820"/>
      <c r="C23" s="242"/>
      <c r="D23" s="242"/>
      <c r="E23" s="242"/>
      <c r="F23" s="58"/>
      <c r="G23" s="242"/>
      <c r="H23" s="333"/>
      <c r="I23" s="242">
        <f t="shared" si="4"/>
        <v>0</v>
      </c>
      <c r="J23" s="242"/>
      <c r="K23" s="334"/>
      <c r="L23" s="242">
        <f t="shared" si="5"/>
        <v>0</v>
      </c>
      <c r="M23" s="62"/>
      <c r="N23" s="48">
        <f aca="true" t="shared" si="7" ref="N23:N36">L23*M23</f>
        <v>0</v>
      </c>
      <c r="O23" s="48"/>
      <c r="P23" s="133">
        <f t="shared" si="3"/>
      </c>
    </row>
    <row r="24" spans="2:16" ht="20.25" customHeight="1">
      <c r="B24" s="820"/>
      <c r="C24" s="242"/>
      <c r="D24" s="242"/>
      <c r="E24" s="242"/>
      <c r="F24" s="58"/>
      <c r="G24" s="242"/>
      <c r="H24" s="333"/>
      <c r="I24" s="242">
        <f t="shared" si="4"/>
        <v>0</v>
      </c>
      <c r="J24" s="242"/>
      <c r="K24" s="334"/>
      <c r="L24" s="242">
        <f t="shared" si="5"/>
        <v>0</v>
      </c>
      <c r="M24" s="62"/>
      <c r="N24" s="48">
        <f t="shared" si="7"/>
        <v>0</v>
      </c>
      <c r="O24" s="48"/>
      <c r="P24" s="133">
        <f t="shared" si="3"/>
      </c>
    </row>
    <row r="25" spans="2:16" ht="20.25" customHeight="1">
      <c r="B25" s="820"/>
      <c r="C25" s="242"/>
      <c r="D25" s="242"/>
      <c r="E25" s="242"/>
      <c r="F25" s="58"/>
      <c r="G25" s="242"/>
      <c r="H25" s="333"/>
      <c r="I25" s="242">
        <f t="shared" si="4"/>
        <v>0</v>
      </c>
      <c r="J25" s="242"/>
      <c r="K25" s="334"/>
      <c r="L25" s="242">
        <f t="shared" si="5"/>
        <v>0</v>
      </c>
      <c r="M25" s="62"/>
      <c r="N25" s="48">
        <f t="shared" si="7"/>
        <v>0</v>
      </c>
      <c r="O25" s="48"/>
      <c r="P25" s="133">
        <f t="shared" si="3"/>
      </c>
    </row>
    <row r="26" spans="2:16" ht="20.25" customHeight="1">
      <c r="B26" s="820"/>
      <c r="C26" s="242"/>
      <c r="D26" s="242"/>
      <c r="E26" s="242"/>
      <c r="F26" s="58"/>
      <c r="G26" s="242"/>
      <c r="H26" s="333"/>
      <c r="I26" s="242">
        <f t="shared" si="4"/>
        <v>0</v>
      </c>
      <c r="J26" s="242"/>
      <c r="K26" s="334"/>
      <c r="L26" s="242">
        <f t="shared" si="5"/>
        <v>0</v>
      </c>
      <c r="M26" s="62"/>
      <c r="N26" s="48">
        <f t="shared" si="7"/>
        <v>0</v>
      </c>
      <c r="O26" s="48"/>
      <c r="P26" s="133">
        <f t="shared" si="3"/>
      </c>
    </row>
    <row r="27" spans="2:16" ht="20.25" customHeight="1">
      <c r="B27" s="820"/>
      <c r="C27" s="242"/>
      <c r="D27" s="242"/>
      <c r="E27" s="242"/>
      <c r="F27" s="58"/>
      <c r="G27" s="242"/>
      <c r="H27" s="333"/>
      <c r="I27" s="242">
        <f t="shared" si="4"/>
        <v>0</v>
      </c>
      <c r="J27" s="242"/>
      <c r="K27" s="334"/>
      <c r="L27" s="242">
        <f t="shared" si="5"/>
        <v>0</v>
      </c>
      <c r="M27" s="62"/>
      <c r="N27" s="48">
        <f t="shared" si="7"/>
        <v>0</v>
      </c>
      <c r="O27" s="48"/>
      <c r="P27" s="133">
        <f t="shared" si="3"/>
      </c>
    </row>
    <row r="28" spans="2:16" ht="20.25" customHeight="1">
      <c r="B28" s="820"/>
      <c r="C28" s="242"/>
      <c r="D28" s="242"/>
      <c r="E28" s="242"/>
      <c r="F28" s="58"/>
      <c r="G28" s="242"/>
      <c r="H28" s="333"/>
      <c r="I28" s="242">
        <f t="shared" si="4"/>
        <v>0</v>
      </c>
      <c r="J28" s="242"/>
      <c r="K28" s="334"/>
      <c r="L28" s="242">
        <f t="shared" si="5"/>
        <v>0</v>
      </c>
      <c r="M28" s="62"/>
      <c r="N28" s="48">
        <f t="shared" si="7"/>
        <v>0</v>
      </c>
      <c r="O28" s="48"/>
      <c r="P28" s="133">
        <f t="shared" si="3"/>
      </c>
    </row>
    <row r="29" spans="2:16" ht="20.25" customHeight="1">
      <c r="B29" s="820"/>
      <c r="C29" s="242"/>
      <c r="D29" s="242"/>
      <c r="E29" s="339"/>
      <c r="F29" s="58"/>
      <c r="G29" s="242"/>
      <c r="H29" s="333"/>
      <c r="I29" s="242">
        <f t="shared" si="4"/>
        <v>0</v>
      </c>
      <c r="J29" s="242"/>
      <c r="K29" s="334"/>
      <c r="L29" s="242">
        <f t="shared" si="5"/>
        <v>0</v>
      </c>
      <c r="M29" s="62"/>
      <c r="N29" s="48">
        <f t="shared" si="7"/>
        <v>0</v>
      </c>
      <c r="O29" s="48"/>
      <c r="P29" s="133">
        <f t="shared" si="3"/>
      </c>
    </row>
    <row r="30" spans="2:16" ht="20.25" customHeight="1">
      <c r="B30" s="820"/>
      <c r="C30" s="242"/>
      <c r="D30" s="242"/>
      <c r="E30" s="242"/>
      <c r="F30" s="58"/>
      <c r="G30" s="242"/>
      <c r="H30" s="333"/>
      <c r="I30" s="242">
        <f t="shared" si="4"/>
        <v>0</v>
      </c>
      <c r="J30" s="242"/>
      <c r="K30" s="334"/>
      <c r="L30" s="242">
        <f t="shared" si="5"/>
        <v>0</v>
      </c>
      <c r="M30" s="62"/>
      <c r="N30" s="48">
        <f t="shared" si="7"/>
        <v>0</v>
      </c>
      <c r="O30" s="48"/>
      <c r="P30" s="133">
        <f t="shared" si="3"/>
      </c>
    </row>
    <row r="31" spans="2:16" ht="20.25" customHeight="1">
      <c r="B31" s="820"/>
      <c r="C31" s="242"/>
      <c r="D31" s="242"/>
      <c r="E31" s="242"/>
      <c r="F31" s="58"/>
      <c r="G31" s="242"/>
      <c r="H31" s="333"/>
      <c r="I31" s="242">
        <f t="shared" si="4"/>
        <v>0</v>
      </c>
      <c r="J31" s="242"/>
      <c r="K31" s="334"/>
      <c r="L31" s="242">
        <f t="shared" si="5"/>
        <v>0</v>
      </c>
      <c r="M31" s="62"/>
      <c r="N31" s="48">
        <f t="shared" si="7"/>
        <v>0</v>
      </c>
      <c r="O31" s="48"/>
      <c r="P31" s="133">
        <f t="shared" si="3"/>
      </c>
    </row>
    <row r="32" spans="2:16" ht="20.25" customHeight="1">
      <c r="B32" s="820"/>
      <c r="C32" s="242"/>
      <c r="D32" s="242"/>
      <c r="E32" s="242"/>
      <c r="F32" s="58"/>
      <c r="G32" s="242"/>
      <c r="H32" s="333"/>
      <c r="I32" s="242">
        <f t="shared" si="4"/>
        <v>0</v>
      </c>
      <c r="J32" s="242"/>
      <c r="K32" s="334"/>
      <c r="L32" s="242">
        <f t="shared" si="5"/>
        <v>0</v>
      </c>
      <c r="M32" s="62"/>
      <c r="N32" s="48">
        <f t="shared" si="7"/>
        <v>0</v>
      </c>
      <c r="O32" s="48"/>
      <c r="P32" s="133">
        <f t="shared" si="3"/>
      </c>
    </row>
    <row r="33" spans="2:16" ht="20.25" customHeight="1">
      <c r="B33" s="820"/>
      <c r="C33" s="242"/>
      <c r="D33" s="242"/>
      <c r="E33" s="242"/>
      <c r="F33" s="58"/>
      <c r="G33" s="242"/>
      <c r="H33" s="333"/>
      <c r="I33" s="242">
        <f t="shared" si="4"/>
        <v>0</v>
      </c>
      <c r="J33" s="242"/>
      <c r="K33" s="334"/>
      <c r="L33" s="242">
        <f t="shared" si="5"/>
        <v>0</v>
      </c>
      <c r="M33" s="62"/>
      <c r="N33" s="48">
        <f t="shared" si="7"/>
        <v>0</v>
      </c>
      <c r="O33" s="48"/>
      <c r="P33" s="133">
        <f t="shared" si="3"/>
      </c>
    </row>
    <row r="34" spans="2:16" ht="20.25" customHeight="1">
      <c r="B34" s="820"/>
      <c r="C34" s="242"/>
      <c r="D34" s="242"/>
      <c r="E34" s="242"/>
      <c r="F34" s="58"/>
      <c r="G34" s="242"/>
      <c r="H34" s="333"/>
      <c r="I34" s="242">
        <f t="shared" si="4"/>
        <v>0</v>
      </c>
      <c r="J34" s="242"/>
      <c r="K34" s="334"/>
      <c r="L34" s="242">
        <f t="shared" si="5"/>
        <v>0</v>
      </c>
      <c r="M34" s="62"/>
      <c r="N34" s="48">
        <f t="shared" si="7"/>
        <v>0</v>
      </c>
      <c r="O34" s="48"/>
      <c r="P34" s="133">
        <f t="shared" si="3"/>
      </c>
    </row>
    <row r="35" spans="2:16" ht="20.25" customHeight="1">
      <c r="B35" s="820"/>
      <c r="C35" s="242"/>
      <c r="D35" s="242"/>
      <c r="E35" s="242"/>
      <c r="F35" s="58"/>
      <c r="G35" s="242"/>
      <c r="H35" s="333"/>
      <c r="I35" s="242">
        <f t="shared" si="4"/>
        <v>0</v>
      </c>
      <c r="J35" s="242"/>
      <c r="K35" s="334"/>
      <c r="L35" s="242">
        <f t="shared" si="5"/>
        <v>0</v>
      </c>
      <c r="M35" s="62"/>
      <c r="N35" s="48">
        <f t="shared" si="7"/>
        <v>0</v>
      </c>
      <c r="O35" s="48"/>
      <c r="P35" s="133">
        <f t="shared" si="3"/>
      </c>
    </row>
    <row r="36" spans="2:16" ht="20.25" customHeight="1">
      <c r="B36" s="820"/>
      <c r="C36" s="242"/>
      <c r="D36" s="242"/>
      <c r="E36" s="242"/>
      <c r="F36" s="58"/>
      <c r="G36" s="242"/>
      <c r="H36" s="333"/>
      <c r="I36" s="242">
        <f t="shared" si="4"/>
        <v>0</v>
      </c>
      <c r="J36" s="242"/>
      <c r="K36" s="334"/>
      <c r="L36" s="242">
        <f t="shared" si="5"/>
        <v>0</v>
      </c>
      <c r="M36" s="62"/>
      <c r="N36" s="48">
        <f t="shared" si="7"/>
        <v>0</v>
      </c>
      <c r="O36" s="48"/>
      <c r="P36" s="133">
        <f t="shared" si="3"/>
      </c>
    </row>
    <row r="37" spans="2:16" ht="20.25" customHeight="1">
      <c r="B37" s="836"/>
      <c r="C37" s="340" t="s">
        <v>46</v>
      </c>
      <c r="D37" s="340"/>
      <c r="E37" s="340"/>
      <c r="F37" s="341"/>
      <c r="G37" s="340">
        <f>SUM(G13:G35)</f>
        <v>10686720</v>
      </c>
      <c r="H37" s="340"/>
      <c r="I37" s="340">
        <f>SUM(I13:I35)</f>
        <v>8373360</v>
      </c>
      <c r="J37" s="340"/>
      <c r="K37" s="342"/>
      <c r="L37" s="340">
        <f>SUM(L13:L35)</f>
        <v>5247778.666666666</v>
      </c>
      <c r="M37" s="63"/>
      <c r="N37" s="63"/>
      <c r="O37" s="63"/>
      <c r="P37" s="248">
        <f>SUM(P13:P35)</f>
        <v>795825.5238095237</v>
      </c>
    </row>
    <row r="38" spans="2:16" ht="20.25" customHeight="1">
      <c r="B38" s="819" t="s">
        <v>147</v>
      </c>
      <c r="C38" s="242"/>
      <c r="D38" s="242"/>
      <c r="E38" s="242"/>
      <c r="F38" s="242"/>
      <c r="G38" s="242"/>
      <c r="H38" s="343"/>
      <c r="I38" s="242">
        <f t="shared" si="4"/>
        <v>0</v>
      </c>
      <c r="J38" s="242"/>
      <c r="K38" s="334"/>
      <c r="L38" s="242">
        <f>I38*K38</f>
        <v>0</v>
      </c>
      <c r="M38" s="67"/>
      <c r="N38" s="48">
        <f>L38*M38</f>
        <v>0</v>
      </c>
      <c r="O38" s="48"/>
      <c r="P38" s="133">
        <f>IF(O38="","",(L38-N38)/O38)</f>
      </c>
    </row>
    <row r="39" spans="2:16" ht="20.25" customHeight="1">
      <c r="B39" s="820"/>
      <c r="C39" s="242"/>
      <c r="D39" s="242"/>
      <c r="E39" s="242"/>
      <c r="F39" s="242"/>
      <c r="G39" s="242"/>
      <c r="H39" s="343"/>
      <c r="I39" s="242">
        <f t="shared" si="4"/>
        <v>0</v>
      </c>
      <c r="J39" s="242"/>
      <c r="K39" s="334"/>
      <c r="L39" s="242">
        <f>I39*K39</f>
        <v>0</v>
      </c>
      <c r="M39" s="67"/>
      <c r="N39" s="48">
        <f>L39*M39</f>
        <v>0</v>
      </c>
      <c r="O39" s="48"/>
      <c r="P39" s="133">
        <f>IF(O39="","",(L39-N39)/O39)</f>
      </c>
    </row>
    <row r="40" spans="2:16" ht="20.25" customHeight="1">
      <c r="B40" s="820"/>
      <c r="C40" s="48"/>
      <c r="D40" s="48"/>
      <c r="E40" s="48"/>
      <c r="F40" s="48"/>
      <c r="G40" s="48"/>
      <c r="H40" s="67"/>
      <c r="I40" s="48">
        <f t="shared" si="4"/>
        <v>0</v>
      </c>
      <c r="J40" s="48"/>
      <c r="K40" s="61"/>
      <c r="L40" s="48">
        <f>I40*K40</f>
        <v>0</v>
      </c>
      <c r="M40" s="67"/>
      <c r="N40" s="48">
        <f>L40*M40</f>
        <v>0</v>
      </c>
      <c r="O40" s="48"/>
      <c r="P40" s="133">
        <f>IF(O40="","",(L40-N40)/O40)</f>
      </c>
    </row>
    <row r="41" spans="2:16" ht="20.25" customHeight="1">
      <c r="B41" s="820"/>
      <c r="C41" s="48"/>
      <c r="D41" s="48"/>
      <c r="E41" s="48"/>
      <c r="F41" s="48"/>
      <c r="G41" s="48"/>
      <c r="H41" s="67"/>
      <c r="I41" s="48">
        <f t="shared" si="4"/>
        <v>0</v>
      </c>
      <c r="J41" s="48"/>
      <c r="K41" s="61"/>
      <c r="L41" s="48">
        <f>I41*K41</f>
        <v>0</v>
      </c>
      <c r="M41" s="67"/>
      <c r="N41" s="48">
        <f>L41*M41</f>
        <v>0</v>
      </c>
      <c r="O41" s="48"/>
      <c r="P41" s="133">
        <f>IF(O41="","",(L41-N41)/O41)</f>
      </c>
    </row>
    <row r="42" spans="2:16" ht="20.25" customHeight="1">
      <c r="B42" s="836"/>
      <c r="C42" s="68" t="s">
        <v>46</v>
      </c>
      <c r="D42" s="63"/>
      <c r="E42" s="63"/>
      <c r="F42" s="337"/>
      <c r="G42" s="63">
        <f>SUM(G38:G41)</f>
        <v>0</v>
      </c>
      <c r="H42" s="63"/>
      <c r="I42" s="63">
        <f>SUM(I38:I41)</f>
        <v>0</v>
      </c>
      <c r="J42" s="63"/>
      <c r="K42" s="64"/>
      <c r="L42" s="63">
        <f>SUM(L38:L41)</f>
        <v>0</v>
      </c>
      <c r="M42" s="63"/>
      <c r="N42" s="63"/>
      <c r="O42" s="63"/>
      <c r="P42" s="248">
        <f>SUM(P38:P41)</f>
        <v>0</v>
      </c>
    </row>
    <row r="43" spans="2:16" ht="20.25" customHeight="1" thickBot="1">
      <c r="B43" s="344"/>
      <c r="C43" s="345" t="s">
        <v>542</v>
      </c>
      <c r="D43" s="69"/>
      <c r="E43" s="69"/>
      <c r="F43" s="70"/>
      <c r="G43" s="69">
        <f>G12+G37+G42</f>
        <v>20952720</v>
      </c>
      <c r="H43" s="69"/>
      <c r="I43" s="69">
        <f>I12+I37+I42</f>
        <v>18639360</v>
      </c>
      <c r="J43" s="69"/>
      <c r="K43" s="346"/>
      <c r="L43" s="69">
        <f>L12+L37+L42</f>
        <v>9771778.666666666</v>
      </c>
      <c r="M43" s="69"/>
      <c r="N43" s="69"/>
      <c r="O43" s="69"/>
      <c r="P43" s="347">
        <f>P12+P37+P42</f>
        <v>1093785.5238095238</v>
      </c>
    </row>
    <row r="44" ht="11.25" customHeight="1"/>
  </sheetData>
  <sheetProtection/>
  <mergeCells count="9">
    <mergeCell ref="J3:J4"/>
    <mergeCell ref="B5:B12"/>
    <mergeCell ref="B13:B37"/>
    <mergeCell ref="B38:B42"/>
    <mergeCell ref="F2:G2"/>
    <mergeCell ref="B3:B4"/>
    <mergeCell ref="C3:C4"/>
    <mergeCell ref="D3:D4"/>
    <mergeCell ref="E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387" customWidth="1"/>
    <col min="2" max="2" width="7.625" style="387" customWidth="1"/>
    <col min="3" max="3" width="25.625" style="387" customWidth="1"/>
    <col min="4" max="13" width="15.625" style="387" customWidth="1"/>
    <col min="14" max="16384" width="9.00390625" style="387" customWidth="1"/>
  </cols>
  <sheetData>
    <row r="1" spans="2:12" ht="9.75" customHeight="1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2:10" ht="24.75" customHeight="1" thickBot="1">
      <c r="B2" s="387" t="s">
        <v>109</v>
      </c>
      <c r="F2" s="392" t="s">
        <v>280</v>
      </c>
      <c r="G2" s="387" t="s">
        <v>451</v>
      </c>
      <c r="I2" s="392" t="s">
        <v>281</v>
      </c>
      <c r="J2" s="387" t="s">
        <v>430</v>
      </c>
    </row>
    <row r="3" spans="2:13" ht="19.5" customHeight="1">
      <c r="B3" s="732" t="s">
        <v>116</v>
      </c>
      <c r="C3" s="733"/>
      <c r="D3" s="399" t="s">
        <v>431</v>
      </c>
      <c r="E3" s="400" t="s">
        <v>443</v>
      </c>
      <c r="F3" s="399" t="s">
        <v>346</v>
      </c>
      <c r="G3" s="407" t="s">
        <v>347</v>
      </c>
      <c r="H3" s="399" t="s">
        <v>66</v>
      </c>
      <c r="I3" s="399" t="s">
        <v>349</v>
      </c>
      <c r="J3" s="399" t="s">
        <v>432</v>
      </c>
      <c r="K3" s="399" t="s">
        <v>450</v>
      </c>
      <c r="L3" s="399"/>
      <c r="M3" s="401"/>
    </row>
    <row r="4" spans="2:13" ht="165.75" customHeight="1">
      <c r="B4" s="731" t="s">
        <v>110</v>
      </c>
      <c r="C4" s="306" t="s">
        <v>111</v>
      </c>
      <c r="D4" s="402" t="s">
        <v>433</v>
      </c>
      <c r="E4" s="566" t="s">
        <v>712</v>
      </c>
      <c r="F4" s="566" t="s">
        <v>713</v>
      </c>
      <c r="G4" s="566" t="s">
        <v>714</v>
      </c>
      <c r="H4" s="402" t="s">
        <v>434</v>
      </c>
      <c r="I4" s="402" t="s">
        <v>435</v>
      </c>
      <c r="J4" s="402" t="s">
        <v>436</v>
      </c>
      <c r="K4" s="402"/>
      <c r="L4" s="402"/>
      <c r="M4" s="403"/>
    </row>
    <row r="5" spans="2:13" ht="19.5" customHeight="1">
      <c r="B5" s="731"/>
      <c r="C5" s="306" t="s">
        <v>112</v>
      </c>
      <c r="D5" s="393" t="s">
        <v>444</v>
      </c>
      <c r="E5" s="393" t="s">
        <v>445</v>
      </c>
      <c r="F5" s="393" t="s">
        <v>437</v>
      </c>
      <c r="G5" s="393"/>
      <c r="H5" s="393" t="s">
        <v>462</v>
      </c>
      <c r="I5" s="393" t="s">
        <v>438</v>
      </c>
      <c r="J5" s="393" t="s">
        <v>446</v>
      </c>
      <c r="K5" s="393"/>
      <c r="L5" s="306"/>
      <c r="M5" s="404"/>
    </row>
    <row r="6" spans="2:13" ht="150" customHeight="1">
      <c r="B6" s="731"/>
      <c r="C6" s="306" t="s">
        <v>115</v>
      </c>
      <c r="D6" s="402" t="s">
        <v>313</v>
      </c>
      <c r="E6" s="402" t="s">
        <v>673</v>
      </c>
      <c r="F6" s="402" t="s">
        <v>439</v>
      </c>
      <c r="G6" s="402" t="s">
        <v>309</v>
      </c>
      <c r="H6" s="402"/>
      <c r="I6" s="402" t="s">
        <v>309</v>
      </c>
      <c r="J6" s="402" t="s">
        <v>440</v>
      </c>
      <c r="K6" s="402"/>
      <c r="L6" s="402"/>
      <c r="M6" s="403"/>
    </row>
    <row r="7" spans="2:13" ht="19.5" customHeight="1">
      <c r="B7" s="731"/>
      <c r="C7" s="405" t="s">
        <v>669</v>
      </c>
      <c r="D7" s="306"/>
      <c r="E7" s="306">
        <f>19.7+1.2</f>
        <v>20.9</v>
      </c>
      <c r="F7" s="306">
        <v>4.4</v>
      </c>
      <c r="G7" s="307">
        <v>-1</v>
      </c>
      <c r="H7" s="306"/>
      <c r="I7" s="306">
        <v>2</v>
      </c>
      <c r="J7" s="306">
        <v>6.9</v>
      </c>
      <c r="K7" s="306"/>
      <c r="L7" s="306"/>
      <c r="M7" s="404"/>
    </row>
    <row r="8" spans="2:13" ht="19.5" customHeight="1">
      <c r="B8" s="731"/>
      <c r="C8" s="306" t="s">
        <v>670</v>
      </c>
      <c r="D8" s="306">
        <v>17.2</v>
      </c>
      <c r="E8" s="306">
        <v>1.2</v>
      </c>
      <c r="F8" s="306">
        <v>13.2</v>
      </c>
      <c r="G8" s="307">
        <v>-1</v>
      </c>
      <c r="H8" s="306"/>
      <c r="I8" s="306">
        <v>5.1</v>
      </c>
      <c r="J8" s="306">
        <v>23.3</v>
      </c>
      <c r="K8" s="306">
        <v>2</v>
      </c>
      <c r="L8" s="306"/>
      <c r="M8" s="404"/>
    </row>
    <row r="9" spans="2:13" ht="19.5" customHeight="1">
      <c r="B9" s="731"/>
      <c r="C9" s="306" t="s">
        <v>114</v>
      </c>
      <c r="D9" s="306">
        <v>6</v>
      </c>
      <c r="E9" s="306">
        <v>2</v>
      </c>
      <c r="F9" s="306">
        <v>3</v>
      </c>
      <c r="G9" s="306"/>
      <c r="H9" s="306"/>
      <c r="I9" s="306">
        <v>3</v>
      </c>
      <c r="J9" s="306">
        <v>3</v>
      </c>
      <c r="K9" s="306"/>
      <c r="L9" s="306"/>
      <c r="M9" s="404"/>
    </row>
    <row r="10" spans="2:13" ht="150" customHeight="1">
      <c r="B10" s="736" t="s">
        <v>671</v>
      </c>
      <c r="C10" s="737"/>
      <c r="D10" s="394" t="s">
        <v>672</v>
      </c>
      <c r="E10" s="394" t="s">
        <v>441</v>
      </c>
      <c r="F10" s="561" t="s">
        <v>709</v>
      </c>
      <c r="G10" s="394"/>
      <c r="H10" s="394"/>
      <c r="I10" s="394" t="s">
        <v>442</v>
      </c>
      <c r="J10" s="394" t="s">
        <v>381</v>
      </c>
      <c r="K10" s="395"/>
      <c r="L10" s="394"/>
      <c r="M10" s="396"/>
    </row>
    <row r="11" spans="2:13" ht="150" customHeight="1" thickBot="1">
      <c r="B11" s="734" t="s">
        <v>113</v>
      </c>
      <c r="C11" s="735"/>
      <c r="D11" s="559" t="s">
        <v>702</v>
      </c>
      <c r="E11" s="559" t="s">
        <v>703</v>
      </c>
      <c r="F11" s="559" t="s">
        <v>704</v>
      </c>
      <c r="G11" s="559" t="s">
        <v>705</v>
      </c>
      <c r="H11" s="559" t="s">
        <v>706</v>
      </c>
      <c r="I11" s="559" t="s">
        <v>707</v>
      </c>
      <c r="J11" s="560" t="s">
        <v>708</v>
      </c>
      <c r="K11" s="397"/>
      <c r="L11" s="397"/>
      <c r="M11" s="398"/>
    </row>
    <row r="12" ht="9.75" customHeight="1">
      <c r="B12" s="406"/>
    </row>
  </sheetData>
  <sheetProtection/>
  <mergeCells count="4">
    <mergeCell ref="B4:B9"/>
    <mergeCell ref="B3:C3"/>
    <mergeCell ref="B11:C11"/>
    <mergeCell ref="B10:C10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92" customWidth="1"/>
    <col min="2" max="2" width="7.625" style="92" customWidth="1"/>
    <col min="3" max="3" width="25.625" style="92" customWidth="1"/>
    <col min="4" max="13" width="15.625" style="92" customWidth="1"/>
    <col min="14" max="16384" width="9.00390625" style="92" customWidth="1"/>
  </cols>
  <sheetData>
    <row r="1" spans="2:12" ht="9.75" customHeigh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10" ht="24.75" customHeight="1" thickBot="1">
      <c r="B2" s="303" t="s">
        <v>716</v>
      </c>
      <c r="F2" s="241" t="s">
        <v>280</v>
      </c>
      <c r="G2" s="303" t="s">
        <v>650</v>
      </c>
      <c r="I2" s="241" t="s">
        <v>281</v>
      </c>
      <c r="J2" s="303" t="s">
        <v>476</v>
      </c>
    </row>
    <row r="3" spans="2:13" ht="37.5" customHeight="1">
      <c r="B3" s="738" t="s">
        <v>116</v>
      </c>
      <c r="C3" s="739"/>
      <c r="D3" s="304" t="s">
        <v>477</v>
      </c>
      <c r="E3" s="304" t="s">
        <v>478</v>
      </c>
      <c r="F3" s="304" t="s">
        <v>479</v>
      </c>
      <c r="G3" s="304" t="s">
        <v>480</v>
      </c>
      <c r="H3" s="304" t="s">
        <v>651</v>
      </c>
      <c r="I3" s="304" t="s">
        <v>481</v>
      </c>
      <c r="J3" s="304" t="s">
        <v>482</v>
      </c>
      <c r="K3" s="304" t="s">
        <v>483</v>
      </c>
      <c r="L3" s="304" t="s">
        <v>484</v>
      </c>
      <c r="M3" s="304" t="s">
        <v>485</v>
      </c>
    </row>
    <row r="4" spans="2:13" ht="150" customHeight="1">
      <c r="B4" s="740" t="s">
        <v>110</v>
      </c>
      <c r="C4" s="305" t="s">
        <v>111</v>
      </c>
      <c r="D4" s="315" t="s">
        <v>674</v>
      </c>
      <c r="E4" s="315" t="s">
        <v>675</v>
      </c>
      <c r="F4" s="315" t="s">
        <v>676</v>
      </c>
      <c r="G4" s="315" t="s">
        <v>677</v>
      </c>
      <c r="H4" s="315"/>
      <c r="I4" s="315" t="s">
        <v>678</v>
      </c>
      <c r="J4" s="315" t="s">
        <v>679</v>
      </c>
      <c r="K4" s="315" t="s">
        <v>680</v>
      </c>
      <c r="L4" s="315" t="s">
        <v>681</v>
      </c>
      <c r="M4" s="556" t="s">
        <v>682</v>
      </c>
    </row>
    <row r="5" spans="2:13" ht="39.75" customHeight="1">
      <c r="B5" s="740"/>
      <c r="C5" s="305" t="s">
        <v>112</v>
      </c>
      <c r="D5" s="316" t="s">
        <v>486</v>
      </c>
      <c r="E5" s="316" t="s">
        <v>487</v>
      </c>
      <c r="F5" s="316" t="s">
        <v>488</v>
      </c>
      <c r="G5" s="316" t="s">
        <v>489</v>
      </c>
      <c r="H5" s="317"/>
      <c r="I5" s="317" t="s">
        <v>490</v>
      </c>
      <c r="J5" s="317" t="s">
        <v>491</v>
      </c>
      <c r="K5" s="317" t="s">
        <v>492</v>
      </c>
      <c r="L5" s="317" t="s">
        <v>493</v>
      </c>
      <c r="M5" s="317" t="s">
        <v>494</v>
      </c>
    </row>
    <row r="6" spans="2:13" ht="150" customHeight="1">
      <c r="B6" s="740"/>
      <c r="C6" s="305" t="s">
        <v>115</v>
      </c>
      <c r="D6" s="318" t="s">
        <v>683</v>
      </c>
      <c r="E6" s="318"/>
      <c r="F6" s="318"/>
      <c r="G6" s="318"/>
      <c r="H6" s="319"/>
      <c r="I6" s="319" t="s">
        <v>684</v>
      </c>
      <c r="J6" s="319" t="s">
        <v>685</v>
      </c>
      <c r="K6" s="319" t="s">
        <v>686</v>
      </c>
      <c r="L6" s="319" t="s">
        <v>687</v>
      </c>
      <c r="M6" s="557" t="s">
        <v>299</v>
      </c>
    </row>
    <row r="7" spans="2:13" ht="20.25" customHeight="1">
      <c r="B7" s="740"/>
      <c r="C7" s="320" t="s">
        <v>495</v>
      </c>
      <c r="D7" s="311">
        <v>8</v>
      </c>
      <c r="E7" s="311"/>
      <c r="F7" s="311"/>
      <c r="G7" s="311"/>
      <c r="H7" s="305"/>
      <c r="I7" s="305"/>
      <c r="J7" s="305">
        <v>208</v>
      </c>
      <c r="K7" s="305">
        <v>26</v>
      </c>
      <c r="L7" s="305"/>
      <c r="M7" s="321"/>
    </row>
    <row r="8" spans="2:13" ht="20.25" customHeight="1">
      <c r="B8" s="740"/>
      <c r="C8" s="311" t="s">
        <v>496</v>
      </c>
      <c r="D8" s="311">
        <v>33</v>
      </c>
      <c r="E8" s="311">
        <v>28</v>
      </c>
      <c r="F8" s="311">
        <v>13</v>
      </c>
      <c r="G8" s="311">
        <v>29</v>
      </c>
      <c r="H8" s="378"/>
      <c r="I8" s="305">
        <v>141</v>
      </c>
      <c r="J8" s="305">
        <v>208</v>
      </c>
      <c r="K8" s="305">
        <v>26</v>
      </c>
      <c r="L8" s="305">
        <v>129</v>
      </c>
      <c r="M8" s="321">
        <v>18</v>
      </c>
    </row>
    <row r="9" spans="2:13" ht="20.25" customHeight="1">
      <c r="B9" s="740"/>
      <c r="C9" s="305" t="s">
        <v>114</v>
      </c>
      <c r="D9" s="305" t="s">
        <v>497</v>
      </c>
      <c r="E9" s="305" t="s">
        <v>497</v>
      </c>
      <c r="F9" s="305" t="s">
        <v>497</v>
      </c>
      <c r="G9" s="305" t="s">
        <v>497</v>
      </c>
      <c r="H9" s="305"/>
      <c r="I9" s="305" t="s">
        <v>497</v>
      </c>
      <c r="J9" s="305" t="s">
        <v>497</v>
      </c>
      <c r="K9" s="305" t="s">
        <v>497</v>
      </c>
      <c r="L9" s="305" t="s">
        <v>497</v>
      </c>
      <c r="M9" s="305" t="s">
        <v>497</v>
      </c>
    </row>
    <row r="10" spans="2:13" ht="150" customHeight="1">
      <c r="B10" s="741" t="s">
        <v>498</v>
      </c>
      <c r="C10" s="742"/>
      <c r="D10" s="322" t="s">
        <v>688</v>
      </c>
      <c r="E10" s="315" t="s">
        <v>689</v>
      </c>
      <c r="F10" s="315"/>
      <c r="G10" s="323"/>
      <c r="H10" s="323"/>
      <c r="I10" s="323"/>
      <c r="J10" s="323" t="s">
        <v>690</v>
      </c>
      <c r="K10" s="323" t="s">
        <v>499</v>
      </c>
      <c r="L10" s="323" t="s">
        <v>691</v>
      </c>
      <c r="M10" s="558" t="s">
        <v>692</v>
      </c>
    </row>
    <row r="11" spans="2:13" ht="150" customHeight="1" thickBot="1">
      <c r="B11" s="743" t="s">
        <v>113</v>
      </c>
      <c r="C11" s="744"/>
      <c r="D11" s="324" t="s">
        <v>693</v>
      </c>
      <c r="E11" s="324" t="s">
        <v>694</v>
      </c>
      <c r="F11" s="324" t="s">
        <v>695</v>
      </c>
      <c r="G11" s="325" t="s">
        <v>696</v>
      </c>
      <c r="H11" s="325"/>
      <c r="I11" s="325" t="s">
        <v>697</v>
      </c>
      <c r="J11" s="325" t="s">
        <v>698</v>
      </c>
      <c r="K11" s="325" t="s">
        <v>699</v>
      </c>
      <c r="L11" s="325" t="s">
        <v>701</v>
      </c>
      <c r="M11" s="326" t="s">
        <v>700</v>
      </c>
    </row>
    <row r="12" ht="9.75" customHeight="1">
      <c r="B12" s="94"/>
    </row>
  </sheetData>
  <sheetProtection/>
  <mergeCells count="4">
    <mergeCell ref="B3:C3"/>
    <mergeCell ref="B4:B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7.625" style="13" customWidth="1"/>
    <col min="3" max="3" width="15.625" style="13" customWidth="1"/>
    <col min="4" max="9" width="20.625" style="13" customWidth="1"/>
    <col min="10" max="10" width="84.625" style="13" customWidth="1"/>
    <col min="11" max="11" width="9.25390625" style="13" bestFit="1" customWidth="1"/>
    <col min="12" max="16384" width="9.00390625" style="13" customWidth="1"/>
  </cols>
  <sheetData>
    <row r="1" spans="2:10" ht="24.75" customHeight="1" thickBot="1">
      <c r="B1" s="14" t="s">
        <v>107</v>
      </c>
      <c r="C1" s="15"/>
      <c r="D1" s="15"/>
      <c r="J1" s="16"/>
    </row>
    <row r="2" spans="2:10" ht="19.5" customHeight="1">
      <c r="B2" s="759" t="s">
        <v>295</v>
      </c>
      <c r="C2" s="760"/>
      <c r="D2" s="760"/>
      <c r="E2" s="760"/>
      <c r="F2" s="17" t="s">
        <v>296</v>
      </c>
      <c r="G2" s="17" t="s">
        <v>372</v>
      </c>
      <c r="H2" s="17" t="s">
        <v>373</v>
      </c>
      <c r="I2" s="17" t="s">
        <v>648</v>
      </c>
      <c r="J2" s="763" t="s">
        <v>294</v>
      </c>
    </row>
    <row r="3" spans="2:10" ht="19.5" customHeight="1" thickBot="1">
      <c r="B3" s="761"/>
      <c r="C3" s="762"/>
      <c r="D3" s="762"/>
      <c r="E3" s="762"/>
      <c r="F3" s="264"/>
      <c r="G3" s="264">
        <f>'１　対象経営の概要，２　前提条件'!F13</f>
        <v>20</v>
      </c>
      <c r="H3" s="264">
        <f>'１　対象経営の概要，２　前提条件'!F14</f>
        <v>9</v>
      </c>
      <c r="I3" s="264">
        <f>'１　対象経営の概要，２　前提条件'!F17</f>
        <v>1</v>
      </c>
      <c r="J3" s="764"/>
    </row>
    <row r="4" spans="2:10" ht="19.5" customHeight="1">
      <c r="B4" s="749" t="s">
        <v>90</v>
      </c>
      <c r="C4" s="766" t="s">
        <v>58</v>
      </c>
      <c r="D4" s="18" t="s">
        <v>235</v>
      </c>
      <c r="E4" s="19"/>
      <c r="F4" s="20">
        <f>SUM(G4:I4)</f>
        <v>40173385</v>
      </c>
      <c r="G4" s="240">
        <f>'７－１　水稲部門（コシヒカリ）収支'!F4*('１　対象経営の概要，２　前提条件'!$AB$26+'１　対象経営の概要，２　前提条件'!$AM$26+'１　対象経営の概要，２　前提条件'!$AB$28)+'７－２　水稲部門（こいもみじ）収支 '!F4*('１　対象経営の概要，２　前提条件'!$AB$27+'１　対象経営の概要，２　前提条件'!$AM$27)</f>
        <v>18060000</v>
      </c>
      <c r="H4" s="240">
        <f>'７－３　水稲部門（加工用米）収支'!F4*'１　対象経営の概要，２　前提条件'!$AM$28</f>
        <v>7182000</v>
      </c>
      <c r="I4" s="20">
        <f>'７－４　きく部門収支'!F4*10</f>
        <v>14931385</v>
      </c>
      <c r="J4" s="21"/>
    </row>
    <row r="5" spans="2:10" ht="19.5" customHeight="1">
      <c r="B5" s="750"/>
      <c r="C5" s="767"/>
      <c r="D5" s="22" t="s">
        <v>91</v>
      </c>
      <c r="E5" s="23"/>
      <c r="F5" s="24">
        <f>SUM(G5:I5)</f>
        <v>0</v>
      </c>
      <c r="G5" s="28">
        <f>'７－１　水稲部門（コシヒカリ）収支'!F5*('１　対象経営の概要，２　前提条件'!$AB$26+'１　対象経営の概要，２　前提条件'!$AM$26+'１　対象経営の概要，２　前提条件'!$AB$28)+'７－２　水稲部門（こいもみじ）収支 '!F5*('１　対象経営の概要，２　前提条件'!$AB$27+'１　対象経営の概要，２　前提条件'!$AM$27)</f>
        <v>0</v>
      </c>
      <c r="H5" s="28">
        <f>'７－３　水稲部門（加工用米）収支'!F5*'１　対象経営の概要，２　前提条件'!$AM$28</f>
        <v>0</v>
      </c>
      <c r="I5" s="28">
        <f>'７－４　きく部門収支'!F5*10</f>
        <v>0</v>
      </c>
      <c r="J5" s="25"/>
    </row>
    <row r="6" spans="2:10" ht="19.5" customHeight="1">
      <c r="B6" s="750"/>
      <c r="C6" s="768"/>
      <c r="D6" s="769" t="s">
        <v>223</v>
      </c>
      <c r="E6" s="770"/>
      <c r="F6" s="26">
        <f>SUM(F4:F5)</f>
        <v>40173385</v>
      </c>
      <c r="G6" s="27">
        <f>G4+G5</f>
        <v>18060000</v>
      </c>
      <c r="H6" s="27">
        <f>SUM(H4:H5)</f>
        <v>7182000</v>
      </c>
      <c r="I6" s="27">
        <f>SUM(I4:I5)</f>
        <v>14931385</v>
      </c>
      <c r="J6" s="25"/>
    </row>
    <row r="7" spans="2:10" ht="19.5" customHeight="1">
      <c r="B7" s="750"/>
      <c r="C7" s="771" t="s">
        <v>226</v>
      </c>
      <c r="D7" s="22" t="s">
        <v>59</v>
      </c>
      <c r="E7" s="23"/>
      <c r="F7" s="24">
        <f aca="true" t="shared" si="0" ref="F7:F26">SUM(G7:I7)</f>
        <v>1066740</v>
      </c>
      <c r="G7" s="28">
        <f>'７－１　水稲部門（コシヒカリ）収支'!F6*('１　対象経営の概要，２　前提条件'!$AB$26+'１　対象経営の概要，２　前提条件'!$AM$26+'１　対象経営の概要，２　前提条件'!$AB$28)+'７－２　水稲部門（こいもみじ）収支 '!F6*('１　対象経営の概要，２　前提条件'!$AB$27+'１　対象経営の概要，２　前提条件'!$AM$27)</f>
        <v>348000</v>
      </c>
      <c r="H7" s="28">
        <f>'７－３　水稲部門（加工用米）収支'!F6*'１　対象経営の概要，２　前提条件'!$AM$28</f>
        <v>148500</v>
      </c>
      <c r="I7" s="28">
        <f>'７－４　きく部門収支'!F6*10</f>
        <v>570240</v>
      </c>
      <c r="J7" s="25"/>
    </row>
    <row r="8" spans="2:10" ht="19.5" customHeight="1">
      <c r="B8" s="750"/>
      <c r="C8" s="772"/>
      <c r="D8" s="22" t="s">
        <v>60</v>
      </c>
      <c r="E8" s="23"/>
      <c r="F8" s="24">
        <f t="shared" si="0"/>
        <v>4111922.6500000004</v>
      </c>
      <c r="G8" s="28">
        <f>'７－１　水稲部門（コシヒカリ）収支'!F7*('１　対象経営の概要，２　前提条件'!$AB$26+'１　対象経営の概要，２　前提条件'!$AM$26+'１　対象経営の概要，２　前提条件'!$AB$28)+'７－２　水稲部門（こいもみじ）収支 '!F7*('１　対象経営の概要，２　前提条件'!$AB$27+'１　対象経営の概要，２　前提条件'!$AM$27)</f>
        <v>2297908</v>
      </c>
      <c r="H8" s="28">
        <f>'７－３　水稲部門（加工用米）収支'!F7*'１　対象経営の概要，２　前提条件'!$AM$28</f>
        <v>1256614.6500000001</v>
      </c>
      <c r="I8" s="28">
        <f>'７－４　きく部門収支'!F7*10</f>
        <v>557400</v>
      </c>
      <c r="J8" s="25"/>
    </row>
    <row r="9" spans="2:10" ht="19.5" customHeight="1">
      <c r="B9" s="750"/>
      <c r="C9" s="772"/>
      <c r="D9" s="22" t="s">
        <v>61</v>
      </c>
      <c r="E9" s="23"/>
      <c r="F9" s="24">
        <f t="shared" si="0"/>
        <v>2845730.294833333</v>
      </c>
      <c r="G9" s="28">
        <f>'７－１　水稲部門（コシヒカリ）収支'!F8*('１　対象経営の概要，２　前提条件'!$AB$26+'１　対象経営の概要，２　前提条件'!$AM$26+'１　対象経営の概要，２　前提条件'!$AB$28)+'７－２　水稲部門（こいもみじ）収支 '!F8*('１　対象経営の概要，２　前提条件'!$AB$27+'１　対象経営の概要，２　前提条件'!$AM$27)</f>
        <v>1245600.2033333334</v>
      </c>
      <c r="H9" s="28">
        <f>'７－３　水稲部門（加工用米）収支'!F8*'１　対象経営の概要，２　前提条件'!$AM$28</f>
        <v>560520.0915</v>
      </c>
      <c r="I9" s="28">
        <f>'７－４　きく部門収支'!F8*10</f>
        <v>1039610</v>
      </c>
      <c r="J9" s="25"/>
    </row>
    <row r="10" spans="2:10" ht="19.5" customHeight="1">
      <c r="B10" s="750"/>
      <c r="C10" s="772"/>
      <c r="D10" s="22" t="s">
        <v>92</v>
      </c>
      <c r="E10" s="23"/>
      <c r="F10" s="24">
        <f t="shared" si="0"/>
        <v>1389189.2432</v>
      </c>
      <c r="G10" s="28">
        <f>'７－１　水稲部門（コシヒカリ）収支'!F9*('１　対象経営の概要，２　前提条件'!$AB$26+'１　対象経営の概要，２　前提条件'!$AM$26+'１　対象経営の概要，２　前提条件'!$AB$28)+'７－２　水稲部門（こいもみじ）収支 '!F9*('１　対象経営の概要，２　前提条件'!$AB$27+'１　対象経営の概要，２　前提条件'!$AM$27)</f>
        <v>716153.6159999999</v>
      </c>
      <c r="H10" s="28">
        <f>'７－３　水稲部門（加工用米）収支'!F9*'１　対象経営の概要，２　前提条件'!$AM$28</f>
        <v>322269.12719999993</v>
      </c>
      <c r="I10" s="28">
        <f>'７－４　きく部門収支'!F9*10</f>
        <v>350766.49999999994</v>
      </c>
      <c r="J10" s="25"/>
    </row>
    <row r="11" spans="2:10" ht="19.5" customHeight="1">
      <c r="B11" s="750"/>
      <c r="C11" s="772"/>
      <c r="D11" s="22" t="s">
        <v>62</v>
      </c>
      <c r="E11" s="23"/>
      <c r="F11" s="24">
        <f t="shared" si="0"/>
        <v>1267553.5833333333</v>
      </c>
      <c r="G11" s="28">
        <f>'７－１　水稲部門（コシヒカリ）収支'!F10*('１　対象経営の概要，２　前提条件'!$AB$26+'１　対象経営の概要，２　前提条件'!$AM$26+'１　対象経営の概要，２　前提条件'!$AB$28)+'７－２　水稲部門（こいもみじ）収支 '!F10*('１　対象経営の概要，２　前提条件'!$AB$27+'１　対象経営の概要，２　前提条件'!$AM$27)</f>
        <v>116133.33333333334</v>
      </c>
      <c r="H11" s="28">
        <f>'７－３　水稲部門（加工用米）収支'!F10*'１　対象経営の概要，２　前提条件'!$AM$28</f>
        <v>52260</v>
      </c>
      <c r="I11" s="28">
        <f>'７－４　きく部門収支'!F10*10</f>
        <v>1099160.25</v>
      </c>
      <c r="J11" s="25"/>
    </row>
    <row r="12" spans="2:10" ht="19.5" customHeight="1">
      <c r="B12" s="750"/>
      <c r="C12" s="772"/>
      <c r="D12" s="22" t="s">
        <v>6</v>
      </c>
      <c r="E12" s="23"/>
      <c r="F12" s="24">
        <f t="shared" si="0"/>
        <v>70116.66666666667</v>
      </c>
      <c r="G12" s="28">
        <f>'７－１　水稲部門（コシヒカリ）収支'!F11*('１　対象経営の概要，２　前提条件'!$AB$26+'１　対象経営の概要，２　前提条件'!$AM$26+'１　対象経営の概要，２　前提条件'!$AB$28)+'７－２　水稲部門（こいもみじ）収支 '!F11*('１　対象経営の概要，２　前提条件'!$AB$27+'１　対象経営の概要，２　前提条件'!$AM$27)</f>
        <v>1666.6666666666665</v>
      </c>
      <c r="H12" s="28">
        <f>'７－３　水稲部門（加工用米）収支'!F11*'１　対象経営の概要，２　前提条件'!$AM$28</f>
        <v>750</v>
      </c>
      <c r="I12" s="28">
        <f>'７－４　きく部門収支'!F11*10</f>
        <v>67700</v>
      </c>
      <c r="J12" s="25"/>
    </row>
    <row r="13" spans="2:10" ht="19.5" customHeight="1">
      <c r="B13" s="750"/>
      <c r="C13" s="772"/>
      <c r="D13" s="22" t="s">
        <v>7</v>
      </c>
      <c r="E13" s="23"/>
      <c r="F13" s="24">
        <f t="shared" si="0"/>
        <v>313200</v>
      </c>
      <c r="G13" s="28">
        <f>'７－１　水稲部門（コシヒカリ）収支'!F12*('１　対象経営の概要，２　前提条件'!$AB$26+'１　対象経営の概要，２　前提条件'!$AM$26+'１　対象経営の概要，２　前提条件'!$AB$28)+'７－２　水稲部門（こいもみじ）収支 '!F12*('１　対象経営の概要，２　前提条件'!$AB$27+'１　対象経営の概要，２　前提条件'!$AM$27)</f>
        <v>216000</v>
      </c>
      <c r="H13" s="28">
        <f>'７－３　水稲部門（加工用米）収支'!F12*'１　対象経営の概要，２　前提条件'!$AM$28</f>
        <v>97200</v>
      </c>
      <c r="I13" s="28">
        <f>'７－４　きく部門収支'!F12*10</f>
        <v>0</v>
      </c>
      <c r="J13" s="25" t="s">
        <v>447</v>
      </c>
    </row>
    <row r="14" spans="2:10" ht="19.5" customHeight="1">
      <c r="B14" s="750"/>
      <c r="C14" s="772"/>
      <c r="D14" s="774" t="s">
        <v>63</v>
      </c>
      <c r="E14" s="29" t="s">
        <v>210</v>
      </c>
      <c r="F14" s="24">
        <f t="shared" si="0"/>
        <v>252591</v>
      </c>
      <c r="G14" s="28">
        <f>'７－１　水稲部門（コシヒカリ）収支'!F13*('１　対象経営の概要，２　前提条件'!$AB$26+'１　対象経営の概要，２　前提条件'!$AM$26+'１　対象経営の概要，２　前提条件'!$AB$28)+'７－２　水稲部門（こいもみじ）収支 '!F13*('１　対象経営の概要，２　前提条件'!$AB$27+'１　対象経営の概要，２　前提条件'!$AM$27)</f>
        <v>143000.6896551724</v>
      </c>
      <c r="H14" s="28">
        <f>'７－３　水稲部門（加工用米）収支'!F13*'１　対象経営の概要，２　前提条件'!$AM$28</f>
        <v>64350.31034482759</v>
      </c>
      <c r="I14" s="28">
        <f>'７－４　きく部門収支'!F13*10</f>
        <v>45240</v>
      </c>
      <c r="J14" s="25"/>
    </row>
    <row r="15" spans="2:10" ht="19.5" customHeight="1">
      <c r="B15" s="750"/>
      <c r="C15" s="772"/>
      <c r="D15" s="775"/>
      <c r="E15" s="29" t="s">
        <v>211</v>
      </c>
      <c r="F15" s="24">
        <f t="shared" si="0"/>
        <v>2461523.6</v>
      </c>
      <c r="G15" s="28">
        <f>'７－１　水稲部門（コシヒカリ）収支'!F14*('１　対象経営の概要，２　前提条件'!$AB$26+'１　対象経営の概要，２　前提条件'!$AM$26+'１　対象経営の概要，２　前提条件'!$AB$28)+'７－２　水稲部門（こいもみじ）収支 '!F14*('１　対象経営の概要，２　前提条件'!$AB$27+'１　対象経営の概要，２　前提条件'!$AM$27)</f>
        <v>1516644.5977011495</v>
      </c>
      <c r="H15" s="28">
        <f>'７－３　水稲部門（加工用米）収支'!F14*'１　対象経営の概要，２　前提条件'!$AM$28</f>
        <v>682490.0689655172</v>
      </c>
      <c r="I15" s="28">
        <f>'７－４　きく部門収支'!F14*10</f>
        <v>262388.9333333333</v>
      </c>
      <c r="J15" s="25"/>
    </row>
    <row r="16" spans="2:10" ht="19.5" customHeight="1">
      <c r="B16" s="750"/>
      <c r="C16" s="772"/>
      <c r="D16" s="776" t="s">
        <v>93</v>
      </c>
      <c r="E16" s="29" t="s">
        <v>210</v>
      </c>
      <c r="F16" s="24">
        <f t="shared" si="0"/>
        <v>1385430</v>
      </c>
      <c r="G16" s="28">
        <f>'７－１　水稲部門（コシヒカリ）収支'!F15*('１　対象経営の概要，２　前提条件'!$AB$26+'１　対象経営の概要，２　前提条件'!$AM$26+'１　対象経営の概要，２　前提条件'!$AB$28)+'７－２　水稲部門（こいもみじ）収支 '!F15*('１　対象経営の概要，２　前提条件'!$AB$27+'１　対象経営の概要，２　前提条件'!$AM$27)</f>
        <v>749979.3103448276</v>
      </c>
      <c r="H16" s="28">
        <f>'７－３　水稲部門（加工用米）収支'!F15*'１　対象経営の概要，２　前提条件'!$AM$28</f>
        <v>337490.6896551724</v>
      </c>
      <c r="I16" s="28">
        <f>'７－４　きく部門収支'!F15*10</f>
        <v>297960</v>
      </c>
      <c r="J16" s="25"/>
    </row>
    <row r="17" spans="2:10" ht="19.5" customHeight="1">
      <c r="B17" s="750"/>
      <c r="C17" s="772"/>
      <c r="D17" s="777"/>
      <c r="E17" s="29" t="s">
        <v>211</v>
      </c>
      <c r="F17" s="24">
        <f t="shared" si="0"/>
        <v>7335067.428571429</v>
      </c>
      <c r="G17" s="28">
        <f>'７－１　水稲部門（コシヒカリ）収支'!F16*('１　対象経営の概要，２　前提条件'!$AB$26+'１　対象経営の概要，２　前提条件'!$AM$26+'１　対象経営の概要，２　前提条件'!$AB$28)+'７－２　水稲部門（こいもみじ）収支 '!F16*('１　対象経営の概要，２　前提条件'!$AB$27+'１　対象経営の概要，２　前提条件'!$AM$27)</f>
        <v>4509822.0032840725</v>
      </c>
      <c r="H17" s="28">
        <f>'７－３　水稲部門（加工用米）収支'!F16*'１　対象経営の概要，２　前提条件'!$AM$28</f>
        <v>2029419.9014778326</v>
      </c>
      <c r="I17" s="28">
        <f>'７－４　きく部門収支'!F16*10</f>
        <v>795825.5238095238</v>
      </c>
      <c r="J17" s="25" t="s">
        <v>460</v>
      </c>
    </row>
    <row r="18" spans="2:10" ht="19.5" customHeight="1">
      <c r="B18" s="750"/>
      <c r="C18" s="772"/>
      <c r="D18" s="775"/>
      <c r="E18" s="31" t="s">
        <v>64</v>
      </c>
      <c r="F18" s="24">
        <f t="shared" si="0"/>
        <v>0</v>
      </c>
      <c r="G18" s="28">
        <f>'７－１　水稲部門（コシヒカリ）収支'!F17*('１　対象経営の概要，２　前提条件'!$AB$26+'１　対象経営の概要，２　前提条件'!$AM$26+'１　対象経営の概要，２　前提条件'!$AB$28)+'７－２　水稲部門（こいもみじ）収支 '!F17*('１　対象経営の概要，２　前提条件'!$AB$27+'１　対象経営の概要，２　前提条件'!$AM$27)</f>
        <v>0</v>
      </c>
      <c r="H18" s="28">
        <f>'７－３　水稲部門（加工用米）収支'!F17*'１　対象経営の概要，２　前提条件'!$AM$28</f>
        <v>0</v>
      </c>
      <c r="I18" s="28">
        <f>'７－４　きく部門収支'!F17*10</f>
        <v>0</v>
      </c>
      <c r="J18" s="25"/>
    </row>
    <row r="19" spans="2:10" ht="19.5" customHeight="1">
      <c r="B19" s="750"/>
      <c r="C19" s="772"/>
      <c r="D19" s="778" t="s">
        <v>291</v>
      </c>
      <c r="E19" s="31" t="s">
        <v>128</v>
      </c>
      <c r="F19" s="24">
        <f t="shared" si="0"/>
        <v>0</v>
      </c>
      <c r="G19" s="28">
        <f>'７－１　水稲部門（コシヒカリ）収支'!F18*('１　対象経営の概要，２　前提条件'!$AB$26+'１　対象経営の概要，２　前提条件'!$AM$26+'１　対象経営の概要，２　前提条件'!$AB$28)+'７－２　水稲部門（こいもみじ）収支 '!F18*('１　対象経営の概要，２　前提条件'!$AB$27+'１　対象経営の概要，２　前提条件'!$AM$27)</f>
        <v>0</v>
      </c>
      <c r="H19" s="28">
        <f>'７－３　水稲部門（加工用米）収支'!F18*'１　対象経営の概要，２　前提条件'!$AM$28</f>
        <v>0</v>
      </c>
      <c r="I19" s="28">
        <f>'７－４　きく部門収支'!F18*10</f>
        <v>0</v>
      </c>
      <c r="J19" s="25"/>
    </row>
    <row r="20" spans="2:10" ht="19.5" customHeight="1">
      <c r="B20" s="750"/>
      <c r="C20" s="772"/>
      <c r="D20" s="778"/>
      <c r="E20" s="31" t="s">
        <v>124</v>
      </c>
      <c r="F20" s="24">
        <f t="shared" si="0"/>
        <v>1125410.0000000002</v>
      </c>
      <c r="G20" s="28">
        <f>'７－１　水稲部門（コシヒカリ）収支'!F19*('１　対象経営の概要，２　前提条件'!$AB$26+'１　対象経営の概要，２　前提条件'!$AM$26+'１　対象経営の概要，２　前提条件'!$AB$28)+'７－２　水稲部門（こいもみじ）収支 '!F19*('１　対象経営の概要，２　前提条件'!$AB$27+'１　対象経営の概要，２　前提条件'!$AM$27)</f>
        <v>745800.0000000001</v>
      </c>
      <c r="H20" s="28">
        <f>'７－３　水稲部門（加工用米）収支'!F19*'１　対象経営の概要，２　前提条件'!$AM$28</f>
        <v>335610.00000000006</v>
      </c>
      <c r="I20" s="28">
        <f>'７－４　きく部門収支'!F19*10</f>
        <v>44000</v>
      </c>
      <c r="J20" s="25"/>
    </row>
    <row r="21" spans="2:10" ht="19.5" customHeight="1">
      <c r="B21" s="750"/>
      <c r="C21" s="772"/>
      <c r="D21" s="778"/>
      <c r="E21" s="31" t="s">
        <v>125</v>
      </c>
      <c r="F21" s="24">
        <f t="shared" si="0"/>
        <v>7550640</v>
      </c>
      <c r="G21" s="28">
        <f>'７－１　水稲部門（コシヒカリ）収支'!F20*('１　対象経営の概要，２　前提条件'!$AB$26+'１　対象経営の概要，２　前提条件'!$AM$26+'１　対象経営の概要，２　前提条件'!$AB$28)+'７－２　水稲部門（こいもみじ）収支 '!F20*('１　対象経営の概要，２　前提条件'!$AB$27+'１　対象経営の概要，２　前提条件'!$AM$27)</f>
        <v>1116000</v>
      </c>
      <c r="H21" s="28">
        <f>'７－３　水稲部門（加工用米）収支'!F20*'１　対象経営の概要，２　前提条件'!$AM$28</f>
        <v>502200</v>
      </c>
      <c r="I21" s="28">
        <f>'７－４　きく部門収支'!F20*10</f>
        <v>5932440</v>
      </c>
      <c r="J21" s="25"/>
    </row>
    <row r="22" spans="2:10" ht="19.5" customHeight="1">
      <c r="B22" s="750"/>
      <c r="C22" s="772"/>
      <c r="D22" s="778"/>
      <c r="E22" s="31" t="s">
        <v>127</v>
      </c>
      <c r="F22" s="24">
        <f t="shared" si="0"/>
        <v>104112.6</v>
      </c>
      <c r="G22" s="28">
        <f>'７－１　水稲部門（コシヒカリ）収支'!F21*('１　対象経営の概要，２　前提条件'!$AB$26+'１　対象経営の概要，２　前提条件'!$AM$26+'１　対象経営の概要，２　前提条件'!$AB$28)+'７－２　水稲部門（こいもみじ）収支 '!F21*('１　対象経営の概要，２　前提条件'!$AB$27+'１　対象経営の概要，２　前提条件'!$AM$27)</f>
        <v>22341.6</v>
      </c>
      <c r="H22" s="28">
        <f>'７－３　水稲部門（加工用米）収支'!F21*'１　対象経営の概要，２　前提条件'!$AM$28</f>
        <v>10053.72</v>
      </c>
      <c r="I22" s="28">
        <f>'７－４　きく部門収支'!F21*10</f>
        <v>71717.28</v>
      </c>
      <c r="J22" s="25"/>
    </row>
    <row r="23" spans="2:10" ht="19.5" customHeight="1">
      <c r="B23" s="750"/>
      <c r="C23" s="772"/>
      <c r="D23" s="776" t="s">
        <v>65</v>
      </c>
      <c r="E23" s="23" t="s">
        <v>66</v>
      </c>
      <c r="F23" s="24">
        <f t="shared" si="0"/>
        <v>689040</v>
      </c>
      <c r="G23" s="28">
        <f>'７－１　水稲部門（コシヒカリ）収支'!F22*('１　対象経営の概要，２　前提条件'!$AB$26+'１　対象経営の概要，２　前提条件'!$AM$26+'１　対象経営の概要，２　前提条件'!$AB$28)+'７－２　水稲部門（こいもみじ）収支 '!F22*('１　対象経営の概要，２　前提条件'!$AB$27+'１　対象経営の概要，２　前提条件'!$AM$27)</f>
        <v>475200</v>
      </c>
      <c r="H23" s="28">
        <f>'７－３　水稲部門（加工用米）収支'!F22*'１　対象経営の概要，２　前提条件'!$AM$28</f>
        <v>213840</v>
      </c>
      <c r="I23" s="28">
        <f>'７－４　きく部門収支'!F22*10</f>
        <v>0</v>
      </c>
      <c r="J23" s="25"/>
    </row>
    <row r="24" spans="2:10" ht="19.5" customHeight="1">
      <c r="B24" s="750"/>
      <c r="C24" s="772"/>
      <c r="D24" s="775"/>
      <c r="E24" s="23" t="s">
        <v>94</v>
      </c>
      <c r="F24" s="24">
        <f t="shared" si="0"/>
        <v>1450000</v>
      </c>
      <c r="G24" s="28">
        <f>'７－１　水稲部門（コシヒカリ）収支'!F23*('１　対象経営の概要，２　前提条件'!$AB$26+'１　対象経営の概要，２　前提条件'!$AM$26+'１　対象経営の概要，２　前提条件'!$AB$28)+'７－２　水稲部門（こいもみじ）収支 '!F23*('１　対象経営の概要，２　前提条件'!$AB$27+'１　対象経営の概要，２　前提条件'!$AM$27)</f>
        <v>1000000</v>
      </c>
      <c r="H24" s="28">
        <f>'７－３　水稲部門（加工用米）収支'!F23*'１　対象経営の概要，２　前提条件'!$AM$28</f>
        <v>450000</v>
      </c>
      <c r="I24" s="28">
        <f>'７－４　きく部門収支'!F23*10</f>
        <v>0</v>
      </c>
      <c r="J24" s="25"/>
    </row>
    <row r="25" spans="2:10" ht="19.5" customHeight="1">
      <c r="B25" s="750"/>
      <c r="C25" s="772"/>
      <c r="D25" s="22" t="s">
        <v>67</v>
      </c>
      <c r="E25" s="23"/>
      <c r="F25" s="24">
        <f t="shared" si="0"/>
        <v>900000</v>
      </c>
      <c r="G25" s="28">
        <f>'７－１　水稲部門（コシヒカリ）収支'!F24*('１　対象経営の概要，２　前提条件'!$AB$26+'１　対象経営の概要，２　前提条件'!$AM$26+'１　対象経営の概要，２　前提条件'!$AB$28)+'７－２　水稲部門（こいもみじ）収支 '!F24*('１　対象経営の概要，２　前提条件'!$AB$27+'１　対象経営の概要，２　前提条件'!$AM$27)</f>
        <v>600000</v>
      </c>
      <c r="H25" s="28">
        <f>'７－３　水稲部門（加工用米）収支'!F24*'１　対象経営の概要，２　前提条件'!$AM$28</f>
        <v>270000</v>
      </c>
      <c r="I25" s="28">
        <f>'７－４　きく部門収支'!F24*10</f>
        <v>30000</v>
      </c>
      <c r="J25" s="25"/>
    </row>
    <row r="26" spans="2:10" ht="19.5" customHeight="1">
      <c r="B26" s="750"/>
      <c r="C26" s="772"/>
      <c r="D26" s="22" t="s">
        <v>187</v>
      </c>
      <c r="E26" s="23"/>
      <c r="F26" s="24">
        <f t="shared" si="0"/>
        <v>346649.16228893696</v>
      </c>
      <c r="G26" s="28">
        <f>'７－１　水稲部門（コシヒカリ）収支'!F25*('１　対象経営の概要，２　前提条件'!$AB$26+'１　対象経営の概要，２　前提条件'!$AM$26+'１　対象経営の概要，２　前提条件'!$AB$28)+'７－２　水稲部門（こいもみじ）収支 '!F25*('１　対象経営の概要，２　前提条件'!$AB$27+'１　対象経営の概要，２　前提条件'!$AM$27)</f>
        <v>159800.505255743</v>
      </c>
      <c r="H26" s="28">
        <f>'７－３　水稲部門（加工用米）収支'!F25*'１　対象経営の概要，２　前提条件'!$AM$28</f>
        <v>74076.45009235707</v>
      </c>
      <c r="I26" s="28">
        <f>'７－４　きく部門収支'!F25*10</f>
        <v>112772.20694083691</v>
      </c>
      <c r="J26" s="25"/>
    </row>
    <row r="27" spans="2:10" ht="19.5" customHeight="1">
      <c r="B27" s="750"/>
      <c r="C27" s="773"/>
      <c r="D27" s="779" t="s">
        <v>227</v>
      </c>
      <c r="E27" s="780"/>
      <c r="F27" s="30">
        <f>SUM(F7:F26)</f>
        <v>34664916.2288937</v>
      </c>
      <c r="G27" s="30">
        <f>SUM(G7:G26)</f>
        <v>15980050.525574299</v>
      </c>
      <c r="H27" s="30">
        <f>SUM(H7:H26)</f>
        <v>7407645.009235706</v>
      </c>
      <c r="I27" s="30">
        <f>SUM(I7:I26)</f>
        <v>11277220.694083694</v>
      </c>
      <c r="J27" s="25"/>
    </row>
    <row r="28" spans="2:10" ht="19.5" customHeight="1">
      <c r="B28" s="750"/>
      <c r="C28" s="769" t="s">
        <v>224</v>
      </c>
      <c r="D28" s="781"/>
      <c r="E28" s="770"/>
      <c r="F28" s="26">
        <f>F6-F27</f>
        <v>5508468.771106303</v>
      </c>
      <c r="G28" s="26">
        <f>G6-G27</f>
        <v>2079949.4744257014</v>
      </c>
      <c r="H28" s="26">
        <f>H6-H27</f>
        <v>-225645.00923570618</v>
      </c>
      <c r="I28" s="26">
        <f>I6-I27</f>
        <v>3654164.3059163056</v>
      </c>
      <c r="J28" s="25"/>
    </row>
    <row r="29" spans="2:10" ht="19.5" customHeight="1">
      <c r="B29" s="750"/>
      <c r="C29" s="755" t="s">
        <v>217</v>
      </c>
      <c r="D29" s="784" t="s">
        <v>68</v>
      </c>
      <c r="E29" s="31" t="s">
        <v>3</v>
      </c>
      <c r="F29" s="28">
        <f>SUM(G29:I29)</f>
        <v>986900</v>
      </c>
      <c r="G29" s="28">
        <f>'７－１　水稲部門（コシヒカリ）収支'!F27*('１　対象経営の概要，２　前提条件'!$AB$26+'１　対象経営の概要，２　前提条件'!$AM$26+'１　対象経営の概要，２　前提条件'!$AB$28)+'７－２　水稲部門（こいもみじ）収支 '!F27*('１　対象経営の概要，２　前提条件'!$AB$27+'１　対象経営の概要，２　前提条件'!$AM$27)</f>
        <v>284000</v>
      </c>
      <c r="H29" s="28">
        <f>'７－３　水稲部門（加工用米）収支'!F27*'１　対象経営の概要，２　前提条件'!$AM$28</f>
        <v>144000</v>
      </c>
      <c r="I29" s="28">
        <f>'７－４　きく部門収支'!F27*10</f>
        <v>558900</v>
      </c>
      <c r="J29" s="25"/>
    </row>
    <row r="30" spans="2:10" ht="19.5" customHeight="1">
      <c r="B30" s="750"/>
      <c r="C30" s="782"/>
      <c r="D30" s="785"/>
      <c r="E30" s="31" t="s">
        <v>4</v>
      </c>
      <c r="F30" s="28">
        <f>SUM(G30:I30)</f>
        <v>833490</v>
      </c>
      <c r="G30" s="28">
        <f>'７－１　水稲部門（コシヒカリ）収支'!F28*('１　対象経営の概要，２　前提条件'!$AB$26+'１　対象経営の概要，２　前提条件'!$AM$26+'１　対象経営の概要，２　前提条件'!$AB$28)+'７－２　水稲部門（こいもみじ）収支 '!F28*('１　対象経営の概要，２　前提条件'!$AB$27+'１　対象経営の概要，２　前提条件'!$AM$27)</f>
        <v>0</v>
      </c>
      <c r="H30" s="28">
        <f>'７－３　水稲部門（加工用米）収支'!F28*'１　対象経営の概要，２　前提条件'!$AM$28</f>
        <v>0</v>
      </c>
      <c r="I30" s="28">
        <f>'７－４　きく部門収支'!F28*10</f>
        <v>833490</v>
      </c>
      <c r="J30" s="25"/>
    </row>
    <row r="31" spans="2:10" ht="19.5" customHeight="1">
      <c r="B31" s="750"/>
      <c r="C31" s="782"/>
      <c r="D31" s="786"/>
      <c r="E31" s="31" t="s">
        <v>8</v>
      </c>
      <c r="F31" s="28">
        <f>SUM(G31:I31)</f>
        <v>2298800.8249999997</v>
      </c>
      <c r="G31" s="28">
        <f>'７－１　水稲部門（コシヒカリ）収支'!F29*('１　対象経営の概要，２　前提条件'!$AB$26+'１　対象経営の概要，２　前提条件'!$AM$26+'１　対象経営の概要，２　前提条件'!$AB$28)+'７－２　水稲部門（こいもみじ）収支 '!F29*('１　対象経営の概要，２　前提条件'!$AB$27+'１　対象経営の概要，２　前提条件'!$AM$27)</f>
        <v>88750</v>
      </c>
      <c r="H31" s="28">
        <f>'７－３　水稲部門（加工用米）収支'!F29*'１　対象経営の概要，２　前提条件'!$AM$28</f>
        <v>45000</v>
      </c>
      <c r="I31" s="28">
        <f>'７－４　きく部門収支'!F29*10</f>
        <v>2165050.8249999997</v>
      </c>
      <c r="J31" s="25"/>
    </row>
    <row r="32" spans="2:10" ht="19.5" customHeight="1">
      <c r="B32" s="750"/>
      <c r="C32" s="782"/>
      <c r="D32" s="41" t="s">
        <v>69</v>
      </c>
      <c r="E32" s="42"/>
      <c r="F32" s="408">
        <v>0</v>
      </c>
      <c r="G32" s="408">
        <v>0</v>
      </c>
      <c r="H32" s="408">
        <v>0</v>
      </c>
      <c r="I32" s="408">
        <v>0</v>
      </c>
      <c r="J32" s="25"/>
    </row>
    <row r="33" spans="2:10" ht="19.5" customHeight="1">
      <c r="B33" s="750"/>
      <c r="C33" s="782"/>
      <c r="D33" s="787" t="s">
        <v>292</v>
      </c>
      <c r="E33" s="31" t="s">
        <v>128</v>
      </c>
      <c r="F33" s="409">
        <v>0</v>
      </c>
      <c r="G33" s="409">
        <v>0</v>
      </c>
      <c r="H33" s="409">
        <v>0</v>
      </c>
      <c r="I33" s="409">
        <v>0</v>
      </c>
      <c r="J33" s="25"/>
    </row>
    <row r="34" spans="2:10" ht="19.5" customHeight="1">
      <c r="B34" s="750"/>
      <c r="C34" s="782"/>
      <c r="D34" s="787"/>
      <c r="E34" s="31" t="s">
        <v>127</v>
      </c>
      <c r="F34" s="408">
        <v>0</v>
      </c>
      <c r="G34" s="408">
        <v>0</v>
      </c>
      <c r="H34" s="408">
        <v>0</v>
      </c>
      <c r="I34" s="408">
        <v>0</v>
      </c>
      <c r="J34" s="25"/>
    </row>
    <row r="35" spans="2:10" ht="19.5" customHeight="1">
      <c r="B35" s="750"/>
      <c r="C35" s="782"/>
      <c r="D35" s="41" t="s">
        <v>70</v>
      </c>
      <c r="E35" s="42"/>
      <c r="F35" s="409">
        <v>0</v>
      </c>
      <c r="G35" s="409">
        <v>0</v>
      </c>
      <c r="H35" s="409">
        <v>0</v>
      </c>
      <c r="I35" s="409">
        <v>0</v>
      </c>
      <c r="J35" s="25"/>
    </row>
    <row r="36" spans="2:10" ht="19.5" customHeight="1">
      <c r="B36" s="750"/>
      <c r="C36" s="782"/>
      <c r="D36" s="41" t="s">
        <v>95</v>
      </c>
      <c r="E36" s="42"/>
      <c r="F36" s="408">
        <v>0</v>
      </c>
      <c r="G36" s="408">
        <v>0</v>
      </c>
      <c r="H36" s="408">
        <v>0</v>
      </c>
      <c r="I36" s="408">
        <v>0</v>
      </c>
      <c r="J36" s="25"/>
    </row>
    <row r="37" spans="2:10" ht="19.5" customHeight="1">
      <c r="B37" s="750"/>
      <c r="C37" s="782"/>
      <c r="D37" s="41" t="s">
        <v>131</v>
      </c>
      <c r="E37" s="42"/>
      <c r="F37" s="24">
        <f>SUM(G37:I37)</f>
        <v>258030.55555555556</v>
      </c>
      <c r="G37" s="28">
        <f>'７－１　水稲部門（コシヒカリ）収支'!F35*('１　対象経営の概要，２　前提条件'!$AB$26+'１　対象経営の概要，２　前提条件'!$AM$26+'１　対象経営の概要，２　前提条件'!$AB$28)+'７－２　水稲部門（こいもみじ）収支 '!F35*('１　対象経営の概要，２　前提条件'!$AB$27+'１　対象経営の概要，２　前提条件'!$AM$27)</f>
        <v>159055.55555555556</v>
      </c>
      <c r="H37" s="28">
        <f>'７－３　水稲部門（加工用米）収支'!F35*'１　対象経営の概要，２　前提条件'!$AM$28</f>
        <v>71575</v>
      </c>
      <c r="I37" s="28">
        <f>'７－４　きく部門収支'!F35*10</f>
        <v>27400</v>
      </c>
      <c r="J37" s="25"/>
    </row>
    <row r="38" spans="2:10" ht="19.5" customHeight="1">
      <c r="B38" s="750"/>
      <c r="C38" s="782"/>
      <c r="D38" s="41" t="s">
        <v>96</v>
      </c>
      <c r="E38" s="42"/>
      <c r="F38" s="24">
        <f>SUM(G38:I38)</f>
        <v>0</v>
      </c>
      <c r="G38" s="28">
        <f>'７－１　水稲部門（コシヒカリ）収支'!F36*('１　対象経営の概要，２　前提条件'!$AB$26+'１　対象経営の概要，２　前提条件'!$AM$26+'１　対象経営の概要，２　前提条件'!$AB$28)+'７－２　水稲部門（こいもみじ）収支 '!F36*('１　対象経営の概要，２　前提条件'!$AB$27+'１　対象経営の概要，２　前提条件'!$AM$27)</f>
        <v>0</v>
      </c>
      <c r="H38" s="28">
        <f>'７－３　水稲部門（加工用米）収支'!F36*'１　対象経営の概要，２　前提条件'!$AM$28</f>
        <v>0</v>
      </c>
      <c r="I38" s="28">
        <f>'７－４　きく部門収支'!F36*10</f>
        <v>0</v>
      </c>
      <c r="J38" s="25"/>
    </row>
    <row r="39" spans="2:10" ht="19.5" customHeight="1">
      <c r="B39" s="750"/>
      <c r="C39" s="782"/>
      <c r="D39" s="41" t="s">
        <v>71</v>
      </c>
      <c r="E39" s="42"/>
      <c r="F39" s="24">
        <f>SUM(G39:I39)</f>
        <v>161112.94393103448</v>
      </c>
      <c r="G39" s="28">
        <f>'７－１　水稲部門（コシヒカリ）収支'!F37*('１　対象経営の概要，２　前提条件'!$AB$26+'１　対象経営の概要，２　前提条件'!$AM$26+'１　対象経営の概要，２　前提条件'!$AB$28)+'７－２　水稲部門（こいもみじ）収支 '!F37*('１　対象経営の概要，２　前提条件'!$AB$27+'１　対象経営の概要，２　前提条件'!$AM$27)</f>
        <v>82622.02252873563</v>
      </c>
      <c r="H39" s="28">
        <f>'７－３　水稲部門（加工用米）収支'!F37*'１　対象経営の概要，２　前提条件'!$AM$28</f>
        <v>37179.91013793104</v>
      </c>
      <c r="I39" s="28">
        <f>'７－４　きく部門収支'!F37*10</f>
        <v>41311.011264367815</v>
      </c>
      <c r="J39" s="25"/>
    </row>
    <row r="40" spans="2:10" ht="19.5" customHeight="1">
      <c r="B40" s="750"/>
      <c r="C40" s="782"/>
      <c r="D40" s="41" t="s">
        <v>0</v>
      </c>
      <c r="E40" s="42"/>
      <c r="F40" s="24">
        <f>SUM(G40:I40)</f>
        <v>0</v>
      </c>
      <c r="G40" s="28">
        <f>'７－１　水稲部門（コシヒカリ）収支'!F38*('１　対象経営の概要，２　前提条件'!$AB$26+'１　対象経営の概要，２　前提条件'!$AM$26+'１　対象経営の概要，２　前提条件'!$AB$28)+'７－２　水稲部門（こいもみじ）収支 '!F38*('１　対象経営の概要，２　前提条件'!$AB$27+'１　対象経営の概要，２　前提条件'!$AM$27)</f>
        <v>0</v>
      </c>
      <c r="H40" s="28">
        <f>'７－３　水稲部門（加工用米）収支'!F38*'１　対象経営の概要，２　前提条件'!$AM$28</f>
        <v>0</v>
      </c>
      <c r="I40" s="28">
        <f>'７－４　きく部門収支'!F38*10</f>
        <v>0</v>
      </c>
      <c r="J40" s="25"/>
    </row>
    <row r="41" spans="2:10" ht="19.5" customHeight="1" thickBot="1">
      <c r="B41" s="765"/>
      <c r="C41" s="783"/>
      <c r="D41" s="756" t="s">
        <v>225</v>
      </c>
      <c r="E41" s="758"/>
      <c r="F41" s="32">
        <f>SUM(G41:H41)</f>
        <v>912182.4882222223</v>
      </c>
      <c r="G41" s="32">
        <f>SUM(G29:G40)</f>
        <v>614427.5780842912</v>
      </c>
      <c r="H41" s="32">
        <f>SUM(H29:H40)</f>
        <v>297754.91013793106</v>
      </c>
      <c r="I41" s="32">
        <f>SUM(I29:I40)</f>
        <v>3626151.8362643677</v>
      </c>
      <c r="J41" s="33"/>
    </row>
    <row r="42" spans="2:10" ht="19.5" customHeight="1" thickBot="1">
      <c r="B42" s="747" t="s">
        <v>228</v>
      </c>
      <c r="C42" s="748"/>
      <c r="D42" s="748"/>
      <c r="E42" s="748"/>
      <c r="F42" s="34">
        <f>SUM(G42:H42)</f>
        <v>942121.9769677729</v>
      </c>
      <c r="G42" s="239">
        <f>G28-G41</f>
        <v>1465521.8963414102</v>
      </c>
      <c r="H42" s="239">
        <f>H28-H41</f>
        <v>-523399.91937363724</v>
      </c>
      <c r="I42" s="239">
        <f>I28-I41</f>
        <v>28012.46965193795</v>
      </c>
      <c r="J42" s="35"/>
    </row>
    <row r="43" spans="2:10" ht="19.5" customHeight="1">
      <c r="B43" s="749" t="s">
        <v>97</v>
      </c>
      <c r="C43" s="752" t="s">
        <v>229</v>
      </c>
      <c r="D43" s="36" t="s">
        <v>130</v>
      </c>
      <c r="E43" s="37"/>
      <c r="F43" s="38">
        <f>SUM(G43:I43)</f>
        <v>5910000</v>
      </c>
      <c r="G43" s="238">
        <f>'７－１　水稲部門（コシヒカリ）収支'!F40*('１　対象経営の概要，２　前提条件'!$AB$26+'１　対象経営の概要，２　前提条件'!$AM$26+'１　対象経営の概要，２　前提条件'!$AB$28)+'７－２　水稲部門（こいもみじ）収支 '!F40*('１　対象経営の概要，２　前提条件'!$AB$27+'１　対象経営の概要，２　前提条件'!$AM$27)</f>
        <v>1500000</v>
      </c>
      <c r="H43" s="20">
        <f>'７－３　水稲部門（加工用米）収支'!F40*'１　対象経営の概要，２　前提条件'!$AM$28</f>
        <v>4230000</v>
      </c>
      <c r="I43" s="20">
        <f>'７－４　きく部門収支'!F40*10</f>
        <v>180000</v>
      </c>
      <c r="J43" s="21"/>
    </row>
    <row r="44" spans="2:10" ht="19.5" customHeight="1">
      <c r="B44" s="750"/>
      <c r="C44" s="753"/>
      <c r="D44" s="22" t="s">
        <v>129</v>
      </c>
      <c r="E44" s="23"/>
      <c r="F44" s="39">
        <f>SUM(G44:I44)</f>
        <v>0</v>
      </c>
      <c r="G44" s="238">
        <f>'７－１　水稲部門（コシヒカリ）収支'!F41*('１　対象経営の概要，２　前提条件'!$AB$26+'１　対象経営の概要，２　前提条件'!$AM$26+'１　対象経営の概要，２　前提条件'!$AB$28)+'７－２　水稲部門（こいもみじ）収支 '!F41*('１　対象経営の概要，２　前提条件'!$AB$27+'１　対象経営の概要，２　前提条件'!$AM$27)</f>
        <v>0</v>
      </c>
      <c r="H44" s="257">
        <f>'７－３　水稲部門（加工用米）収支'!F41*'１　対象経営の概要，２　前提条件'!$AM$28</f>
        <v>0</v>
      </c>
      <c r="I44" s="257">
        <f>'７－４　きく部門収支'!F41</f>
        <v>0</v>
      </c>
      <c r="J44" s="40"/>
    </row>
    <row r="45" spans="2:10" ht="19.5" customHeight="1">
      <c r="B45" s="750"/>
      <c r="C45" s="754"/>
      <c r="D45" s="41" t="s">
        <v>72</v>
      </c>
      <c r="E45" s="23"/>
      <c r="F45" s="39">
        <f>SUM(G45:I45)</f>
        <v>0</v>
      </c>
      <c r="G45" s="238">
        <f>'７－１　水稲部門（コシヒカリ）収支'!F42*('１　対象経営の概要，２　前提条件'!$AB$26+'１　対象経営の概要，２　前提条件'!$AM$26+'１　対象経営の概要，２　前提条件'!$AB$28)+'７－２　水稲部門（こいもみじ）収支 '!F42*('１　対象経営の概要，２　前提条件'!$AB$27+'１　対象経営の概要，２　前提条件'!$AM$27)</f>
        <v>0</v>
      </c>
      <c r="H45" s="257">
        <f>'７－３　水稲部門（加工用米）収支'!F42*'１　対象経営の概要，２　前提条件'!$AM$28</f>
        <v>0</v>
      </c>
      <c r="I45" s="257">
        <f>'７－４　きく部門収支'!F42</f>
        <v>0</v>
      </c>
      <c r="J45" s="25"/>
    </row>
    <row r="46" spans="2:10" ht="19.5" customHeight="1">
      <c r="B46" s="750"/>
      <c r="C46" s="754" t="s">
        <v>230</v>
      </c>
      <c r="D46" s="41" t="s">
        <v>293</v>
      </c>
      <c r="E46" s="42"/>
      <c r="F46" s="39">
        <f>SUM(G46:I46)</f>
        <v>0</v>
      </c>
      <c r="G46" s="238">
        <f>'７－１　水稲部門（コシヒカリ）収支'!F43*('１　対象経営の概要，２　前提条件'!$AB$26+'１　対象経営の概要，２　前提条件'!$AM$26+'１　対象経営の概要，２　前提条件'!$AB$28)+'７－２　水稲部門（こいもみじ）収支 '!F43*('１　対象経営の概要，２　前提条件'!$AB$27+'１　対象経営の概要，２　前提条件'!$AM$27)</f>
        <v>0</v>
      </c>
      <c r="H46" s="257">
        <f>'７－３　水稲部門（加工用米）収支'!F43*'１　対象経営の概要，２　前提条件'!$AM$28</f>
        <v>0</v>
      </c>
      <c r="I46" s="257">
        <f>'７－４　きく部門収支'!F43</f>
        <v>0</v>
      </c>
      <c r="J46" s="40"/>
    </row>
    <row r="47" spans="2:10" ht="19.5" customHeight="1">
      <c r="B47" s="750"/>
      <c r="C47" s="755"/>
      <c r="D47" s="43" t="s">
        <v>1</v>
      </c>
      <c r="E47" s="44"/>
      <c r="F47" s="39">
        <f>SUM(G47:I47)</f>
        <v>0</v>
      </c>
      <c r="G47" s="238">
        <f>'７－１　水稲部門（コシヒカリ）収支'!F44*('１　対象経営の概要，２　前提条件'!$AB$26+'１　対象経営の概要，２　前提条件'!$AM$26+'１　対象経営の概要，２　前提条件'!$AB$28)+'７－２　水稲部門（こいもみじ）収支 '!F44*('１　対象経営の概要，２　前提条件'!$AB$27+'１　対象経営の概要，２　前提条件'!$AM$27)</f>
        <v>0</v>
      </c>
      <c r="H47" s="257">
        <f>'７－３　水稲部門（加工用米）収支'!F44*'１　対象経営の概要，２　前提条件'!$AM$28</f>
        <v>0</v>
      </c>
      <c r="I47" s="257">
        <f>'７－４　きく部門収支'!F44</f>
        <v>0</v>
      </c>
      <c r="J47" s="45"/>
    </row>
    <row r="48" spans="2:10" ht="19.5" customHeight="1" thickBot="1">
      <c r="B48" s="751"/>
      <c r="C48" s="756" t="s">
        <v>231</v>
      </c>
      <c r="D48" s="757"/>
      <c r="E48" s="758"/>
      <c r="F48" s="46">
        <f>SUM(G48:H48)</f>
        <v>5730000</v>
      </c>
      <c r="G48" s="46">
        <f>SUM(G43:G45)-SUM(G46:G47)</f>
        <v>1500000</v>
      </c>
      <c r="H48" s="46">
        <f>SUM(H43:H45)-SUM(H46:H47)</f>
        <v>4230000</v>
      </c>
      <c r="I48" s="46">
        <f>SUM(I43:I45)-SUM(I46:I47)</f>
        <v>180000</v>
      </c>
      <c r="J48" s="33"/>
    </row>
    <row r="49" spans="2:10" ht="19.5" customHeight="1">
      <c r="B49" s="745" t="s">
        <v>232</v>
      </c>
      <c r="C49" s="746"/>
      <c r="D49" s="746"/>
      <c r="E49" s="746"/>
      <c r="F49" s="47">
        <f>SUM(G49:H49)</f>
        <v>6672121.976967773</v>
      </c>
      <c r="G49" s="47">
        <f>G42+G48</f>
        <v>2965521.8963414105</v>
      </c>
      <c r="H49" s="47">
        <f>H42+H48</f>
        <v>3706600.080626363</v>
      </c>
      <c r="I49" s="47">
        <f>I42+I48</f>
        <v>208012.46965193795</v>
      </c>
      <c r="J49" s="40"/>
    </row>
  </sheetData>
  <sheetProtection/>
  <mergeCells count="22">
    <mergeCell ref="D27:E27"/>
    <mergeCell ref="C28:E28"/>
    <mergeCell ref="C29:C41"/>
    <mergeCell ref="D29:D31"/>
    <mergeCell ref="D41:E41"/>
    <mergeCell ref="D33:D34"/>
    <mergeCell ref="B2:E3"/>
    <mergeCell ref="J2:J3"/>
    <mergeCell ref="B4:B41"/>
    <mergeCell ref="C4:C6"/>
    <mergeCell ref="D6:E6"/>
    <mergeCell ref="C7:C27"/>
    <mergeCell ref="D14:D15"/>
    <mergeCell ref="D16:D18"/>
    <mergeCell ref="D19:D22"/>
    <mergeCell ref="D23:D24"/>
    <mergeCell ref="B49:E49"/>
    <mergeCell ref="B42:E42"/>
    <mergeCell ref="B43:B48"/>
    <mergeCell ref="C43:C45"/>
    <mergeCell ref="C46:C47"/>
    <mergeCell ref="C48:E48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22.625" style="49" customWidth="1"/>
    <col min="3" max="38" width="6.125" style="49" customWidth="1"/>
    <col min="39" max="39" width="7.00390625" style="49" customWidth="1"/>
    <col min="40" max="40" width="1.4921875" style="49" customWidth="1"/>
    <col min="41" max="16384" width="9.00390625" style="49" customWidth="1"/>
  </cols>
  <sheetData>
    <row r="1" ht="9.75" customHeight="1"/>
    <row r="2" spans="2:62" ht="24.75" customHeight="1" thickBot="1">
      <c r="B2" s="2" t="s">
        <v>136</v>
      </c>
      <c r="C2" s="2"/>
      <c r="D2" s="2"/>
      <c r="E2" s="2"/>
      <c r="F2" s="2"/>
      <c r="G2" s="2"/>
      <c r="H2" s="2"/>
      <c r="I2" s="2"/>
      <c r="J2" s="2"/>
      <c r="K2" s="241" t="s">
        <v>280</v>
      </c>
      <c r="L2" s="92" t="s">
        <v>282</v>
      </c>
      <c r="M2" s="92"/>
      <c r="N2" s="241" t="s">
        <v>281</v>
      </c>
      <c r="O2" s="92" t="s">
        <v>283</v>
      </c>
      <c r="P2" s="2"/>
      <c r="Q2" s="2"/>
      <c r="R2" s="2"/>
      <c r="S2" s="2"/>
      <c r="T2" s="2"/>
      <c r="U2" s="2"/>
      <c r="V2" s="5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2:43" ht="19.5" customHeight="1">
      <c r="B3" s="796" t="s">
        <v>132</v>
      </c>
      <c r="C3" s="788">
        <v>1</v>
      </c>
      <c r="D3" s="789"/>
      <c r="E3" s="790"/>
      <c r="F3" s="788">
        <v>2</v>
      </c>
      <c r="G3" s="789"/>
      <c r="H3" s="790"/>
      <c r="I3" s="788">
        <v>3</v>
      </c>
      <c r="J3" s="789"/>
      <c r="K3" s="790"/>
      <c r="L3" s="788">
        <v>4</v>
      </c>
      <c r="M3" s="789"/>
      <c r="N3" s="790"/>
      <c r="O3" s="788">
        <v>5</v>
      </c>
      <c r="P3" s="789"/>
      <c r="Q3" s="790"/>
      <c r="R3" s="788">
        <v>6</v>
      </c>
      <c r="S3" s="789"/>
      <c r="T3" s="790"/>
      <c r="U3" s="788">
        <v>7</v>
      </c>
      <c r="V3" s="789"/>
      <c r="W3" s="790"/>
      <c r="X3" s="788">
        <v>8</v>
      </c>
      <c r="Y3" s="789"/>
      <c r="Z3" s="790"/>
      <c r="AA3" s="788">
        <v>9</v>
      </c>
      <c r="AB3" s="789"/>
      <c r="AC3" s="790"/>
      <c r="AD3" s="788">
        <v>10</v>
      </c>
      <c r="AE3" s="789"/>
      <c r="AF3" s="790"/>
      <c r="AG3" s="788">
        <v>11</v>
      </c>
      <c r="AH3" s="789"/>
      <c r="AI3" s="790"/>
      <c r="AJ3" s="788">
        <v>12</v>
      </c>
      <c r="AK3" s="789"/>
      <c r="AL3" s="790"/>
      <c r="AM3" s="791" t="s">
        <v>34</v>
      </c>
      <c r="AO3" s="49" t="s">
        <v>377</v>
      </c>
      <c r="AP3" s="49" t="s">
        <v>378</v>
      </c>
      <c r="AQ3" s="49" t="s">
        <v>379</v>
      </c>
    </row>
    <row r="4" spans="2:39" ht="19.5" customHeight="1">
      <c r="B4" s="795"/>
      <c r="C4" s="71" t="s">
        <v>35</v>
      </c>
      <c r="D4" s="72" t="s">
        <v>36</v>
      </c>
      <c r="E4" s="73" t="s">
        <v>37</v>
      </c>
      <c r="F4" s="71" t="s">
        <v>35</v>
      </c>
      <c r="G4" s="73" t="s">
        <v>36</v>
      </c>
      <c r="H4" s="73" t="s">
        <v>37</v>
      </c>
      <c r="I4" s="71" t="s">
        <v>35</v>
      </c>
      <c r="J4" s="73" t="s">
        <v>36</v>
      </c>
      <c r="K4" s="73" t="s">
        <v>37</v>
      </c>
      <c r="L4" s="71" t="s">
        <v>35</v>
      </c>
      <c r="M4" s="73" t="s">
        <v>36</v>
      </c>
      <c r="N4" s="73" t="s">
        <v>37</v>
      </c>
      <c r="O4" s="71" t="s">
        <v>35</v>
      </c>
      <c r="P4" s="73" t="s">
        <v>36</v>
      </c>
      <c r="Q4" s="73" t="s">
        <v>37</v>
      </c>
      <c r="R4" s="71" t="s">
        <v>35</v>
      </c>
      <c r="S4" s="74" t="s">
        <v>36</v>
      </c>
      <c r="T4" s="74" t="s">
        <v>37</v>
      </c>
      <c r="U4" s="71" t="s">
        <v>35</v>
      </c>
      <c r="V4" s="73" t="s">
        <v>36</v>
      </c>
      <c r="W4" s="73" t="s">
        <v>37</v>
      </c>
      <c r="X4" s="71" t="s">
        <v>35</v>
      </c>
      <c r="Y4" s="73" t="s">
        <v>36</v>
      </c>
      <c r="Z4" s="73" t="s">
        <v>37</v>
      </c>
      <c r="AA4" s="71" t="s">
        <v>35</v>
      </c>
      <c r="AB4" s="73" t="s">
        <v>36</v>
      </c>
      <c r="AC4" s="73" t="s">
        <v>37</v>
      </c>
      <c r="AD4" s="71" t="s">
        <v>35</v>
      </c>
      <c r="AE4" s="73" t="s">
        <v>36</v>
      </c>
      <c r="AF4" s="73" t="s">
        <v>37</v>
      </c>
      <c r="AG4" s="71" t="s">
        <v>35</v>
      </c>
      <c r="AH4" s="73" t="s">
        <v>36</v>
      </c>
      <c r="AI4" s="73" t="s">
        <v>37</v>
      </c>
      <c r="AJ4" s="71" t="s">
        <v>35</v>
      </c>
      <c r="AK4" s="73" t="s">
        <v>36</v>
      </c>
      <c r="AL4" s="73" t="s">
        <v>37</v>
      </c>
      <c r="AM4" s="792"/>
    </row>
    <row r="5" spans="2:39" ht="19.5" customHeight="1">
      <c r="B5" s="793" t="s">
        <v>133</v>
      </c>
      <c r="C5" s="75"/>
      <c r="D5" s="2"/>
      <c r="E5" s="2"/>
      <c r="F5" s="2"/>
      <c r="G5" s="2"/>
      <c r="H5" s="2"/>
      <c r="I5" s="2"/>
      <c r="J5" s="2"/>
      <c r="K5" s="2"/>
      <c r="L5" s="2"/>
      <c r="M5" s="2"/>
      <c r="N5" s="51"/>
      <c r="O5" s="5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76"/>
    </row>
    <row r="6" spans="2:39" ht="19.5" customHeight="1">
      <c r="B6" s="794"/>
      <c r="C6" s="75"/>
      <c r="D6" s="2"/>
      <c r="E6" s="2"/>
      <c r="F6" s="2"/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76"/>
    </row>
    <row r="7" spans="2:43" ht="19.5" customHeight="1">
      <c r="B7" s="795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9"/>
      <c r="AO7" s="151"/>
      <c r="AP7" s="151"/>
      <c r="AQ7" s="151"/>
    </row>
    <row r="8" spans="2:43" ht="19.5" customHeight="1">
      <c r="B8" s="80" t="s">
        <v>343</v>
      </c>
      <c r="C8" s="81"/>
      <c r="D8" s="82"/>
      <c r="E8" s="82"/>
      <c r="F8" s="81"/>
      <c r="G8" s="82"/>
      <c r="H8" s="82"/>
      <c r="I8" s="81"/>
      <c r="J8" s="82"/>
      <c r="K8" s="82">
        <v>1</v>
      </c>
      <c r="L8" s="81">
        <v>1.2</v>
      </c>
      <c r="M8" s="82">
        <v>1</v>
      </c>
      <c r="N8" s="82"/>
      <c r="O8" s="81"/>
      <c r="P8" s="82"/>
      <c r="Q8" s="82"/>
      <c r="R8" s="81"/>
      <c r="S8" s="82"/>
      <c r="T8" s="82"/>
      <c r="U8" s="81"/>
      <c r="V8" s="82"/>
      <c r="W8" s="82"/>
      <c r="X8" s="81"/>
      <c r="Y8" s="82"/>
      <c r="Z8" s="82"/>
      <c r="AA8" s="81"/>
      <c r="AB8" s="82"/>
      <c r="AC8" s="82"/>
      <c r="AD8" s="81"/>
      <c r="AE8" s="82"/>
      <c r="AF8" s="82"/>
      <c r="AG8" s="81"/>
      <c r="AH8" s="82"/>
      <c r="AI8" s="82"/>
      <c r="AJ8" s="81"/>
      <c r="AK8" s="82"/>
      <c r="AL8" s="82"/>
      <c r="AM8" s="83">
        <f>SUM(C8:AL8)</f>
        <v>3.2</v>
      </c>
      <c r="AO8" s="229"/>
      <c r="AP8" s="229">
        <v>3.2</v>
      </c>
      <c r="AQ8" s="229">
        <f>SUM(AO8:AP8)</f>
        <v>3.2</v>
      </c>
    </row>
    <row r="9" spans="2:43" ht="19.5" customHeight="1">
      <c r="B9" s="80" t="s">
        <v>344</v>
      </c>
      <c r="C9" s="81"/>
      <c r="D9" s="82"/>
      <c r="E9" s="82"/>
      <c r="F9" s="81"/>
      <c r="G9" s="82"/>
      <c r="H9" s="82"/>
      <c r="I9" s="81"/>
      <c r="J9" s="82"/>
      <c r="K9" s="82"/>
      <c r="L9" s="81">
        <v>2</v>
      </c>
      <c r="M9" s="82">
        <v>2.7</v>
      </c>
      <c r="N9" s="82">
        <v>2.7</v>
      </c>
      <c r="O9" s="81">
        <v>2.7</v>
      </c>
      <c r="P9" s="82">
        <v>2.7</v>
      </c>
      <c r="Q9" s="82">
        <v>1.2</v>
      </c>
      <c r="R9" s="81"/>
      <c r="S9" s="82"/>
      <c r="T9" s="82"/>
      <c r="U9" s="81"/>
      <c r="V9" s="82"/>
      <c r="W9" s="82"/>
      <c r="X9" s="81"/>
      <c r="Y9" s="82"/>
      <c r="Z9" s="82"/>
      <c r="AA9" s="81"/>
      <c r="AB9" s="82"/>
      <c r="AC9" s="82"/>
      <c r="AD9" s="81"/>
      <c r="AE9" s="82"/>
      <c r="AF9" s="82"/>
      <c r="AG9" s="81"/>
      <c r="AH9" s="82"/>
      <c r="AI9" s="82"/>
      <c r="AJ9" s="81"/>
      <c r="AK9" s="82"/>
      <c r="AL9" s="82"/>
      <c r="AM9" s="83">
        <f aca="true" t="shared" si="0" ref="AM9:AM33">SUM(C9:AL9)</f>
        <v>14</v>
      </c>
      <c r="AO9" s="229"/>
      <c r="AP9" s="229">
        <f>6.4+4.3+3.3</f>
        <v>14</v>
      </c>
      <c r="AQ9" s="229">
        <f aca="true" t="shared" si="1" ref="AQ9:AQ19">SUM(AO9:AP9)</f>
        <v>14</v>
      </c>
    </row>
    <row r="10" spans="2:43" ht="19.5" customHeight="1">
      <c r="B10" s="80" t="s">
        <v>345</v>
      </c>
      <c r="C10" s="81"/>
      <c r="D10" s="82"/>
      <c r="E10" s="82"/>
      <c r="F10" s="81"/>
      <c r="G10" s="82"/>
      <c r="H10" s="82"/>
      <c r="I10" s="81"/>
      <c r="J10" s="82"/>
      <c r="K10" s="82">
        <v>3</v>
      </c>
      <c r="L10" s="81">
        <v>4</v>
      </c>
      <c r="M10" s="82">
        <v>4.7</v>
      </c>
      <c r="N10" s="82">
        <v>3</v>
      </c>
      <c r="O10" s="81"/>
      <c r="P10" s="82"/>
      <c r="Q10" s="82"/>
      <c r="R10" s="81"/>
      <c r="S10" s="82"/>
      <c r="T10" s="82"/>
      <c r="U10" s="81"/>
      <c r="V10" s="82"/>
      <c r="W10" s="82"/>
      <c r="X10" s="81"/>
      <c r="Y10" s="82"/>
      <c r="Z10" s="82"/>
      <c r="AA10" s="81"/>
      <c r="AB10" s="82"/>
      <c r="AC10" s="82"/>
      <c r="AD10" s="81"/>
      <c r="AE10" s="82"/>
      <c r="AF10" s="82"/>
      <c r="AG10" s="81"/>
      <c r="AH10" s="82"/>
      <c r="AI10" s="82"/>
      <c r="AJ10" s="81"/>
      <c r="AK10" s="82"/>
      <c r="AL10" s="82"/>
      <c r="AM10" s="83">
        <f t="shared" si="0"/>
        <v>14.7</v>
      </c>
      <c r="AO10" s="229">
        <f>8.2+6.5</f>
        <v>14.7</v>
      </c>
      <c r="AP10" s="229"/>
      <c r="AQ10" s="229">
        <f t="shared" si="1"/>
        <v>14.7</v>
      </c>
    </row>
    <row r="11" spans="2:43" ht="19.5" customHeight="1">
      <c r="B11" s="80" t="s">
        <v>316</v>
      </c>
      <c r="C11" s="81"/>
      <c r="D11" s="82"/>
      <c r="E11" s="82"/>
      <c r="F11" s="81"/>
      <c r="G11" s="82"/>
      <c r="H11" s="82"/>
      <c r="I11" s="81"/>
      <c r="J11" s="82"/>
      <c r="K11" s="82"/>
      <c r="L11" s="81"/>
      <c r="M11" s="82"/>
      <c r="N11" s="82"/>
      <c r="O11" s="81">
        <v>2</v>
      </c>
      <c r="P11" s="82">
        <v>2</v>
      </c>
      <c r="Q11" s="82">
        <v>1</v>
      </c>
      <c r="R11" s="81"/>
      <c r="S11" s="82"/>
      <c r="T11" s="82"/>
      <c r="U11" s="81"/>
      <c r="V11" s="82"/>
      <c r="W11" s="82"/>
      <c r="X11" s="81"/>
      <c r="Y11" s="82"/>
      <c r="Z11" s="82"/>
      <c r="AA11" s="81"/>
      <c r="AB11" s="82"/>
      <c r="AC11" s="82"/>
      <c r="AD11" s="81"/>
      <c r="AE11" s="82"/>
      <c r="AF11" s="82"/>
      <c r="AG11" s="81"/>
      <c r="AH11" s="82"/>
      <c r="AI11" s="82"/>
      <c r="AJ11" s="81"/>
      <c r="AK11" s="82"/>
      <c r="AL11" s="82"/>
      <c r="AM11" s="83">
        <f t="shared" si="0"/>
        <v>5</v>
      </c>
      <c r="AO11" s="229">
        <v>5</v>
      </c>
      <c r="AP11" s="229"/>
      <c r="AQ11" s="229">
        <f t="shared" si="1"/>
        <v>5</v>
      </c>
    </row>
    <row r="12" spans="2:43" ht="19.5" customHeight="1">
      <c r="B12" s="80" t="s">
        <v>346</v>
      </c>
      <c r="C12" s="81"/>
      <c r="D12" s="82"/>
      <c r="E12" s="82"/>
      <c r="F12" s="81"/>
      <c r="G12" s="82"/>
      <c r="H12" s="82"/>
      <c r="I12" s="81"/>
      <c r="J12" s="82"/>
      <c r="K12" s="82"/>
      <c r="L12" s="81"/>
      <c r="M12" s="82"/>
      <c r="N12" s="82"/>
      <c r="O12" s="81">
        <v>4</v>
      </c>
      <c r="P12" s="82">
        <v>7.6</v>
      </c>
      <c r="Q12" s="82">
        <v>6</v>
      </c>
      <c r="R12" s="81"/>
      <c r="S12" s="82"/>
      <c r="T12" s="82"/>
      <c r="U12" s="81"/>
      <c r="V12" s="82"/>
      <c r="W12" s="82"/>
      <c r="X12" s="81"/>
      <c r="Y12" s="82"/>
      <c r="Z12" s="82"/>
      <c r="AA12" s="81"/>
      <c r="AB12" s="82"/>
      <c r="AC12" s="82"/>
      <c r="AD12" s="81"/>
      <c r="AE12" s="82"/>
      <c r="AF12" s="82"/>
      <c r="AG12" s="81"/>
      <c r="AH12" s="82"/>
      <c r="AI12" s="82"/>
      <c r="AJ12" s="81"/>
      <c r="AK12" s="82"/>
      <c r="AL12" s="82"/>
      <c r="AM12" s="83">
        <f t="shared" si="0"/>
        <v>17.6</v>
      </c>
      <c r="AO12" s="229">
        <v>4.4</v>
      </c>
      <c r="AP12" s="229">
        <f>4.4+8.8</f>
        <v>13.200000000000001</v>
      </c>
      <c r="AQ12" s="229">
        <f t="shared" si="1"/>
        <v>17.6</v>
      </c>
    </row>
    <row r="13" spans="2:43" ht="19.5" customHeight="1">
      <c r="B13" s="80" t="s">
        <v>347</v>
      </c>
      <c r="C13" s="81"/>
      <c r="D13" s="82"/>
      <c r="E13" s="82"/>
      <c r="F13" s="81"/>
      <c r="G13" s="82"/>
      <c r="H13" s="82"/>
      <c r="I13" s="81"/>
      <c r="J13" s="82"/>
      <c r="K13" s="82"/>
      <c r="L13" s="81"/>
      <c r="M13" s="82"/>
      <c r="N13" s="82"/>
      <c r="O13" s="81"/>
      <c r="P13" s="82"/>
      <c r="Q13" s="82"/>
      <c r="R13" s="81"/>
      <c r="S13" s="82"/>
      <c r="T13" s="82"/>
      <c r="U13" s="81"/>
      <c r="V13" s="82"/>
      <c r="W13" s="82"/>
      <c r="X13" s="81"/>
      <c r="Y13" s="82"/>
      <c r="Z13" s="82"/>
      <c r="AA13" s="81"/>
      <c r="AB13" s="82"/>
      <c r="AC13" s="82"/>
      <c r="AD13" s="81"/>
      <c r="AE13" s="82"/>
      <c r="AF13" s="82"/>
      <c r="AG13" s="81"/>
      <c r="AH13" s="82"/>
      <c r="AI13" s="82"/>
      <c r="AJ13" s="81"/>
      <c r="AK13" s="82"/>
      <c r="AL13" s="82"/>
      <c r="AM13" s="83">
        <f t="shared" si="0"/>
        <v>0</v>
      </c>
      <c r="AO13" s="229"/>
      <c r="AP13" s="229"/>
      <c r="AQ13" s="229">
        <f t="shared" si="1"/>
        <v>0</v>
      </c>
    </row>
    <row r="14" spans="2:43" ht="19.5" customHeight="1">
      <c r="B14" s="80" t="s">
        <v>348</v>
      </c>
      <c r="C14" s="81"/>
      <c r="D14" s="82"/>
      <c r="E14" s="82"/>
      <c r="F14" s="81"/>
      <c r="G14" s="82"/>
      <c r="H14" s="82"/>
      <c r="I14" s="81"/>
      <c r="J14" s="82"/>
      <c r="K14" s="82"/>
      <c r="L14" s="81"/>
      <c r="M14" s="82"/>
      <c r="N14" s="82"/>
      <c r="O14" s="81"/>
      <c r="P14" s="82"/>
      <c r="Q14" s="82"/>
      <c r="R14" s="81"/>
      <c r="S14" s="82"/>
      <c r="T14" s="82"/>
      <c r="U14" s="81"/>
      <c r="V14" s="82"/>
      <c r="W14" s="82"/>
      <c r="X14" s="81"/>
      <c r="Y14" s="82"/>
      <c r="Z14" s="82"/>
      <c r="AA14" s="81"/>
      <c r="AB14" s="82"/>
      <c r="AC14" s="82"/>
      <c r="AD14" s="81"/>
      <c r="AE14" s="82"/>
      <c r="AF14" s="82"/>
      <c r="AG14" s="81"/>
      <c r="AH14" s="82"/>
      <c r="AI14" s="82"/>
      <c r="AJ14" s="81"/>
      <c r="AK14" s="82"/>
      <c r="AL14" s="82"/>
      <c r="AM14" s="83">
        <f t="shared" si="0"/>
        <v>0</v>
      </c>
      <c r="AO14" s="229"/>
      <c r="AP14" s="229"/>
      <c r="AQ14" s="229">
        <f t="shared" si="1"/>
        <v>0</v>
      </c>
    </row>
    <row r="15" spans="2:43" ht="19.5" customHeight="1">
      <c r="B15" s="80" t="s">
        <v>349</v>
      </c>
      <c r="C15" s="81"/>
      <c r="D15" s="82"/>
      <c r="E15" s="82"/>
      <c r="F15" s="81"/>
      <c r="G15" s="82"/>
      <c r="H15" s="82"/>
      <c r="I15" s="81"/>
      <c r="J15" s="82"/>
      <c r="K15" s="82"/>
      <c r="L15" s="81"/>
      <c r="M15" s="82"/>
      <c r="N15" s="82"/>
      <c r="O15" s="81"/>
      <c r="P15" s="82"/>
      <c r="Q15" s="82"/>
      <c r="R15" s="81"/>
      <c r="S15" s="82"/>
      <c r="T15" s="82"/>
      <c r="U15" s="81"/>
      <c r="V15" s="82"/>
      <c r="W15" s="82"/>
      <c r="X15" s="81">
        <v>4</v>
      </c>
      <c r="Y15" s="82">
        <v>2.8</v>
      </c>
      <c r="Z15" s="82"/>
      <c r="AA15" s="81"/>
      <c r="AB15" s="82"/>
      <c r="AC15" s="82"/>
      <c r="AD15" s="81"/>
      <c r="AE15" s="82"/>
      <c r="AF15" s="82"/>
      <c r="AG15" s="81"/>
      <c r="AH15" s="82"/>
      <c r="AI15" s="82"/>
      <c r="AJ15" s="81"/>
      <c r="AK15" s="82"/>
      <c r="AL15" s="82"/>
      <c r="AM15" s="83">
        <f t="shared" si="0"/>
        <v>6.8</v>
      </c>
      <c r="AO15" s="229">
        <v>1.7</v>
      </c>
      <c r="AP15" s="229">
        <v>5.1</v>
      </c>
      <c r="AQ15" s="229">
        <f t="shared" si="1"/>
        <v>6.8</v>
      </c>
    </row>
    <row r="16" spans="2:43" ht="19.5" customHeight="1">
      <c r="B16" s="80" t="s">
        <v>350</v>
      </c>
      <c r="C16" s="81"/>
      <c r="D16" s="82"/>
      <c r="E16" s="82"/>
      <c r="F16" s="81"/>
      <c r="G16" s="82"/>
      <c r="H16" s="82"/>
      <c r="I16" s="81"/>
      <c r="J16" s="82"/>
      <c r="K16" s="82"/>
      <c r="L16" s="81"/>
      <c r="M16" s="82"/>
      <c r="N16" s="82"/>
      <c r="O16" s="81"/>
      <c r="P16" s="82"/>
      <c r="Q16" s="82"/>
      <c r="R16" s="81"/>
      <c r="S16" s="82"/>
      <c r="T16" s="82"/>
      <c r="U16" s="81"/>
      <c r="V16" s="82"/>
      <c r="W16" s="82"/>
      <c r="X16" s="81"/>
      <c r="Y16" s="82"/>
      <c r="Z16" s="82"/>
      <c r="AA16" s="81"/>
      <c r="AB16" s="82">
        <v>7</v>
      </c>
      <c r="AC16" s="82">
        <v>7</v>
      </c>
      <c r="AD16" s="81">
        <v>6.7</v>
      </c>
      <c r="AE16" s="82"/>
      <c r="AF16" s="82"/>
      <c r="AG16" s="81"/>
      <c r="AH16" s="82"/>
      <c r="AI16" s="82"/>
      <c r="AJ16" s="81"/>
      <c r="AK16" s="82"/>
      <c r="AL16" s="82"/>
      <c r="AM16" s="83">
        <f t="shared" si="0"/>
        <v>20.7</v>
      </c>
      <c r="AO16" s="229">
        <v>6.9</v>
      </c>
      <c r="AP16" s="229">
        <v>13.8</v>
      </c>
      <c r="AQ16" s="229">
        <f t="shared" si="1"/>
        <v>20.700000000000003</v>
      </c>
    </row>
    <row r="17" spans="2:43" ht="19.5" customHeight="1">
      <c r="B17" s="80" t="s">
        <v>351</v>
      </c>
      <c r="C17" s="81"/>
      <c r="D17" s="82"/>
      <c r="E17" s="82"/>
      <c r="F17" s="81"/>
      <c r="G17" s="82"/>
      <c r="H17" s="82"/>
      <c r="I17" s="81"/>
      <c r="J17" s="82"/>
      <c r="K17" s="82"/>
      <c r="L17" s="81"/>
      <c r="M17" s="82"/>
      <c r="N17" s="82"/>
      <c r="O17" s="81"/>
      <c r="P17" s="82"/>
      <c r="Q17" s="82"/>
      <c r="R17" s="81"/>
      <c r="S17" s="82"/>
      <c r="T17" s="82"/>
      <c r="U17" s="81"/>
      <c r="V17" s="82"/>
      <c r="W17" s="82"/>
      <c r="X17" s="81"/>
      <c r="Y17" s="82"/>
      <c r="Z17" s="82"/>
      <c r="AA17" s="81"/>
      <c r="AB17" s="82">
        <v>3</v>
      </c>
      <c r="AC17" s="82">
        <v>3</v>
      </c>
      <c r="AD17" s="81">
        <v>3</v>
      </c>
      <c r="AE17" s="82">
        <v>0.5</v>
      </c>
      <c r="AF17" s="82"/>
      <c r="AG17" s="81"/>
      <c r="AH17" s="82"/>
      <c r="AI17" s="82"/>
      <c r="AJ17" s="81"/>
      <c r="AK17" s="82"/>
      <c r="AL17" s="82"/>
      <c r="AM17" s="83">
        <f t="shared" si="0"/>
        <v>9.5</v>
      </c>
      <c r="AO17" s="229"/>
      <c r="AP17" s="229">
        <v>9.5</v>
      </c>
      <c r="AQ17" s="229">
        <f t="shared" si="1"/>
        <v>9.5</v>
      </c>
    </row>
    <row r="18" spans="2:43" ht="19.5" customHeight="1">
      <c r="B18" s="80" t="s">
        <v>352</v>
      </c>
      <c r="C18" s="81"/>
      <c r="D18" s="82"/>
      <c r="E18" s="82"/>
      <c r="F18" s="81"/>
      <c r="G18" s="82"/>
      <c r="H18" s="82"/>
      <c r="I18" s="81"/>
      <c r="J18" s="82"/>
      <c r="K18" s="82">
        <v>1.2</v>
      </c>
      <c r="L18" s="81">
        <v>1.2</v>
      </c>
      <c r="M18" s="82"/>
      <c r="N18" s="82"/>
      <c r="O18" s="81"/>
      <c r="P18" s="82"/>
      <c r="Q18" s="82"/>
      <c r="R18" s="81"/>
      <c r="S18" s="82"/>
      <c r="T18" s="82"/>
      <c r="U18" s="81"/>
      <c r="V18" s="82"/>
      <c r="W18" s="82"/>
      <c r="X18" s="81"/>
      <c r="Y18" s="82"/>
      <c r="Z18" s="82"/>
      <c r="AA18" s="81"/>
      <c r="AB18" s="82"/>
      <c r="AC18" s="82"/>
      <c r="AD18" s="81"/>
      <c r="AE18" s="82"/>
      <c r="AF18" s="82"/>
      <c r="AG18" s="81"/>
      <c r="AH18" s="82"/>
      <c r="AI18" s="82"/>
      <c r="AJ18" s="81"/>
      <c r="AK18" s="82"/>
      <c r="AL18" s="82"/>
      <c r="AM18" s="83">
        <f t="shared" si="0"/>
        <v>2.4</v>
      </c>
      <c r="AO18" s="229">
        <v>1.2</v>
      </c>
      <c r="AP18" s="229">
        <v>1.2</v>
      </c>
      <c r="AQ18" s="229">
        <f t="shared" si="1"/>
        <v>2.4</v>
      </c>
    </row>
    <row r="19" spans="2:43" ht="19.5" customHeight="1">
      <c r="B19" s="80" t="s">
        <v>192</v>
      </c>
      <c r="C19" s="81"/>
      <c r="D19" s="82"/>
      <c r="E19" s="82"/>
      <c r="F19" s="81"/>
      <c r="G19" s="82"/>
      <c r="H19" s="82"/>
      <c r="I19" s="81"/>
      <c r="J19" s="82">
        <v>1</v>
      </c>
      <c r="K19" s="82"/>
      <c r="L19" s="81"/>
      <c r="M19" s="82"/>
      <c r="N19" s="82"/>
      <c r="O19" s="81"/>
      <c r="P19" s="82"/>
      <c r="Q19" s="82"/>
      <c r="R19" s="81"/>
      <c r="S19" s="82"/>
      <c r="T19" s="82"/>
      <c r="U19" s="81"/>
      <c r="V19" s="82"/>
      <c r="W19" s="82"/>
      <c r="X19" s="81"/>
      <c r="Y19" s="82"/>
      <c r="Z19" s="82"/>
      <c r="AA19" s="81"/>
      <c r="AB19" s="82"/>
      <c r="AC19" s="82"/>
      <c r="AD19" s="81"/>
      <c r="AE19" s="82"/>
      <c r="AF19" s="82">
        <v>1</v>
      </c>
      <c r="AG19" s="81"/>
      <c r="AH19" s="82"/>
      <c r="AI19" s="82"/>
      <c r="AJ19" s="81"/>
      <c r="AK19" s="82"/>
      <c r="AL19" s="82"/>
      <c r="AM19" s="83">
        <f t="shared" si="0"/>
        <v>2</v>
      </c>
      <c r="AO19" s="229"/>
      <c r="AP19" s="229">
        <v>2</v>
      </c>
      <c r="AQ19" s="229">
        <f t="shared" si="1"/>
        <v>2</v>
      </c>
    </row>
    <row r="20" spans="2:43" ht="19.5" customHeight="1">
      <c r="B20" s="80"/>
      <c r="C20" s="81"/>
      <c r="D20" s="82"/>
      <c r="E20" s="82"/>
      <c r="F20" s="81"/>
      <c r="G20" s="82"/>
      <c r="H20" s="82"/>
      <c r="I20" s="81"/>
      <c r="J20" s="82"/>
      <c r="K20" s="82"/>
      <c r="L20" s="81"/>
      <c r="M20" s="82"/>
      <c r="N20" s="82"/>
      <c r="O20" s="81"/>
      <c r="P20" s="82"/>
      <c r="Q20" s="82"/>
      <c r="R20" s="81"/>
      <c r="S20" s="82"/>
      <c r="T20" s="82"/>
      <c r="U20" s="81"/>
      <c r="V20" s="82"/>
      <c r="W20" s="82"/>
      <c r="X20" s="81"/>
      <c r="Y20" s="82"/>
      <c r="Z20" s="82"/>
      <c r="AA20" s="81"/>
      <c r="AB20" s="82"/>
      <c r="AC20" s="82"/>
      <c r="AD20" s="81"/>
      <c r="AE20" s="82"/>
      <c r="AF20" s="82"/>
      <c r="AG20" s="81"/>
      <c r="AH20" s="82"/>
      <c r="AI20" s="82"/>
      <c r="AJ20" s="81"/>
      <c r="AK20" s="82"/>
      <c r="AL20" s="82"/>
      <c r="AM20" s="83">
        <f t="shared" si="0"/>
        <v>0</v>
      </c>
      <c r="AO20" s="229"/>
      <c r="AP20" s="229"/>
      <c r="AQ20" s="229">
        <f aca="true" t="shared" si="2" ref="AQ20:AQ33">SUM(AO20:AP20)</f>
        <v>0</v>
      </c>
    </row>
    <row r="21" spans="2:43" ht="19.5" customHeight="1">
      <c r="B21" s="80"/>
      <c r="C21" s="81"/>
      <c r="D21" s="82"/>
      <c r="E21" s="82"/>
      <c r="F21" s="81"/>
      <c r="G21" s="82"/>
      <c r="H21" s="82"/>
      <c r="I21" s="81"/>
      <c r="J21" s="82"/>
      <c r="K21" s="82"/>
      <c r="L21" s="81"/>
      <c r="M21" s="82"/>
      <c r="N21" s="82"/>
      <c r="O21" s="81"/>
      <c r="P21" s="82"/>
      <c r="Q21" s="82"/>
      <c r="R21" s="81"/>
      <c r="S21" s="82"/>
      <c r="T21" s="82"/>
      <c r="U21" s="81"/>
      <c r="V21" s="82"/>
      <c r="W21" s="82"/>
      <c r="X21" s="81"/>
      <c r="Y21" s="82"/>
      <c r="Z21" s="82"/>
      <c r="AA21" s="81"/>
      <c r="AB21" s="82"/>
      <c r="AC21" s="82"/>
      <c r="AD21" s="81"/>
      <c r="AE21" s="82"/>
      <c r="AF21" s="82"/>
      <c r="AG21" s="81"/>
      <c r="AH21" s="82"/>
      <c r="AI21" s="82"/>
      <c r="AJ21" s="81"/>
      <c r="AK21" s="82"/>
      <c r="AL21" s="82"/>
      <c r="AM21" s="83">
        <f t="shared" si="0"/>
        <v>0</v>
      </c>
      <c r="AO21" s="229"/>
      <c r="AP21" s="229"/>
      <c r="AQ21" s="229">
        <f t="shared" si="2"/>
        <v>0</v>
      </c>
    </row>
    <row r="22" spans="2:43" ht="19.5" customHeight="1">
      <c r="B22" s="80"/>
      <c r="C22" s="81"/>
      <c r="D22" s="82"/>
      <c r="E22" s="82"/>
      <c r="F22" s="81"/>
      <c r="G22" s="82"/>
      <c r="H22" s="82"/>
      <c r="I22" s="81"/>
      <c r="J22" s="82"/>
      <c r="K22" s="82"/>
      <c r="L22" s="81"/>
      <c r="M22" s="82"/>
      <c r="N22" s="82"/>
      <c r="O22" s="81"/>
      <c r="P22" s="82"/>
      <c r="Q22" s="82"/>
      <c r="R22" s="81"/>
      <c r="S22" s="82"/>
      <c r="T22" s="82"/>
      <c r="U22" s="81"/>
      <c r="V22" s="82"/>
      <c r="W22" s="82"/>
      <c r="X22" s="81"/>
      <c r="Y22" s="82"/>
      <c r="Z22" s="82"/>
      <c r="AA22" s="81"/>
      <c r="AB22" s="82"/>
      <c r="AC22" s="82"/>
      <c r="AD22" s="81"/>
      <c r="AE22" s="82"/>
      <c r="AF22" s="82"/>
      <c r="AG22" s="81"/>
      <c r="AH22" s="82"/>
      <c r="AI22" s="82"/>
      <c r="AJ22" s="81"/>
      <c r="AK22" s="82"/>
      <c r="AL22" s="82"/>
      <c r="AM22" s="83">
        <f t="shared" si="0"/>
        <v>0</v>
      </c>
      <c r="AO22" s="229"/>
      <c r="AP22" s="229"/>
      <c r="AQ22" s="229">
        <f t="shared" si="2"/>
        <v>0</v>
      </c>
    </row>
    <row r="23" spans="2:43" ht="19.5" customHeight="1">
      <c r="B23" s="80"/>
      <c r="C23" s="81"/>
      <c r="D23" s="82"/>
      <c r="E23" s="82"/>
      <c r="F23" s="81"/>
      <c r="G23" s="82"/>
      <c r="H23" s="82"/>
      <c r="I23" s="81"/>
      <c r="J23" s="82"/>
      <c r="K23" s="82"/>
      <c r="L23" s="81"/>
      <c r="M23" s="82"/>
      <c r="N23" s="82"/>
      <c r="O23" s="81"/>
      <c r="P23" s="82"/>
      <c r="Q23" s="82"/>
      <c r="R23" s="81"/>
      <c r="S23" s="82"/>
      <c r="T23" s="82"/>
      <c r="U23" s="81"/>
      <c r="V23" s="82"/>
      <c r="W23" s="82"/>
      <c r="X23" s="81"/>
      <c r="Y23" s="82"/>
      <c r="Z23" s="82"/>
      <c r="AA23" s="81"/>
      <c r="AB23" s="82"/>
      <c r="AC23" s="82"/>
      <c r="AD23" s="81"/>
      <c r="AE23" s="82"/>
      <c r="AF23" s="82"/>
      <c r="AG23" s="81"/>
      <c r="AH23" s="82"/>
      <c r="AI23" s="82"/>
      <c r="AJ23" s="81"/>
      <c r="AK23" s="82"/>
      <c r="AL23" s="82"/>
      <c r="AM23" s="83">
        <f t="shared" si="0"/>
        <v>0</v>
      </c>
      <c r="AO23" s="274"/>
      <c r="AP23" s="274"/>
      <c r="AQ23" s="274">
        <f t="shared" si="2"/>
        <v>0</v>
      </c>
    </row>
    <row r="24" spans="2:43" ht="19.5" customHeight="1">
      <c r="B24" s="80"/>
      <c r="C24" s="81"/>
      <c r="D24" s="82"/>
      <c r="E24" s="82"/>
      <c r="F24" s="81"/>
      <c r="G24" s="82"/>
      <c r="H24" s="82"/>
      <c r="I24" s="81"/>
      <c r="J24" s="82"/>
      <c r="K24" s="82"/>
      <c r="L24" s="81"/>
      <c r="M24" s="82"/>
      <c r="N24" s="82"/>
      <c r="O24" s="81"/>
      <c r="P24" s="82"/>
      <c r="Q24" s="82"/>
      <c r="R24" s="81"/>
      <c r="S24" s="82"/>
      <c r="T24" s="82"/>
      <c r="U24" s="81"/>
      <c r="V24" s="82"/>
      <c r="W24" s="82"/>
      <c r="X24" s="81"/>
      <c r="Y24" s="82"/>
      <c r="Z24" s="82"/>
      <c r="AA24" s="81"/>
      <c r="AB24" s="82"/>
      <c r="AC24" s="82"/>
      <c r="AD24" s="81"/>
      <c r="AE24" s="82"/>
      <c r="AF24" s="82"/>
      <c r="AG24" s="81"/>
      <c r="AH24" s="82"/>
      <c r="AI24" s="82"/>
      <c r="AJ24" s="81"/>
      <c r="AK24" s="82"/>
      <c r="AL24" s="82"/>
      <c r="AM24" s="83">
        <f t="shared" si="0"/>
        <v>0</v>
      </c>
      <c r="AO24" s="274"/>
      <c r="AP24" s="274"/>
      <c r="AQ24" s="274">
        <f t="shared" si="2"/>
        <v>0</v>
      </c>
    </row>
    <row r="25" spans="2:43" ht="19.5" customHeight="1">
      <c r="B25" s="80"/>
      <c r="C25" s="81"/>
      <c r="D25" s="82"/>
      <c r="E25" s="82"/>
      <c r="F25" s="81"/>
      <c r="G25" s="82"/>
      <c r="H25" s="82"/>
      <c r="I25" s="81"/>
      <c r="J25" s="82"/>
      <c r="K25" s="82"/>
      <c r="L25" s="81"/>
      <c r="M25" s="82"/>
      <c r="N25" s="82"/>
      <c r="O25" s="81"/>
      <c r="P25" s="82"/>
      <c r="Q25" s="82"/>
      <c r="R25" s="81"/>
      <c r="S25" s="82"/>
      <c r="T25" s="82"/>
      <c r="U25" s="81"/>
      <c r="V25" s="82"/>
      <c r="W25" s="82"/>
      <c r="X25" s="81"/>
      <c r="Y25" s="82"/>
      <c r="Z25" s="82"/>
      <c r="AA25" s="81"/>
      <c r="AB25" s="82"/>
      <c r="AC25" s="82"/>
      <c r="AD25" s="81"/>
      <c r="AE25" s="82"/>
      <c r="AF25" s="82"/>
      <c r="AG25" s="81"/>
      <c r="AH25" s="82"/>
      <c r="AI25" s="82"/>
      <c r="AJ25" s="81"/>
      <c r="AK25" s="82"/>
      <c r="AL25" s="82"/>
      <c r="AM25" s="83">
        <f t="shared" si="0"/>
        <v>0</v>
      </c>
      <c r="AO25" s="274"/>
      <c r="AP25" s="274"/>
      <c r="AQ25" s="274">
        <f t="shared" si="2"/>
        <v>0</v>
      </c>
    </row>
    <row r="26" spans="2:43" ht="19.5" customHeight="1">
      <c r="B26" s="80"/>
      <c r="C26" s="81"/>
      <c r="D26" s="82"/>
      <c r="E26" s="82"/>
      <c r="F26" s="81"/>
      <c r="G26" s="82"/>
      <c r="H26" s="82"/>
      <c r="I26" s="81"/>
      <c r="J26" s="82"/>
      <c r="K26" s="82"/>
      <c r="L26" s="81"/>
      <c r="M26" s="82"/>
      <c r="N26" s="82"/>
      <c r="O26" s="81"/>
      <c r="P26" s="82"/>
      <c r="Q26" s="82"/>
      <c r="R26" s="81"/>
      <c r="S26" s="82"/>
      <c r="T26" s="82"/>
      <c r="U26" s="81"/>
      <c r="V26" s="82"/>
      <c r="W26" s="82"/>
      <c r="X26" s="81"/>
      <c r="Y26" s="82"/>
      <c r="Z26" s="82"/>
      <c r="AA26" s="81"/>
      <c r="AB26" s="82"/>
      <c r="AC26" s="82"/>
      <c r="AD26" s="81"/>
      <c r="AE26" s="82"/>
      <c r="AF26" s="82"/>
      <c r="AG26" s="81"/>
      <c r="AH26" s="82"/>
      <c r="AI26" s="82"/>
      <c r="AJ26" s="81"/>
      <c r="AK26" s="82"/>
      <c r="AL26" s="82"/>
      <c r="AM26" s="83">
        <f t="shared" si="0"/>
        <v>0</v>
      </c>
      <c r="AO26" s="274"/>
      <c r="AP26" s="274"/>
      <c r="AQ26" s="274">
        <f t="shared" si="2"/>
        <v>0</v>
      </c>
    </row>
    <row r="27" spans="2:43" ht="19.5" customHeight="1">
      <c r="B27" s="80"/>
      <c r="C27" s="81"/>
      <c r="D27" s="82"/>
      <c r="E27" s="82"/>
      <c r="F27" s="81"/>
      <c r="G27" s="82"/>
      <c r="H27" s="82"/>
      <c r="I27" s="81"/>
      <c r="J27" s="82"/>
      <c r="K27" s="82"/>
      <c r="L27" s="81"/>
      <c r="M27" s="82"/>
      <c r="N27" s="82"/>
      <c r="O27" s="81"/>
      <c r="P27" s="82"/>
      <c r="Q27" s="82"/>
      <c r="R27" s="81"/>
      <c r="S27" s="82"/>
      <c r="T27" s="82"/>
      <c r="U27" s="81"/>
      <c r="V27" s="82"/>
      <c r="W27" s="82"/>
      <c r="X27" s="81"/>
      <c r="Y27" s="82"/>
      <c r="Z27" s="82"/>
      <c r="AA27" s="81"/>
      <c r="AB27" s="82"/>
      <c r="AC27" s="82"/>
      <c r="AD27" s="81"/>
      <c r="AE27" s="82"/>
      <c r="AF27" s="82"/>
      <c r="AG27" s="81"/>
      <c r="AH27" s="82"/>
      <c r="AI27" s="82"/>
      <c r="AJ27" s="81"/>
      <c r="AK27" s="82"/>
      <c r="AL27" s="82"/>
      <c r="AM27" s="83">
        <f t="shared" si="0"/>
        <v>0</v>
      </c>
      <c r="AO27" s="274"/>
      <c r="AP27" s="274"/>
      <c r="AQ27" s="274">
        <f t="shared" si="2"/>
        <v>0</v>
      </c>
    </row>
    <row r="28" spans="2:43" ht="19.5" customHeight="1">
      <c r="B28" s="80"/>
      <c r="C28" s="81"/>
      <c r="D28" s="82"/>
      <c r="E28" s="82"/>
      <c r="F28" s="81"/>
      <c r="G28" s="82"/>
      <c r="H28" s="82"/>
      <c r="I28" s="81"/>
      <c r="J28" s="82"/>
      <c r="K28" s="82"/>
      <c r="L28" s="81"/>
      <c r="M28" s="82"/>
      <c r="N28" s="82"/>
      <c r="O28" s="81"/>
      <c r="P28" s="82"/>
      <c r="Q28" s="82"/>
      <c r="R28" s="81"/>
      <c r="S28" s="82"/>
      <c r="T28" s="82"/>
      <c r="U28" s="81"/>
      <c r="V28" s="82"/>
      <c r="W28" s="82"/>
      <c r="X28" s="81"/>
      <c r="Y28" s="82"/>
      <c r="Z28" s="82"/>
      <c r="AA28" s="81"/>
      <c r="AB28" s="82"/>
      <c r="AC28" s="82"/>
      <c r="AD28" s="81"/>
      <c r="AE28" s="82"/>
      <c r="AF28" s="82"/>
      <c r="AG28" s="81"/>
      <c r="AH28" s="82"/>
      <c r="AI28" s="82"/>
      <c r="AJ28" s="81"/>
      <c r="AK28" s="82"/>
      <c r="AL28" s="82"/>
      <c r="AM28" s="83">
        <f t="shared" si="0"/>
        <v>0</v>
      </c>
      <c r="AO28" s="274"/>
      <c r="AP28" s="274"/>
      <c r="AQ28" s="274">
        <f t="shared" si="2"/>
        <v>0</v>
      </c>
    </row>
    <row r="29" spans="2:43" ht="19.5" customHeight="1">
      <c r="B29" s="80"/>
      <c r="C29" s="81"/>
      <c r="D29" s="82"/>
      <c r="E29" s="82"/>
      <c r="F29" s="81"/>
      <c r="G29" s="82"/>
      <c r="H29" s="82"/>
      <c r="I29" s="81"/>
      <c r="J29" s="82"/>
      <c r="K29" s="82"/>
      <c r="L29" s="81"/>
      <c r="M29" s="82"/>
      <c r="N29" s="82"/>
      <c r="O29" s="81"/>
      <c r="P29" s="82"/>
      <c r="Q29" s="82"/>
      <c r="R29" s="81"/>
      <c r="S29" s="82"/>
      <c r="T29" s="82"/>
      <c r="U29" s="81"/>
      <c r="V29" s="82"/>
      <c r="W29" s="82"/>
      <c r="X29" s="81"/>
      <c r="Y29" s="82"/>
      <c r="Z29" s="82">
        <v>1.5</v>
      </c>
      <c r="AA29" s="81"/>
      <c r="AB29" s="82"/>
      <c r="AC29" s="82"/>
      <c r="AD29" s="81"/>
      <c r="AE29" s="82"/>
      <c r="AF29" s="82"/>
      <c r="AG29" s="81"/>
      <c r="AH29" s="82"/>
      <c r="AI29" s="82"/>
      <c r="AJ29" s="81"/>
      <c r="AK29" s="82"/>
      <c r="AL29" s="82"/>
      <c r="AM29" s="83">
        <f t="shared" si="0"/>
        <v>1.5</v>
      </c>
      <c r="AO29" s="274"/>
      <c r="AP29" s="274"/>
      <c r="AQ29" s="274">
        <f t="shared" si="2"/>
        <v>0</v>
      </c>
    </row>
    <row r="30" spans="2:43" ht="19.5" customHeight="1">
      <c r="B30" s="80"/>
      <c r="C30" s="81"/>
      <c r="D30" s="82"/>
      <c r="E30" s="82"/>
      <c r="F30" s="81"/>
      <c r="G30" s="82"/>
      <c r="H30" s="82"/>
      <c r="I30" s="81"/>
      <c r="J30" s="82"/>
      <c r="K30" s="82"/>
      <c r="L30" s="81"/>
      <c r="M30" s="82"/>
      <c r="N30" s="82"/>
      <c r="O30" s="81"/>
      <c r="P30" s="82"/>
      <c r="Q30" s="82"/>
      <c r="R30" s="81"/>
      <c r="S30" s="82"/>
      <c r="T30" s="82"/>
      <c r="U30" s="81"/>
      <c r="V30" s="82"/>
      <c r="W30" s="82"/>
      <c r="X30" s="81"/>
      <c r="Y30" s="82"/>
      <c r="Z30" s="82"/>
      <c r="AA30" s="81"/>
      <c r="AB30" s="82"/>
      <c r="AC30" s="82"/>
      <c r="AD30" s="81"/>
      <c r="AE30" s="82"/>
      <c r="AF30" s="82"/>
      <c r="AG30" s="81"/>
      <c r="AH30" s="82"/>
      <c r="AI30" s="82"/>
      <c r="AJ30" s="81"/>
      <c r="AK30" s="82"/>
      <c r="AL30" s="82"/>
      <c r="AM30" s="83">
        <f t="shared" si="0"/>
        <v>0</v>
      </c>
      <c r="AO30" s="274"/>
      <c r="AP30" s="274"/>
      <c r="AQ30" s="274">
        <f t="shared" si="2"/>
        <v>0</v>
      </c>
    </row>
    <row r="31" spans="2:43" ht="19.5" customHeight="1">
      <c r="B31" s="80"/>
      <c r="C31" s="81"/>
      <c r="D31" s="82"/>
      <c r="E31" s="82"/>
      <c r="F31" s="81"/>
      <c r="G31" s="82"/>
      <c r="H31" s="82"/>
      <c r="I31" s="81"/>
      <c r="J31" s="82"/>
      <c r="K31" s="82"/>
      <c r="L31" s="81"/>
      <c r="M31" s="82"/>
      <c r="N31" s="82"/>
      <c r="O31" s="81"/>
      <c r="P31" s="82"/>
      <c r="Q31" s="82"/>
      <c r="R31" s="81"/>
      <c r="S31" s="82"/>
      <c r="T31" s="82"/>
      <c r="U31" s="81"/>
      <c r="V31" s="82"/>
      <c r="W31" s="82"/>
      <c r="X31" s="81"/>
      <c r="Y31" s="82"/>
      <c r="Z31" s="82"/>
      <c r="AA31" s="81"/>
      <c r="AB31" s="82"/>
      <c r="AC31" s="82"/>
      <c r="AD31" s="81"/>
      <c r="AE31" s="82"/>
      <c r="AF31" s="82"/>
      <c r="AG31" s="81"/>
      <c r="AH31" s="82"/>
      <c r="AI31" s="82"/>
      <c r="AJ31" s="81"/>
      <c r="AK31" s="82"/>
      <c r="AL31" s="82"/>
      <c r="AM31" s="83">
        <f t="shared" si="0"/>
        <v>0</v>
      </c>
      <c r="AO31" s="274"/>
      <c r="AP31" s="274"/>
      <c r="AQ31" s="274">
        <f t="shared" si="2"/>
        <v>0</v>
      </c>
    </row>
    <row r="32" spans="2:43" ht="19.5" customHeight="1">
      <c r="B32" s="80"/>
      <c r="C32" s="81"/>
      <c r="D32" s="82"/>
      <c r="E32" s="82"/>
      <c r="F32" s="81"/>
      <c r="G32" s="82"/>
      <c r="H32" s="82"/>
      <c r="I32" s="81"/>
      <c r="J32" s="82"/>
      <c r="K32" s="82"/>
      <c r="L32" s="81"/>
      <c r="M32" s="82"/>
      <c r="N32" s="82"/>
      <c r="O32" s="81"/>
      <c r="P32" s="82"/>
      <c r="Q32" s="82"/>
      <c r="R32" s="81"/>
      <c r="S32" s="82"/>
      <c r="T32" s="82"/>
      <c r="U32" s="81"/>
      <c r="V32" s="82"/>
      <c r="W32" s="82"/>
      <c r="X32" s="81"/>
      <c r="Y32" s="82"/>
      <c r="Z32" s="82"/>
      <c r="AA32" s="81"/>
      <c r="AB32" s="82"/>
      <c r="AC32" s="82"/>
      <c r="AD32" s="81"/>
      <c r="AE32" s="82"/>
      <c r="AF32" s="82"/>
      <c r="AG32" s="81"/>
      <c r="AH32" s="82"/>
      <c r="AI32" s="82"/>
      <c r="AJ32" s="81"/>
      <c r="AK32" s="82"/>
      <c r="AL32" s="82"/>
      <c r="AM32" s="83">
        <f t="shared" si="0"/>
        <v>0</v>
      </c>
      <c r="AO32" s="274"/>
      <c r="AP32" s="274"/>
      <c r="AQ32" s="274">
        <f t="shared" si="2"/>
        <v>0</v>
      </c>
    </row>
    <row r="33" spans="2:43" ht="19.5" customHeight="1">
      <c r="B33" s="84" t="s">
        <v>134</v>
      </c>
      <c r="C33" s="81">
        <f aca="true" t="shared" si="3" ref="C33:AL33">SUM(C8:C32)</f>
        <v>0</v>
      </c>
      <c r="D33" s="85">
        <f t="shared" si="3"/>
        <v>0</v>
      </c>
      <c r="E33" s="86">
        <f t="shared" si="3"/>
        <v>0</v>
      </c>
      <c r="F33" s="81">
        <f t="shared" si="3"/>
        <v>0</v>
      </c>
      <c r="G33" s="85">
        <f t="shared" si="3"/>
        <v>0</v>
      </c>
      <c r="H33" s="86">
        <f t="shared" si="3"/>
        <v>0</v>
      </c>
      <c r="I33" s="81">
        <f t="shared" si="3"/>
        <v>0</v>
      </c>
      <c r="J33" s="85">
        <f t="shared" si="3"/>
        <v>1</v>
      </c>
      <c r="K33" s="86">
        <f t="shared" si="3"/>
        <v>5.2</v>
      </c>
      <c r="L33" s="81">
        <f t="shared" si="3"/>
        <v>8.4</v>
      </c>
      <c r="M33" s="85">
        <f t="shared" si="3"/>
        <v>8.4</v>
      </c>
      <c r="N33" s="86">
        <f t="shared" si="3"/>
        <v>5.7</v>
      </c>
      <c r="O33" s="81">
        <f t="shared" si="3"/>
        <v>8.7</v>
      </c>
      <c r="P33" s="85">
        <f t="shared" si="3"/>
        <v>12.3</v>
      </c>
      <c r="Q33" s="86">
        <f t="shared" si="3"/>
        <v>8.2</v>
      </c>
      <c r="R33" s="81">
        <f t="shared" si="3"/>
        <v>0</v>
      </c>
      <c r="S33" s="85">
        <f t="shared" si="3"/>
        <v>0</v>
      </c>
      <c r="T33" s="86">
        <f t="shared" si="3"/>
        <v>0</v>
      </c>
      <c r="U33" s="81">
        <f t="shared" si="3"/>
        <v>0</v>
      </c>
      <c r="V33" s="85">
        <f t="shared" si="3"/>
        <v>0</v>
      </c>
      <c r="W33" s="86">
        <f t="shared" si="3"/>
        <v>0</v>
      </c>
      <c r="X33" s="81">
        <f t="shared" si="3"/>
        <v>4</v>
      </c>
      <c r="Y33" s="85">
        <f t="shared" si="3"/>
        <v>2.8</v>
      </c>
      <c r="Z33" s="86">
        <f t="shared" si="3"/>
        <v>1.5</v>
      </c>
      <c r="AA33" s="81">
        <f t="shared" si="3"/>
        <v>0</v>
      </c>
      <c r="AB33" s="85">
        <f t="shared" si="3"/>
        <v>10</v>
      </c>
      <c r="AC33" s="86">
        <f t="shared" si="3"/>
        <v>10</v>
      </c>
      <c r="AD33" s="81">
        <f t="shared" si="3"/>
        <v>9.7</v>
      </c>
      <c r="AE33" s="85">
        <f t="shared" si="3"/>
        <v>0.5</v>
      </c>
      <c r="AF33" s="86">
        <f t="shared" si="3"/>
        <v>1</v>
      </c>
      <c r="AG33" s="81">
        <f t="shared" si="3"/>
        <v>0</v>
      </c>
      <c r="AH33" s="85">
        <f t="shared" si="3"/>
        <v>0</v>
      </c>
      <c r="AI33" s="86">
        <f t="shared" si="3"/>
        <v>0</v>
      </c>
      <c r="AJ33" s="81">
        <f t="shared" si="3"/>
        <v>0</v>
      </c>
      <c r="AK33" s="85">
        <f t="shared" si="3"/>
        <v>0</v>
      </c>
      <c r="AL33" s="86">
        <f t="shared" si="3"/>
        <v>0</v>
      </c>
      <c r="AM33" s="83">
        <f t="shared" si="0"/>
        <v>97.4</v>
      </c>
      <c r="AO33" s="274"/>
      <c r="AP33" s="274"/>
      <c r="AQ33" s="274">
        <f t="shared" si="2"/>
        <v>0</v>
      </c>
    </row>
    <row r="34" spans="2:43" ht="19.5" customHeight="1" thickBot="1">
      <c r="B34" s="87" t="s">
        <v>135</v>
      </c>
      <c r="C34" s="88"/>
      <c r="D34" s="89">
        <f>SUM(C33:E33)</f>
        <v>0</v>
      </c>
      <c r="E34" s="89"/>
      <c r="F34" s="88"/>
      <c r="G34" s="89">
        <f>SUM(F33:H33)</f>
        <v>0</v>
      </c>
      <c r="H34" s="89"/>
      <c r="I34" s="88"/>
      <c r="J34" s="89">
        <f>SUM(I33:K33)</f>
        <v>6.2</v>
      </c>
      <c r="K34" s="89"/>
      <c r="L34" s="88"/>
      <c r="M34" s="89">
        <f>SUM(L33:N33)</f>
        <v>22.5</v>
      </c>
      <c r="N34" s="89"/>
      <c r="O34" s="88"/>
      <c r="P34" s="89">
        <f>SUM(O33:Q33)</f>
        <v>29.2</v>
      </c>
      <c r="Q34" s="89"/>
      <c r="R34" s="88"/>
      <c r="S34" s="89">
        <f>SUM(R33:T33)</f>
        <v>0</v>
      </c>
      <c r="T34" s="89"/>
      <c r="U34" s="88"/>
      <c r="V34" s="89">
        <f>SUM(U33:W33)</f>
        <v>0</v>
      </c>
      <c r="W34" s="89"/>
      <c r="X34" s="88"/>
      <c r="Y34" s="89">
        <f>SUM(X33:Z33)</f>
        <v>8.3</v>
      </c>
      <c r="Z34" s="89"/>
      <c r="AA34" s="88"/>
      <c r="AB34" s="89">
        <f>SUM(AA33:AC33)</f>
        <v>20</v>
      </c>
      <c r="AC34" s="89"/>
      <c r="AD34" s="88"/>
      <c r="AE34" s="89">
        <f>SUM(AD33:AF33)</f>
        <v>11.2</v>
      </c>
      <c r="AF34" s="89"/>
      <c r="AG34" s="88"/>
      <c r="AH34" s="89">
        <f>SUM(AG33:AI33)</f>
        <v>0</v>
      </c>
      <c r="AI34" s="89"/>
      <c r="AJ34" s="88"/>
      <c r="AK34" s="89">
        <f>SUM(AJ33:AL33)</f>
        <v>0</v>
      </c>
      <c r="AL34" s="89"/>
      <c r="AM34" s="90">
        <f>SUM(AM8:AM32)</f>
        <v>97.4</v>
      </c>
      <c r="AO34" s="274">
        <f>SUM(AO8:AO32)</f>
        <v>33.900000000000006</v>
      </c>
      <c r="AP34" s="274">
        <f>SUM(AP8:AP32)</f>
        <v>62</v>
      </c>
      <c r="AQ34" s="274">
        <f>SUM(AQ8:AQ33)</f>
        <v>95.9</v>
      </c>
    </row>
  </sheetData>
  <sheetProtection/>
  <mergeCells count="15">
    <mergeCell ref="B5:B7"/>
    <mergeCell ref="R3:T3"/>
    <mergeCell ref="U3:W3"/>
    <mergeCell ref="X3:Z3"/>
    <mergeCell ref="B3:B4"/>
    <mergeCell ref="F3:H3"/>
    <mergeCell ref="I3:K3"/>
    <mergeCell ref="L3:N3"/>
    <mergeCell ref="O3:Q3"/>
    <mergeCell ref="C3:E3"/>
    <mergeCell ref="AJ3:AL3"/>
    <mergeCell ref="AM3:AM4"/>
    <mergeCell ref="AG3:AI3"/>
    <mergeCell ref="AA3:AC3"/>
    <mergeCell ref="AD3:AF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2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3" width="11.625" style="49" customWidth="1"/>
    <col min="4" max="39" width="6.125" style="49" customWidth="1"/>
    <col min="40" max="40" width="7.00390625" style="49" customWidth="1"/>
    <col min="41" max="41" width="1.4921875" style="49" customWidth="1"/>
    <col min="42" max="16384" width="9.00390625" style="49" customWidth="1"/>
  </cols>
  <sheetData>
    <row r="1" ht="9.75" customHeight="1"/>
    <row r="2" spans="2:63" ht="24.75" customHeight="1">
      <c r="B2" s="1" t="s">
        <v>717</v>
      </c>
      <c r="C2" s="1"/>
      <c r="D2" s="2"/>
      <c r="E2" s="2"/>
      <c r="F2" s="2"/>
      <c r="G2" s="2"/>
      <c r="H2" s="2"/>
      <c r="I2" s="2"/>
      <c r="J2" s="2"/>
      <c r="K2" s="2"/>
      <c r="L2" s="241" t="s">
        <v>280</v>
      </c>
      <c r="M2" s="303" t="s">
        <v>650</v>
      </c>
      <c r="N2" s="92"/>
      <c r="O2" s="241" t="s">
        <v>281</v>
      </c>
      <c r="P2" s="303" t="s">
        <v>500</v>
      </c>
      <c r="Q2" s="2"/>
      <c r="R2" s="2"/>
      <c r="S2" s="2"/>
      <c r="T2" s="2"/>
      <c r="U2" s="2"/>
      <c r="V2" s="2"/>
      <c r="W2" s="5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2:63" ht="24.75" customHeight="1" thickBot="1">
      <c r="B3" s="1" t="s">
        <v>501</v>
      </c>
      <c r="C3" s="1"/>
      <c r="D3" s="2"/>
      <c r="E3" s="2"/>
      <c r="F3" s="2"/>
      <c r="G3" s="2"/>
      <c r="H3" s="2"/>
      <c r="I3" s="2"/>
      <c r="J3" s="2"/>
      <c r="K3" s="2"/>
      <c r="L3" s="2"/>
      <c r="M3" s="51"/>
      <c r="N3" s="2"/>
      <c r="O3" s="2"/>
      <c r="P3" s="51"/>
      <c r="Q3" s="2"/>
      <c r="R3" s="2"/>
      <c r="S3" s="2"/>
      <c r="T3" s="2"/>
      <c r="U3" s="2"/>
      <c r="V3" s="2"/>
      <c r="W3" s="5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2:40" ht="20.25" customHeight="1">
      <c r="B4" s="797" t="s">
        <v>652</v>
      </c>
      <c r="C4" s="798"/>
      <c r="D4" s="788">
        <v>1</v>
      </c>
      <c r="E4" s="789"/>
      <c r="F4" s="790"/>
      <c r="G4" s="788">
        <v>2</v>
      </c>
      <c r="H4" s="789"/>
      <c r="I4" s="790"/>
      <c r="J4" s="788">
        <v>3</v>
      </c>
      <c r="K4" s="789"/>
      <c r="L4" s="790"/>
      <c r="M4" s="788">
        <v>4</v>
      </c>
      <c r="N4" s="789"/>
      <c r="O4" s="790"/>
      <c r="P4" s="788">
        <v>5</v>
      </c>
      <c r="Q4" s="789"/>
      <c r="R4" s="790"/>
      <c r="S4" s="788">
        <v>6</v>
      </c>
      <c r="T4" s="789"/>
      <c r="U4" s="790"/>
      <c r="V4" s="788">
        <v>7</v>
      </c>
      <c r="W4" s="789"/>
      <c r="X4" s="790"/>
      <c r="Y4" s="788">
        <v>8</v>
      </c>
      <c r="Z4" s="789"/>
      <c r="AA4" s="790"/>
      <c r="AB4" s="788">
        <v>9</v>
      </c>
      <c r="AC4" s="789"/>
      <c r="AD4" s="790"/>
      <c r="AE4" s="788">
        <v>10</v>
      </c>
      <c r="AF4" s="789"/>
      <c r="AG4" s="790"/>
      <c r="AH4" s="788">
        <v>11</v>
      </c>
      <c r="AI4" s="789"/>
      <c r="AJ4" s="790"/>
      <c r="AK4" s="788">
        <v>12</v>
      </c>
      <c r="AL4" s="789"/>
      <c r="AM4" s="790"/>
      <c r="AN4" s="791" t="s">
        <v>34</v>
      </c>
    </row>
    <row r="5" spans="2:40" ht="20.25" customHeight="1">
      <c r="B5" s="799"/>
      <c r="C5" s="800"/>
      <c r="D5" s="71" t="s">
        <v>35</v>
      </c>
      <c r="E5" s="72" t="s">
        <v>36</v>
      </c>
      <c r="F5" s="73" t="s">
        <v>37</v>
      </c>
      <c r="G5" s="71" t="s">
        <v>35</v>
      </c>
      <c r="H5" s="73" t="s">
        <v>36</v>
      </c>
      <c r="I5" s="73" t="s">
        <v>37</v>
      </c>
      <c r="J5" s="71" t="s">
        <v>35</v>
      </c>
      <c r="K5" s="73" t="s">
        <v>36</v>
      </c>
      <c r="L5" s="73" t="s">
        <v>37</v>
      </c>
      <c r="M5" s="71" t="s">
        <v>35</v>
      </c>
      <c r="N5" s="73" t="s">
        <v>36</v>
      </c>
      <c r="O5" s="73" t="s">
        <v>37</v>
      </c>
      <c r="P5" s="71" t="s">
        <v>35</v>
      </c>
      <c r="Q5" s="73" t="s">
        <v>36</v>
      </c>
      <c r="R5" s="73" t="s">
        <v>37</v>
      </c>
      <c r="S5" s="71" t="s">
        <v>35</v>
      </c>
      <c r="T5" s="74" t="s">
        <v>36</v>
      </c>
      <c r="U5" s="74" t="s">
        <v>37</v>
      </c>
      <c r="V5" s="71" t="s">
        <v>35</v>
      </c>
      <c r="W5" s="73" t="s">
        <v>36</v>
      </c>
      <c r="X5" s="73" t="s">
        <v>37</v>
      </c>
      <c r="Y5" s="71" t="s">
        <v>35</v>
      </c>
      <c r="Z5" s="73" t="s">
        <v>36</v>
      </c>
      <c r="AA5" s="73" t="s">
        <v>37</v>
      </c>
      <c r="AB5" s="71" t="s">
        <v>35</v>
      </c>
      <c r="AC5" s="73" t="s">
        <v>36</v>
      </c>
      <c r="AD5" s="73" t="s">
        <v>37</v>
      </c>
      <c r="AE5" s="71" t="s">
        <v>35</v>
      </c>
      <c r="AF5" s="73" t="s">
        <v>36</v>
      </c>
      <c r="AG5" s="73" t="s">
        <v>37</v>
      </c>
      <c r="AH5" s="71" t="s">
        <v>35</v>
      </c>
      <c r="AI5" s="73" t="s">
        <v>36</v>
      </c>
      <c r="AJ5" s="73" t="s">
        <v>37</v>
      </c>
      <c r="AK5" s="71" t="s">
        <v>35</v>
      </c>
      <c r="AL5" s="73" t="s">
        <v>36</v>
      </c>
      <c r="AM5" s="73" t="s">
        <v>37</v>
      </c>
      <c r="AN5" s="792"/>
    </row>
    <row r="6" spans="2:40" ht="20.25" customHeight="1">
      <c r="B6" s="801" t="s">
        <v>653</v>
      </c>
      <c r="C6" s="802"/>
      <c r="D6" s="75"/>
      <c r="E6" s="2"/>
      <c r="F6" s="2"/>
      <c r="G6" s="2"/>
      <c r="H6" s="2"/>
      <c r="I6" s="2"/>
      <c r="J6" s="2"/>
      <c r="K6" s="2" t="s">
        <v>654</v>
      </c>
      <c r="L6" s="2"/>
      <c r="M6" s="2" t="s">
        <v>655</v>
      </c>
      <c r="N6" s="2" t="s">
        <v>656</v>
      </c>
      <c r="O6" s="51"/>
      <c r="P6" s="51"/>
      <c r="Q6" s="2"/>
      <c r="R6" s="2"/>
      <c r="S6" s="2"/>
      <c r="T6" s="2"/>
      <c r="U6" s="2"/>
      <c r="V6" s="2" t="s">
        <v>657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79"/>
    </row>
    <row r="7" spans="2:40" ht="20.25" customHeight="1">
      <c r="B7" s="803"/>
      <c r="C7" s="804"/>
      <c r="D7" s="75"/>
      <c r="E7" s="2"/>
      <c r="F7" s="2"/>
      <c r="G7" s="2"/>
      <c r="H7" s="2"/>
      <c r="I7" s="2"/>
      <c r="J7" s="2"/>
      <c r="K7" s="2"/>
      <c r="L7" s="2"/>
      <c r="N7" s="2" t="s">
        <v>654</v>
      </c>
      <c r="O7" s="327" t="s">
        <v>655</v>
      </c>
      <c r="P7" s="2" t="s">
        <v>656</v>
      </c>
      <c r="Q7" s="2"/>
      <c r="R7" s="2"/>
      <c r="S7" s="2"/>
      <c r="T7" s="2"/>
      <c r="U7" s="2"/>
      <c r="V7" s="2"/>
      <c r="W7" s="2"/>
      <c r="X7" s="2" t="s">
        <v>658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80"/>
    </row>
    <row r="8" spans="2:40" ht="20.25" customHeight="1">
      <c r="B8" s="803"/>
      <c r="C8" s="804"/>
      <c r="D8" s="75"/>
      <c r="E8" s="2"/>
      <c r="F8" s="2"/>
      <c r="G8" s="2"/>
      <c r="H8" s="2"/>
      <c r="I8" s="2"/>
      <c r="J8" s="2"/>
      <c r="K8" s="2"/>
      <c r="L8" s="2"/>
      <c r="N8" s="2"/>
      <c r="O8" s="2"/>
      <c r="P8" s="2" t="s">
        <v>659</v>
      </c>
      <c r="Q8" s="2"/>
      <c r="R8" s="2" t="s">
        <v>660</v>
      </c>
      <c r="S8" s="2"/>
      <c r="T8" s="2"/>
      <c r="U8" s="2"/>
      <c r="V8" s="2"/>
      <c r="W8" s="2"/>
      <c r="X8" s="2"/>
      <c r="Y8" s="2"/>
      <c r="Z8" s="2"/>
      <c r="AA8" s="2" t="s">
        <v>661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80"/>
    </row>
    <row r="9" spans="2:44" ht="20.25" customHeight="1">
      <c r="B9" s="805"/>
      <c r="C9" s="806"/>
      <c r="D9" s="77" t="s">
        <v>502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 t="s">
        <v>654</v>
      </c>
      <c r="T9" s="328" t="s">
        <v>655</v>
      </c>
      <c r="U9" s="74" t="s">
        <v>656</v>
      </c>
      <c r="V9" s="78"/>
      <c r="W9" s="78"/>
      <c r="X9" s="78"/>
      <c r="Y9" s="78"/>
      <c r="Z9" s="78"/>
      <c r="AA9" s="78"/>
      <c r="AB9" s="78"/>
      <c r="AC9" s="78"/>
      <c r="AD9" s="78"/>
      <c r="AE9" s="78" t="s">
        <v>662</v>
      </c>
      <c r="AF9" s="78"/>
      <c r="AG9" s="78"/>
      <c r="AH9" s="78"/>
      <c r="AI9" s="78"/>
      <c r="AJ9" s="78"/>
      <c r="AK9" s="78"/>
      <c r="AL9" s="78"/>
      <c r="AM9" s="78"/>
      <c r="AN9" s="381"/>
      <c r="AQ9" s="201" t="s">
        <v>377</v>
      </c>
      <c r="AR9" s="201" t="s">
        <v>666</v>
      </c>
    </row>
    <row r="10" spans="2:44" ht="20.25" customHeight="1">
      <c r="B10" s="807" t="s">
        <v>344</v>
      </c>
      <c r="C10" s="808"/>
      <c r="D10" s="329">
        <v>2</v>
      </c>
      <c r="E10" s="330">
        <v>3.2</v>
      </c>
      <c r="F10" s="330">
        <v>7.2</v>
      </c>
      <c r="G10" s="329">
        <v>3.6</v>
      </c>
      <c r="H10" s="330">
        <v>2</v>
      </c>
      <c r="I10" s="330">
        <v>2</v>
      </c>
      <c r="J10" s="329">
        <v>3.8</v>
      </c>
      <c r="K10" s="330">
        <v>5.6</v>
      </c>
      <c r="L10" s="330">
        <v>10.2</v>
      </c>
      <c r="M10" s="329">
        <v>17.6</v>
      </c>
      <c r="N10" s="330">
        <v>5.3</v>
      </c>
      <c r="O10" s="330">
        <v>14.3</v>
      </c>
      <c r="P10" s="329">
        <v>1</v>
      </c>
      <c r="Q10" s="330">
        <v>2.8</v>
      </c>
      <c r="R10" s="330">
        <v>8.2</v>
      </c>
      <c r="S10" s="329">
        <v>0.4</v>
      </c>
      <c r="T10" s="330"/>
      <c r="U10" s="330"/>
      <c r="V10" s="329"/>
      <c r="W10" s="330"/>
      <c r="X10" s="330"/>
      <c r="Y10" s="329"/>
      <c r="Z10" s="330"/>
      <c r="AA10" s="330">
        <v>4</v>
      </c>
      <c r="AB10" s="329"/>
      <c r="AC10" s="330"/>
      <c r="AD10" s="330">
        <v>13.2</v>
      </c>
      <c r="AE10" s="329">
        <v>7.2</v>
      </c>
      <c r="AF10" s="330"/>
      <c r="AG10" s="330">
        <v>5.6</v>
      </c>
      <c r="AH10" s="329">
        <v>2</v>
      </c>
      <c r="AI10" s="330">
        <v>2</v>
      </c>
      <c r="AJ10" s="330">
        <v>3.2</v>
      </c>
      <c r="AK10" s="329">
        <v>8.8</v>
      </c>
      <c r="AL10" s="330">
        <v>3.2</v>
      </c>
      <c r="AM10" s="330">
        <v>8.8</v>
      </c>
      <c r="AN10" s="331">
        <f>SUM(D10:AM10)</f>
        <v>147.20000000000002</v>
      </c>
      <c r="AQ10" s="201"/>
      <c r="AR10" s="201">
        <f>+AN10-AQ10</f>
        <v>147.20000000000002</v>
      </c>
    </row>
    <row r="11" spans="2:44" ht="20.25" customHeight="1">
      <c r="B11" s="807" t="s">
        <v>503</v>
      </c>
      <c r="C11" s="808"/>
      <c r="D11" s="81"/>
      <c r="E11" s="82"/>
      <c r="F11" s="82"/>
      <c r="G11" s="81"/>
      <c r="H11" s="82"/>
      <c r="I11" s="82"/>
      <c r="J11" s="81"/>
      <c r="K11" s="82"/>
      <c r="L11" s="82">
        <v>1.8</v>
      </c>
      <c r="M11" s="81"/>
      <c r="N11" s="82">
        <v>4.2</v>
      </c>
      <c r="O11" s="82"/>
      <c r="P11" s="81">
        <v>3.6</v>
      </c>
      <c r="Q11" s="82"/>
      <c r="R11" s="82"/>
      <c r="S11" s="81">
        <v>8</v>
      </c>
      <c r="T11" s="82"/>
      <c r="U11" s="82"/>
      <c r="V11" s="81"/>
      <c r="W11" s="82"/>
      <c r="X11" s="82"/>
      <c r="Y11" s="81"/>
      <c r="Z11" s="82"/>
      <c r="AA11" s="82"/>
      <c r="AB11" s="81"/>
      <c r="AC11" s="82"/>
      <c r="AD11" s="82"/>
      <c r="AE11" s="81"/>
      <c r="AF11" s="82"/>
      <c r="AG11" s="82"/>
      <c r="AH11" s="81">
        <v>12.8</v>
      </c>
      <c r="AI11" s="82">
        <v>3.2</v>
      </c>
      <c r="AJ11" s="82"/>
      <c r="AK11" s="81"/>
      <c r="AL11" s="82"/>
      <c r="AM11" s="82"/>
      <c r="AN11" s="83">
        <f aca="true" t="shared" si="0" ref="AN11:AN23">SUM(D11:AM11)</f>
        <v>33.6</v>
      </c>
      <c r="AQ11" s="201">
        <v>4</v>
      </c>
      <c r="AR11" s="201">
        <f aca="true" t="shared" si="1" ref="AR11:AR22">+AN11-AQ11</f>
        <v>29.6</v>
      </c>
    </row>
    <row r="12" spans="2:44" ht="20.25" customHeight="1">
      <c r="B12" s="807" t="s">
        <v>478</v>
      </c>
      <c r="C12" s="808"/>
      <c r="D12" s="81"/>
      <c r="E12" s="82"/>
      <c r="F12" s="82"/>
      <c r="G12" s="81"/>
      <c r="H12" s="82"/>
      <c r="I12" s="82"/>
      <c r="J12" s="81"/>
      <c r="K12" s="82"/>
      <c r="L12" s="82"/>
      <c r="M12" s="81">
        <v>3.75</v>
      </c>
      <c r="N12" s="82"/>
      <c r="O12" s="82">
        <v>10.2</v>
      </c>
      <c r="P12" s="81"/>
      <c r="Q12" s="82">
        <v>8.7</v>
      </c>
      <c r="R12" s="82"/>
      <c r="S12" s="81"/>
      <c r="T12" s="82">
        <v>5.8</v>
      </c>
      <c r="U12" s="82"/>
      <c r="V12" s="81"/>
      <c r="W12" s="82"/>
      <c r="X12" s="82"/>
      <c r="Y12" s="81"/>
      <c r="Z12" s="82"/>
      <c r="AA12" s="82"/>
      <c r="AB12" s="81"/>
      <c r="AC12" s="82"/>
      <c r="AD12" s="82"/>
      <c r="AE12" s="81"/>
      <c r="AF12" s="82"/>
      <c r="AG12" s="82"/>
      <c r="AH12" s="81"/>
      <c r="AI12" s="82"/>
      <c r="AJ12" s="82"/>
      <c r="AK12" s="81"/>
      <c r="AL12" s="82"/>
      <c r="AM12" s="82"/>
      <c r="AN12" s="83">
        <f t="shared" si="0"/>
        <v>28.45</v>
      </c>
      <c r="AQ12" s="201"/>
      <c r="AR12" s="201">
        <f t="shared" si="1"/>
        <v>28.45</v>
      </c>
    </row>
    <row r="13" spans="2:44" ht="20.25" customHeight="1">
      <c r="B13" s="807" t="s">
        <v>504</v>
      </c>
      <c r="C13" s="808"/>
      <c r="D13" s="81"/>
      <c r="E13" s="82"/>
      <c r="F13" s="82"/>
      <c r="G13" s="81"/>
      <c r="H13" s="82"/>
      <c r="I13" s="82"/>
      <c r="J13" s="81"/>
      <c r="K13" s="82"/>
      <c r="L13" s="82"/>
      <c r="M13" s="81"/>
      <c r="N13" s="82">
        <v>1.95</v>
      </c>
      <c r="O13" s="82"/>
      <c r="P13" s="81">
        <v>4.55</v>
      </c>
      <c r="Q13" s="82"/>
      <c r="R13" s="82">
        <v>8.25</v>
      </c>
      <c r="S13" s="81">
        <v>10.2</v>
      </c>
      <c r="T13" s="82"/>
      <c r="U13" s="82">
        <v>11.3</v>
      </c>
      <c r="V13" s="81"/>
      <c r="W13" s="82"/>
      <c r="X13" s="82">
        <v>5.8</v>
      </c>
      <c r="Y13" s="81"/>
      <c r="Z13" s="82"/>
      <c r="AA13" s="82"/>
      <c r="AB13" s="81"/>
      <c r="AC13" s="82"/>
      <c r="AD13" s="82"/>
      <c r="AE13" s="81"/>
      <c r="AF13" s="82"/>
      <c r="AG13" s="82"/>
      <c r="AH13" s="81"/>
      <c r="AI13" s="82"/>
      <c r="AJ13" s="82"/>
      <c r="AK13" s="81"/>
      <c r="AL13" s="82"/>
      <c r="AM13" s="82"/>
      <c r="AN13" s="83">
        <f t="shared" si="0"/>
        <v>42.05</v>
      </c>
      <c r="AQ13" s="201"/>
      <c r="AR13" s="201">
        <f t="shared" si="1"/>
        <v>42.05</v>
      </c>
    </row>
    <row r="14" spans="2:44" ht="20.25" customHeight="1">
      <c r="B14" s="807" t="s">
        <v>483</v>
      </c>
      <c r="C14" s="808"/>
      <c r="D14" s="81"/>
      <c r="E14" s="82"/>
      <c r="F14" s="82"/>
      <c r="G14" s="81"/>
      <c r="H14" s="82"/>
      <c r="I14" s="82"/>
      <c r="J14" s="81"/>
      <c r="K14" s="82"/>
      <c r="L14" s="82"/>
      <c r="M14" s="81"/>
      <c r="N14" s="82">
        <v>0.3</v>
      </c>
      <c r="O14" s="82">
        <v>0.3</v>
      </c>
      <c r="P14" s="81">
        <v>1</v>
      </c>
      <c r="Q14" s="82">
        <v>1</v>
      </c>
      <c r="R14" s="82">
        <v>1.6</v>
      </c>
      <c r="S14" s="81">
        <v>1.75</v>
      </c>
      <c r="T14" s="82">
        <v>2.1</v>
      </c>
      <c r="U14" s="82">
        <v>2.1</v>
      </c>
      <c r="V14" s="81">
        <v>2.8</v>
      </c>
      <c r="W14" s="82">
        <v>2.35</v>
      </c>
      <c r="X14" s="82">
        <v>2.35</v>
      </c>
      <c r="Y14" s="81">
        <v>1.5</v>
      </c>
      <c r="Z14" s="82">
        <v>1.5</v>
      </c>
      <c r="AA14" s="82">
        <v>1.5</v>
      </c>
      <c r="AB14" s="81">
        <v>1.5</v>
      </c>
      <c r="AC14" s="82">
        <v>0.6</v>
      </c>
      <c r="AD14" s="82">
        <v>0.6</v>
      </c>
      <c r="AE14" s="81">
        <v>0.6</v>
      </c>
      <c r="AF14" s="82"/>
      <c r="AG14" s="82"/>
      <c r="AH14" s="81"/>
      <c r="AI14" s="82"/>
      <c r="AJ14" s="82"/>
      <c r="AK14" s="81"/>
      <c r="AL14" s="82"/>
      <c r="AM14" s="82"/>
      <c r="AN14" s="83">
        <f t="shared" si="0"/>
        <v>25.450000000000003</v>
      </c>
      <c r="AQ14" s="201"/>
      <c r="AR14" s="201">
        <f t="shared" si="1"/>
        <v>25.450000000000003</v>
      </c>
    </row>
    <row r="15" spans="2:44" ht="20.25" customHeight="1">
      <c r="B15" s="807" t="s">
        <v>505</v>
      </c>
      <c r="C15" s="808"/>
      <c r="D15" s="81"/>
      <c r="E15" s="82"/>
      <c r="F15" s="82"/>
      <c r="G15" s="81"/>
      <c r="H15" s="82"/>
      <c r="I15" s="82"/>
      <c r="J15" s="81"/>
      <c r="K15" s="82"/>
      <c r="L15" s="82"/>
      <c r="M15" s="81"/>
      <c r="N15" s="82">
        <v>4</v>
      </c>
      <c r="O15" s="82">
        <v>2</v>
      </c>
      <c r="P15" s="81"/>
      <c r="Q15" s="82"/>
      <c r="R15" s="82"/>
      <c r="S15" s="81">
        <v>4</v>
      </c>
      <c r="T15" s="82">
        <v>2</v>
      </c>
      <c r="U15" s="82"/>
      <c r="V15" s="81">
        <v>4</v>
      </c>
      <c r="W15" s="82"/>
      <c r="X15" s="82"/>
      <c r="Y15" s="81"/>
      <c r="Z15" s="82">
        <v>2</v>
      </c>
      <c r="AA15" s="82"/>
      <c r="AB15" s="81"/>
      <c r="AC15" s="82"/>
      <c r="AD15" s="82"/>
      <c r="AE15" s="81"/>
      <c r="AF15" s="82"/>
      <c r="AG15" s="82"/>
      <c r="AH15" s="81"/>
      <c r="AI15" s="82"/>
      <c r="AJ15" s="82"/>
      <c r="AK15" s="81"/>
      <c r="AL15" s="82"/>
      <c r="AM15" s="82"/>
      <c r="AN15" s="83">
        <f t="shared" si="0"/>
        <v>18</v>
      </c>
      <c r="AQ15" s="201"/>
      <c r="AR15" s="201">
        <f t="shared" si="1"/>
        <v>18</v>
      </c>
    </row>
    <row r="16" spans="2:44" ht="20.25" customHeight="1">
      <c r="B16" s="807" t="s">
        <v>663</v>
      </c>
      <c r="C16" s="808"/>
      <c r="D16" s="81"/>
      <c r="E16" s="82"/>
      <c r="F16" s="82"/>
      <c r="G16" s="81"/>
      <c r="H16" s="82"/>
      <c r="I16" s="82"/>
      <c r="J16" s="81"/>
      <c r="K16" s="82"/>
      <c r="L16" s="82"/>
      <c r="M16" s="81"/>
      <c r="N16" s="82"/>
      <c r="O16" s="82"/>
      <c r="P16" s="81"/>
      <c r="Q16" s="82"/>
      <c r="R16" s="82"/>
      <c r="S16" s="81"/>
      <c r="T16" s="82"/>
      <c r="U16" s="82"/>
      <c r="V16" s="81"/>
      <c r="W16" s="82"/>
      <c r="X16" s="82"/>
      <c r="Y16" s="81"/>
      <c r="Z16" s="82"/>
      <c r="AA16" s="82"/>
      <c r="AB16" s="81"/>
      <c r="AC16" s="82"/>
      <c r="AD16" s="82"/>
      <c r="AE16" s="81"/>
      <c r="AF16" s="82"/>
      <c r="AG16" s="82"/>
      <c r="AH16" s="81"/>
      <c r="AI16" s="82"/>
      <c r="AJ16" s="82"/>
      <c r="AK16" s="81"/>
      <c r="AL16" s="82"/>
      <c r="AM16" s="82"/>
      <c r="AN16" s="83">
        <f t="shared" si="0"/>
        <v>0</v>
      </c>
      <c r="AQ16" s="201"/>
      <c r="AR16" s="201">
        <f t="shared" si="1"/>
        <v>0</v>
      </c>
    </row>
    <row r="17" spans="2:44" ht="20.25" customHeight="1">
      <c r="B17" s="807" t="s">
        <v>481</v>
      </c>
      <c r="C17" s="808"/>
      <c r="D17" s="81"/>
      <c r="E17" s="82"/>
      <c r="F17" s="82"/>
      <c r="G17" s="81"/>
      <c r="H17" s="82"/>
      <c r="I17" s="82"/>
      <c r="J17" s="81"/>
      <c r="K17" s="82"/>
      <c r="L17" s="82"/>
      <c r="M17" s="81"/>
      <c r="N17" s="82"/>
      <c r="O17" s="82"/>
      <c r="P17" s="81"/>
      <c r="Q17" s="82"/>
      <c r="R17" s="82"/>
      <c r="S17" s="81"/>
      <c r="T17" s="82"/>
      <c r="U17" s="82"/>
      <c r="V17" s="81">
        <v>7.07</v>
      </c>
      <c r="W17" s="82">
        <v>10.6</v>
      </c>
      <c r="X17" s="82">
        <v>20</v>
      </c>
      <c r="Y17" s="81">
        <v>24.7</v>
      </c>
      <c r="Z17" s="82">
        <v>8.25</v>
      </c>
      <c r="AA17" s="82">
        <v>7.07</v>
      </c>
      <c r="AB17" s="81">
        <v>21.2</v>
      </c>
      <c r="AC17" s="82">
        <v>14.1</v>
      </c>
      <c r="AD17" s="82">
        <v>4.71</v>
      </c>
      <c r="AE17" s="81">
        <v>14.1</v>
      </c>
      <c r="AF17" s="82">
        <v>9.43</v>
      </c>
      <c r="AG17" s="82"/>
      <c r="AH17" s="81"/>
      <c r="AI17" s="82"/>
      <c r="AJ17" s="82"/>
      <c r="AK17" s="81"/>
      <c r="AL17" s="82"/>
      <c r="AM17" s="82"/>
      <c r="AN17" s="83">
        <f t="shared" si="0"/>
        <v>141.23</v>
      </c>
      <c r="AQ17" s="201"/>
      <c r="AR17" s="201">
        <f t="shared" si="1"/>
        <v>141.23</v>
      </c>
    </row>
    <row r="18" spans="2:44" ht="20.25" customHeight="1">
      <c r="B18" s="807" t="s">
        <v>506</v>
      </c>
      <c r="C18" s="808"/>
      <c r="D18" s="81"/>
      <c r="E18" s="82"/>
      <c r="F18" s="82"/>
      <c r="G18" s="81"/>
      <c r="H18" s="82"/>
      <c r="I18" s="82"/>
      <c r="J18" s="81"/>
      <c r="K18" s="82"/>
      <c r="L18" s="82"/>
      <c r="M18" s="81"/>
      <c r="N18" s="82"/>
      <c r="O18" s="82"/>
      <c r="P18" s="81"/>
      <c r="Q18" s="82"/>
      <c r="R18" s="82"/>
      <c r="S18" s="81"/>
      <c r="T18" s="82"/>
      <c r="U18" s="82"/>
      <c r="V18" s="81">
        <v>10.4</v>
      </c>
      <c r="W18" s="82">
        <v>15.6</v>
      </c>
      <c r="X18" s="82">
        <v>29.5</v>
      </c>
      <c r="Y18" s="81">
        <v>36.4</v>
      </c>
      <c r="Z18" s="82">
        <v>12.1</v>
      </c>
      <c r="AA18" s="82">
        <v>10.4</v>
      </c>
      <c r="AB18" s="81">
        <v>31.2</v>
      </c>
      <c r="AC18" s="82">
        <v>20.8</v>
      </c>
      <c r="AD18" s="82">
        <v>6.93</v>
      </c>
      <c r="AE18" s="81">
        <v>20.8</v>
      </c>
      <c r="AF18" s="82">
        <v>13.9</v>
      </c>
      <c r="AG18" s="82"/>
      <c r="AH18" s="81"/>
      <c r="AI18" s="82"/>
      <c r="AJ18" s="82"/>
      <c r="AK18" s="81"/>
      <c r="AL18" s="82"/>
      <c r="AM18" s="82"/>
      <c r="AN18" s="83">
        <f t="shared" si="0"/>
        <v>208.03000000000003</v>
      </c>
      <c r="AQ18" s="201"/>
      <c r="AR18" s="201">
        <f t="shared" si="1"/>
        <v>208.03000000000003</v>
      </c>
    </row>
    <row r="19" spans="2:44" ht="20.25" customHeight="1">
      <c r="B19" s="807" t="s">
        <v>507</v>
      </c>
      <c r="C19" s="808"/>
      <c r="D19" s="81"/>
      <c r="E19" s="82"/>
      <c r="F19" s="82"/>
      <c r="G19" s="81"/>
      <c r="H19" s="82"/>
      <c r="I19" s="82"/>
      <c r="J19" s="81"/>
      <c r="K19" s="82"/>
      <c r="L19" s="82"/>
      <c r="M19" s="81"/>
      <c r="N19" s="82"/>
      <c r="O19" s="82"/>
      <c r="P19" s="81"/>
      <c r="Q19" s="82"/>
      <c r="R19" s="82"/>
      <c r="S19" s="81"/>
      <c r="T19" s="82"/>
      <c r="U19" s="82"/>
      <c r="V19" s="81"/>
      <c r="W19" s="82"/>
      <c r="X19" s="82"/>
      <c r="Y19" s="81"/>
      <c r="Z19" s="82"/>
      <c r="AA19" s="82">
        <v>2.4</v>
      </c>
      <c r="AB19" s="81"/>
      <c r="AC19" s="82"/>
      <c r="AD19" s="82"/>
      <c r="AE19" s="81">
        <v>5.6</v>
      </c>
      <c r="AF19" s="82"/>
      <c r="AG19" s="82"/>
      <c r="AH19" s="81"/>
      <c r="AI19" s="82">
        <v>8</v>
      </c>
      <c r="AJ19" s="82"/>
      <c r="AK19" s="81"/>
      <c r="AL19" s="82"/>
      <c r="AM19" s="82"/>
      <c r="AN19" s="83">
        <f t="shared" si="0"/>
        <v>16</v>
      </c>
      <c r="AQ19" s="201"/>
      <c r="AR19" s="201">
        <f t="shared" si="1"/>
        <v>16</v>
      </c>
    </row>
    <row r="20" spans="2:44" ht="20.25" customHeight="1">
      <c r="B20" s="807" t="s">
        <v>192</v>
      </c>
      <c r="C20" s="808"/>
      <c r="D20" s="81"/>
      <c r="E20" s="82"/>
      <c r="F20" s="82"/>
      <c r="G20" s="81"/>
      <c r="H20" s="82"/>
      <c r="I20" s="82"/>
      <c r="J20" s="81"/>
      <c r="K20" s="82"/>
      <c r="L20" s="82"/>
      <c r="M20" s="81"/>
      <c r="N20" s="82"/>
      <c r="O20" s="82"/>
      <c r="P20" s="81">
        <v>1.05</v>
      </c>
      <c r="Q20" s="82">
        <v>1.05</v>
      </c>
      <c r="R20" s="82">
        <v>1.05</v>
      </c>
      <c r="S20" s="81"/>
      <c r="T20" s="82"/>
      <c r="U20" s="82"/>
      <c r="V20" s="81"/>
      <c r="W20" s="82"/>
      <c r="X20" s="82"/>
      <c r="Y20" s="81"/>
      <c r="Z20" s="82"/>
      <c r="AA20" s="82"/>
      <c r="AB20" s="81"/>
      <c r="AC20" s="82"/>
      <c r="AD20" s="82"/>
      <c r="AE20" s="81"/>
      <c r="AF20" s="82"/>
      <c r="AG20" s="82"/>
      <c r="AH20" s="81"/>
      <c r="AI20" s="82"/>
      <c r="AJ20" s="82"/>
      <c r="AK20" s="81"/>
      <c r="AL20" s="82"/>
      <c r="AM20" s="82"/>
      <c r="AN20" s="83">
        <f t="shared" si="0"/>
        <v>3.1500000000000004</v>
      </c>
      <c r="AQ20" s="201"/>
      <c r="AR20" s="201">
        <f t="shared" si="1"/>
        <v>3.1500000000000004</v>
      </c>
    </row>
    <row r="21" spans="2:44" ht="20.25" customHeight="1">
      <c r="B21" s="807"/>
      <c r="C21" s="808"/>
      <c r="D21" s="81"/>
      <c r="E21" s="82"/>
      <c r="F21" s="82"/>
      <c r="G21" s="81"/>
      <c r="H21" s="82"/>
      <c r="I21" s="82"/>
      <c r="J21" s="81"/>
      <c r="K21" s="82"/>
      <c r="L21" s="82"/>
      <c r="M21" s="81"/>
      <c r="N21" s="82"/>
      <c r="O21" s="82"/>
      <c r="P21" s="81"/>
      <c r="Q21" s="82"/>
      <c r="R21" s="82"/>
      <c r="S21" s="81"/>
      <c r="T21" s="82"/>
      <c r="U21" s="82"/>
      <c r="V21" s="81"/>
      <c r="W21" s="82"/>
      <c r="X21" s="82"/>
      <c r="Y21" s="81"/>
      <c r="Z21" s="82"/>
      <c r="AA21" s="82"/>
      <c r="AB21" s="81"/>
      <c r="AC21" s="82"/>
      <c r="AD21" s="82"/>
      <c r="AE21" s="81"/>
      <c r="AF21" s="82"/>
      <c r="AG21" s="82"/>
      <c r="AH21" s="81"/>
      <c r="AI21" s="82"/>
      <c r="AJ21" s="82"/>
      <c r="AK21" s="81"/>
      <c r="AL21" s="82"/>
      <c r="AM21" s="82"/>
      <c r="AN21" s="83">
        <f t="shared" si="0"/>
        <v>0</v>
      </c>
      <c r="AQ21" s="201"/>
      <c r="AR21" s="201">
        <f t="shared" si="1"/>
        <v>0</v>
      </c>
    </row>
    <row r="22" spans="2:44" ht="20.25" customHeight="1">
      <c r="B22" s="807"/>
      <c r="C22" s="808"/>
      <c r="D22" s="81"/>
      <c r="E22" s="82"/>
      <c r="F22" s="82"/>
      <c r="G22" s="81"/>
      <c r="H22" s="82"/>
      <c r="I22" s="82"/>
      <c r="J22" s="81"/>
      <c r="K22" s="82"/>
      <c r="L22" s="82"/>
      <c r="M22" s="81"/>
      <c r="N22" s="82"/>
      <c r="O22" s="82"/>
      <c r="P22" s="81"/>
      <c r="Q22" s="82"/>
      <c r="R22" s="82"/>
      <c r="S22" s="81"/>
      <c r="T22" s="82"/>
      <c r="U22" s="82"/>
      <c r="V22" s="81"/>
      <c r="W22" s="82"/>
      <c r="X22" s="82"/>
      <c r="Y22" s="81"/>
      <c r="Z22" s="82"/>
      <c r="AA22" s="82"/>
      <c r="AB22" s="81"/>
      <c r="AC22" s="82"/>
      <c r="AD22" s="82"/>
      <c r="AE22" s="81"/>
      <c r="AF22" s="82"/>
      <c r="AG22" s="82"/>
      <c r="AH22" s="81"/>
      <c r="AI22" s="82"/>
      <c r="AJ22" s="82"/>
      <c r="AK22" s="81"/>
      <c r="AL22" s="82"/>
      <c r="AM22" s="82"/>
      <c r="AN22" s="83">
        <f t="shared" si="0"/>
        <v>0</v>
      </c>
      <c r="AQ22" s="201"/>
      <c r="AR22" s="201">
        <f t="shared" si="1"/>
        <v>0</v>
      </c>
    </row>
    <row r="23" spans="2:44" ht="20.25" customHeight="1">
      <c r="B23" s="809" t="s">
        <v>664</v>
      </c>
      <c r="C23" s="810"/>
      <c r="D23" s="81">
        <f aca="true" t="shared" si="2" ref="D23:AM23">SUM(D10:D22)</f>
        <v>2</v>
      </c>
      <c r="E23" s="81">
        <f t="shared" si="2"/>
        <v>3.2</v>
      </c>
      <c r="F23" s="81">
        <f t="shared" si="2"/>
        <v>7.2</v>
      </c>
      <c r="G23" s="81">
        <f t="shared" si="2"/>
        <v>3.6</v>
      </c>
      <c r="H23" s="81">
        <f t="shared" si="2"/>
        <v>2</v>
      </c>
      <c r="I23" s="81">
        <f t="shared" si="2"/>
        <v>2</v>
      </c>
      <c r="J23" s="81">
        <f t="shared" si="2"/>
        <v>3.8</v>
      </c>
      <c r="K23" s="81">
        <f t="shared" si="2"/>
        <v>5.6</v>
      </c>
      <c r="L23" s="81">
        <f t="shared" si="2"/>
        <v>12</v>
      </c>
      <c r="M23" s="81">
        <f t="shared" si="2"/>
        <v>21.35</v>
      </c>
      <c r="N23" s="81">
        <f t="shared" si="2"/>
        <v>15.75</v>
      </c>
      <c r="O23" s="81">
        <f t="shared" si="2"/>
        <v>26.8</v>
      </c>
      <c r="P23" s="81">
        <f t="shared" si="2"/>
        <v>11.2</v>
      </c>
      <c r="Q23" s="81">
        <f t="shared" si="2"/>
        <v>13.55</v>
      </c>
      <c r="R23" s="81">
        <f t="shared" si="2"/>
        <v>19.1</v>
      </c>
      <c r="S23" s="81">
        <f t="shared" si="2"/>
        <v>24.35</v>
      </c>
      <c r="T23" s="81">
        <f t="shared" si="2"/>
        <v>9.9</v>
      </c>
      <c r="U23" s="81">
        <f t="shared" si="2"/>
        <v>13.4</v>
      </c>
      <c r="V23" s="81">
        <f t="shared" si="2"/>
        <v>24.270000000000003</v>
      </c>
      <c r="W23" s="81">
        <f t="shared" si="2"/>
        <v>28.549999999999997</v>
      </c>
      <c r="X23" s="81">
        <f t="shared" si="2"/>
        <v>57.65</v>
      </c>
      <c r="Y23" s="81">
        <f t="shared" si="2"/>
        <v>62.599999999999994</v>
      </c>
      <c r="Z23" s="81">
        <f t="shared" si="2"/>
        <v>23.85</v>
      </c>
      <c r="AA23" s="81">
        <f t="shared" si="2"/>
        <v>25.369999999999997</v>
      </c>
      <c r="AB23" s="81">
        <f t="shared" si="2"/>
        <v>53.9</v>
      </c>
      <c r="AC23" s="81">
        <f t="shared" si="2"/>
        <v>35.5</v>
      </c>
      <c r="AD23" s="81">
        <f t="shared" si="2"/>
        <v>25.439999999999998</v>
      </c>
      <c r="AE23" s="81">
        <f t="shared" si="2"/>
        <v>48.300000000000004</v>
      </c>
      <c r="AF23" s="81">
        <f t="shared" si="2"/>
        <v>23.33</v>
      </c>
      <c r="AG23" s="81">
        <f t="shared" si="2"/>
        <v>5.6</v>
      </c>
      <c r="AH23" s="81">
        <f t="shared" si="2"/>
        <v>14.8</v>
      </c>
      <c r="AI23" s="81">
        <f t="shared" si="2"/>
        <v>13.2</v>
      </c>
      <c r="AJ23" s="81">
        <f t="shared" si="2"/>
        <v>3.2</v>
      </c>
      <c r="AK23" s="81">
        <f t="shared" si="2"/>
        <v>8.8</v>
      </c>
      <c r="AL23" s="81">
        <f t="shared" si="2"/>
        <v>3.2</v>
      </c>
      <c r="AM23" s="81">
        <f t="shared" si="2"/>
        <v>8.8</v>
      </c>
      <c r="AN23" s="83">
        <f t="shared" si="0"/>
        <v>663.1600000000001</v>
      </c>
      <c r="AQ23" s="201">
        <f>SUM(AQ10:AQ22)</f>
        <v>4</v>
      </c>
      <c r="AR23" s="201">
        <f>SUM(AR10:AR22)</f>
        <v>659.16</v>
      </c>
    </row>
    <row r="24" spans="2:40" ht="20.25" customHeight="1" thickBot="1">
      <c r="B24" s="811" t="s">
        <v>665</v>
      </c>
      <c r="C24" s="812"/>
      <c r="D24" s="88"/>
      <c r="E24" s="89">
        <f>SUM(D23:F23)</f>
        <v>12.4</v>
      </c>
      <c r="F24" s="89"/>
      <c r="G24" s="88"/>
      <c r="H24" s="89">
        <f>SUM(G23:I23)</f>
        <v>7.6</v>
      </c>
      <c r="I24" s="89"/>
      <c r="J24" s="88"/>
      <c r="K24" s="89">
        <f>SUM(J23:L23)</f>
        <v>21.4</v>
      </c>
      <c r="L24" s="89"/>
      <c r="M24" s="88"/>
      <c r="N24" s="89">
        <f>SUM(M23:O23)</f>
        <v>63.900000000000006</v>
      </c>
      <c r="O24" s="89"/>
      <c r="P24" s="88"/>
      <c r="Q24" s="89">
        <f>SUM(P23:R23)</f>
        <v>43.85</v>
      </c>
      <c r="R24" s="89"/>
      <c r="S24" s="88"/>
      <c r="T24" s="89">
        <f>SUM(S23:U23)</f>
        <v>47.65</v>
      </c>
      <c r="U24" s="89"/>
      <c r="V24" s="88"/>
      <c r="W24" s="89">
        <f>SUM(V23:X23)</f>
        <v>110.47</v>
      </c>
      <c r="X24" s="89"/>
      <c r="Y24" s="88"/>
      <c r="Z24" s="89">
        <f>SUM(Y23:AA23)</f>
        <v>111.82</v>
      </c>
      <c r="AA24" s="89"/>
      <c r="AB24" s="88"/>
      <c r="AC24" s="89">
        <f>SUM(AB23:AD23)</f>
        <v>114.84</v>
      </c>
      <c r="AD24" s="89"/>
      <c r="AE24" s="88"/>
      <c r="AF24" s="89">
        <f>SUM(AE23:AG23)</f>
        <v>77.22999999999999</v>
      </c>
      <c r="AG24" s="89"/>
      <c r="AH24" s="88"/>
      <c r="AI24" s="89">
        <f>SUM(AH23:AJ23)</f>
        <v>31.2</v>
      </c>
      <c r="AJ24" s="89"/>
      <c r="AK24" s="88"/>
      <c r="AL24" s="89">
        <f>SUM(AK23:AM23)</f>
        <v>20.8</v>
      </c>
      <c r="AM24" s="89"/>
      <c r="AN24" s="90">
        <f>SUM(AN10:AN22)</f>
        <v>663.16</v>
      </c>
    </row>
    <row r="25" ht="9.75" customHeight="1"/>
  </sheetData>
  <sheetProtection/>
  <mergeCells count="30"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K4:AM4"/>
    <mergeCell ref="AN4:AN5"/>
    <mergeCell ref="B6:C9"/>
    <mergeCell ref="B10:C10"/>
    <mergeCell ref="B11:C11"/>
    <mergeCell ref="B12:C12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  <mergeCell ref="P4:R4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01"/>
  <sheetViews>
    <sheetView zoomScale="75" zoomScaleNormal="75" zoomScalePageLayoutView="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49" customWidth="1"/>
    <col min="2" max="2" width="5.00390625" style="49" customWidth="1"/>
    <col min="3" max="3" width="22.50390625" style="49" bestFit="1" customWidth="1"/>
    <col min="4" max="4" width="30.00390625" style="49" bestFit="1" customWidth="1"/>
    <col min="5" max="6" width="6.00390625" style="49" bestFit="1" customWidth="1"/>
    <col min="7" max="7" width="17.625" style="49" customWidth="1"/>
    <col min="8" max="8" width="10.625" style="49" customWidth="1"/>
    <col min="9" max="9" width="17.625" style="49" customWidth="1"/>
    <col min="10" max="10" width="10.625" style="49" customWidth="1"/>
    <col min="11" max="11" width="15.125" style="50" bestFit="1" customWidth="1"/>
    <col min="12" max="12" width="17.625" style="49" customWidth="1"/>
    <col min="13" max="13" width="10.625" style="49" customWidth="1"/>
    <col min="14" max="14" width="17.625" style="49" customWidth="1"/>
    <col min="15" max="15" width="10.625" style="49" customWidth="1"/>
    <col min="16" max="16" width="19.75390625" style="49" bestFit="1" customWidth="1"/>
    <col min="17" max="16384" width="9.00390625" style="49" customWidth="1"/>
  </cols>
  <sheetData>
    <row r="1" ht="6" customHeight="1" hidden="1"/>
    <row r="2" spans="2:16" ht="24.75" customHeight="1" thickBot="1">
      <c r="B2" s="1" t="s">
        <v>284</v>
      </c>
      <c r="C2" s="2"/>
      <c r="D2" s="2"/>
      <c r="E2" s="51"/>
      <c r="F2" s="831"/>
      <c r="G2" s="832"/>
      <c r="H2" s="52"/>
      <c r="I2" s="52"/>
      <c r="J2" s="53"/>
      <c r="K2" s="54"/>
      <c r="L2" s="53"/>
      <c r="M2" s="55"/>
      <c r="P2" s="53"/>
    </row>
    <row r="3" spans="2:16" ht="13.5">
      <c r="B3" s="837" t="s">
        <v>138</v>
      </c>
      <c r="C3" s="829" t="s">
        <v>38</v>
      </c>
      <c r="D3" s="829" t="s">
        <v>137</v>
      </c>
      <c r="E3" s="833" t="s">
        <v>39</v>
      </c>
      <c r="F3" s="834"/>
      <c r="G3" s="56" t="s">
        <v>40</v>
      </c>
      <c r="H3" s="56" t="s">
        <v>140</v>
      </c>
      <c r="I3" s="56" t="s">
        <v>139</v>
      </c>
      <c r="J3" s="829" t="s">
        <v>99</v>
      </c>
      <c r="K3" s="57" t="s">
        <v>165</v>
      </c>
      <c r="L3" s="56" t="s">
        <v>41</v>
      </c>
      <c r="M3" s="56" t="s">
        <v>144</v>
      </c>
      <c r="N3" s="56" t="s">
        <v>42</v>
      </c>
      <c r="O3" s="56" t="s">
        <v>43</v>
      </c>
      <c r="P3" s="246" t="s">
        <v>44</v>
      </c>
    </row>
    <row r="4" spans="2:16" ht="13.5">
      <c r="B4" s="838"/>
      <c r="C4" s="830"/>
      <c r="D4" s="830"/>
      <c r="E4" s="58" t="s">
        <v>101</v>
      </c>
      <c r="F4" s="58" t="s">
        <v>9</v>
      </c>
      <c r="G4" s="59" t="s">
        <v>166</v>
      </c>
      <c r="H4" s="59" t="s">
        <v>167</v>
      </c>
      <c r="I4" s="59" t="s">
        <v>148</v>
      </c>
      <c r="J4" s="830"/>
      <c r="K4" s="60" t="s">
        <v>168</v>
      </c>
      <c r="L4" s="59" t="s">
        <v>169</v>
      </c>
      <c r="M4" s="59" t="s">
        <v>170</v>
      </c>
      <c r="N4" s="59" t="s">
        <v>150</v>
      </c>
      <c r="O4" s="59" t="s">
        <v>171</v>
      </c>
      <c r="P4" s="247" t="s">
        <v>172</v>
      </c>
    </row>
    <row r="5" spans="2:16" ht="13.5">
      <c r="B5" s="835" t="s">
        <v>212</v>
      </c>
      <c r="C5" s="813" t="str">
        <f>'（参考）水稲資本装備'!C5</f>
        <v>農機具庫</v>
      </c>
      <c r="D5" s="813" t="str">
        <f>'（参考）水稲資本装備'!D5</f>
        <v>鉄骨　スレート</v>
      </c>
      <c r="E5" s="813">
        <f>'（参考）水稲資本装備'!E5</f>
        <v>100</v>
      </c>
      <c r="F5" s="813" t="s">
        <v>173</v>
      </c>
      <c r="G5" s="813">
        <f>'（参考）水稲資本装備'!G5</f>
        <v>5940000</v>
      </c>
      <c r="H5" s="816">
        <v>0</v>
      </c>
      <c r="I5" s="813">
        <f>G5*(1-H5)</f>
        <v>5940000</v>
      </c>
      <c r="J5" s="259" t="s">
        <v>425</v>
      </c>
      <c r="K5" s="61">
        <f>30/30/30</f>
        <v>0.03333333333333333</v>
      </c>
      <c r="L5" s="48">
        <f>I5*K5</f>
        <v>198000</v>
      </c>
      <c r="M5" s="62">
        <v>0</v>
      </c>
      <c r="N5" s="48">
        <f aca="true" t="shared" si="0" ref="N5:N10">L5*M5/100</f>
        <v>0</v>
      </c>
      <c r="O5" s="48">
        <v>25</v>
      </c>
      <c r="P5" s="133">
        <f aca="true" t="shared" si="1" ref="P5:P19">IF(O5="","",(L5-N5)/O5)</f>
        <v>7920</v>
      </c>
    </row>
    <row r="6" spans="2:16" ht="13.5">
      <c r="B6" s="820"/>
      <c r="C6" s="814"/>
      <c r="D6" s="814"/>
      <c r="E6" s="814"/>
      <c r="F6" s="814"/>
      <c r="G6" s="814"/>
      <c r="H6" s="817"/>
      <c r="I6" s="814"/>
      <c r="J6" s="260" t="s">
        <v>667</v>
      </c>
      <c r="K6" s="61">
        <f>30/30/30</f>
        <v>0.03333333333333333</v>
      </c>
      <c r="L6" s="48">
        <f>I5*K6</f>
        <v>198000</v>
      </c>
      <c r="M6" s="62">
        <v>0</v>
      </c>
      <c r="N6" s="48">
        <f t="shared" si="0"/>
        <v>0</v>
      </c>
      <c r="O6" s="48">
        <v>25</v>
      </c>
      <c r="P6" s="133">
        <f t="shared" si="1"/>
        <v>7920</v>
      </c>
    </row>
    <row r="7" spans="2:16" ht="13.5">
      <c r="B7" s="820"/>
      <c r="C7" s="815"/>
      <c r="D7" s="815"/>
      <c r="E7" s="815"/>
      <c r="F7" s="815"/>
      <c r="G7" s="815"/>
      <c r="H7" s="818"/>
      <c r="I7" s="815"/>
      <c r="J7" s="261" t="s">
        <v>547</v>
      </c>
      <c r="K7" s="61">
        <f>1/30/1</f>
        <v>0.03333333333333333</v>
      </c>
      <c r="L7" s="48">
        <f>I5*K7</f>
        <v>198000</v>
      </c>
      <c r="M7" s="62">
        <v>0</v>
      </c>
      <c r="N7" s="48">
        <f t="shared" si="0"/>
        <v>0</v>
      </c>
      <c r="O7" s="48">
        <v>25</v>
      </c>
      <c r="P7" s="133">
        <f t="shared" si="1"/>
        <v>7920</v>
      </c>
    </row>
    <row r="8" spans="2:16" ht="13.5">
      <c r="B8" s="820"/>
      <c r="C8" s="813" t="str">
        <f>'（参考）水稲資本装備'!C6</f>
        <v>乾燥調製施設</v>
      </c>
      <c r="D8" s="813" t="str">
        <f>'（参考）水稲資本装備'!D6</f>
        <v>鉄骨　スレート</v>
      </c>
      <c r="E8" s="813">
        <f>'（参考）水稲資本装備'!E6</f>
        <v>180</v>
      </c>
      <c r="F8" s="813" t="s">
        <v>105</v>
      </c>
      <c r="G8" s="813">
        <f>'（参考）水稲資本装備'!G6</f>
        <v>10692000</v>
      </c>
      <c r="H8" s="816">
        <v>0</v>
      </c>
      <c r="I8" s="813">
        <f>G8*(1-H8)</f>
        <v>10692000</v>
      </c>
      <c r="J8" s="259" t="s">
        <v>425</v>
      </c>
      <c r="K8" s="61">
        <f>29/29/29</f>
        <v>0.034482758620689655</v>
      </c>
      <c r="L8" s="48">
        <f>I8*K8</f>
        <v>368689.6551724138</v>
      </c>
      <c r="M8" s="62">
        <v>0</v>
      </c>
      <c r="N8" s="48">
        <f t="shared" si="0"/>
        <v>0</v>
      </c>
      <c r="O8" s="48">
        <v>25</v>
      </c>
      <c r="P8" s="133">
        <f t="shared" si="1"/>
        <v>14747.586206896553</v>
      </c>
    </row>
    <row r="9" spans="2:16" ht="13.5">
      <c r="B9" s="820"/>
      <c r="C9" s="814"/>
      <c r="D9" s="814"/>
      <c r="E9" s="814"/>
      <c r="F9" s="814"/>
      <c r="G9" s="814"/>
      <c r="H9" s="817"/>
      <c r="I9" s="814"/>
      <c r="J9" s="260" t="s">
        <v>667</v>
      </c>
      <c r="K9" s="61">
        <f>29/29/29</f>
        <v>0.034482758620689655</v>
      </c>
      <c r="L9" s="48">
        <f>I8*K9</f>
        <v>368689.6551724138</v>
      </c>
      <c r="M9" s="62">
        <v>0</v>
      </c>
      <c r="N9" s="48">
        <f t="shared" si="0"/>
        <v>0</v>
      </c>
      <c r="O9" s="48">
        <v>25</v>
      </c>
      <c r="P9" s="133">
        <f t="shared" si="1"/>
        <v>14747.586206896553</v>
      </c>
    </row>
    <row r="10" spans="2:16" ht="13.5" hidden="1">
      <c r="B10" s="820"/>
      <c r="C10" s="815"/>
      <c r="D10" s="815"/>
      <c r="E10" s="815"/>
      <c r="F10" s="815"/>
      <c r="G10" s="815"/>
      <c r="H10" s="818"/>
      <c r="I10" s="815"/>
      <c r="J10" s="261"/>
      <c r="K10" s="61"/>
      <c r="L10" s="48">
        <f>I8*K10</f>
        <v>0</v>
      </c>
      <c r="M10" s="62">
        <v>0</v>
      </c>
      <c r="N10" s="48">
        <f t="shared" si="0"/>
        <v>0</v>
      </c>
      <c r="O10" s="48">
        <v>25</v>
      </c>
      <c r="P10" s="133">
        <f t="shared" si="1"/>
        <v>0</v>
      </c>
    </row>
    <row r="11" spans="2:16" ht="13.5">
      <c r="B11" s="820"/>
      <c r="C11" s="813" t="str">
        <f>'（参考）水稲資本装備'!C7</f>
        <v>育苗ハウス</v>
      </c>
      <c r="D11" s="813" t="str">
        <f>'（参考）水稲資本装備'!D7</f>
        <v>鉄パイプ</v>
      </c>
      <c r="E11" s="813">
        <f>'（参考）水稲資本装備'!E7</f>
        <v>1770</v>
      </c>
      <c r="F11" s="813" t="s">
        <v>105</v>
      </c>
      <c r="G11" s="813">
        <f>'（参考）水稲資本装備'!G7</f>
        <v>4301100</v>
      </c>
      <c r="H11" s="816">
        <v>0</v>
      </c>
      <c r="I11" s="813">
        <f>G11*(1-H11)</f>
        <v>4301100</v>
      </c>
      <c r="J11" s="259" t="s">
        <v>425</v>
      </c>
      <c r="K11" s="61">
        <f>29/29/29</f>
        <v>0.034482758620689655</v>
      </c>
      <c r="L11" s="48">
        <f>I11*K11</f>
        <v>148313.79310344826</v>
      </c>
      <c r="M11" s="62">
        <v>0</v>
      </c>
      <c r="N11" s="48">
        <f>L11*M11/100</f>
        <v>0</v>
      </c>
      <c r="O11" s="48">
        <v>10</v>
      </c>
      <c r="P11" s="133">
        <f t="shared" si="1"/>
        <v>14831.379310344826</v>
      </c>
    </row>
    <row r="12" spans="2:16" ht="13.5">
      <c r="B12" s="820"/>
      <c r="C12" s="814"/>
      <c r="D12" s="814"/>
      <c r="E12" s="814"/>
      <c r="F12" s="814"/>
      <c r="G12" s="814"/>
      <c r="H12" s="817"/>
      <c r="I12" s="814"/>
      <c r="J12" s="260" t="s">
        <v>667</v>
      </c>
      <c r="K12" s="61">
        <f>29/29/29</f>
        <v>0.034482758620689655</v>
      </c>
      <c r="L12" s="48">
        <f>I11*K12</f>
        <v>148313.79310344826</v>
      </c>
      <c r="M12" s="62">
        <v>0</v>
      </c>
      <c r="N12" s="48">
        <f>L12*M12/100</f>
        <v>0</v>
      </c>
      <c r="O12" s="48">
        <v>10</v>
      </c>
      <c r="P12" s="133">
        <f t="shared" si="1"/>
        <v>14831.379310344826</v>
      </c>
    </row>
    <row r="13" spans="2:16" ht="13.5" hidden="1">
      <c r="B13" s="820"/>
      <c r="C13" s="815"/>
      <c r="D13" s="815"/>
      <c r="E13" s="815"/>
      <c r="F13" s="815"/>
      <c r="G13" s="815"/>
      <c r="H13" s="818"/>
      <c r="I13" s="815"/>
      <c r="J13" s="261"/>
      <c r="K13" s="61"/>
      <c r="L13" s="48">
        <f>I11*K13</f>
        <v>0</v>
      </c>
      <c r="M13" s="62">
        <v>0</v>
      </c>
      <c r="N13" s="48">
        <f>L13*M13/100</f>
        <v>0</v>
      </c>
      <c r="O13" s="48">
        <v>10</v>
      </c>
      <c r="P13" s="133">
        <f t="shared" si="1"/>
        <v>0</v>
      </c>
    </row>
    <row r="14" spans="2:16" ht="13.5">
      <c r="B14" s="820"/>
      <c r="C14" s="813" t="s">
        <v>565</v>
      </c>
      <c r="D14" s="813" t="s">
        <v>566</v>
      </c>
      <c r="E14" s="813">
        <v>40</v>
      </c>
      <c r="F14" s="813" t="s">
        <v>105</v>
      </c>
      <c r="G14" s="813">
        <v>2376000</v>
      </c>
      <c r="H14" s="816">
        <v>0</v>
      </c>
      <c r="I14" s="813">
        <f>G14*(1-H14)</f>
        <v>2376000</v>
      </c>
      <c r="J14" s="259"/>
      <c r="K14" s="61"/>
      <c r="L14" s="48">
        <f>+I14*K14</f>
        <v>0</v>
      </c>
      <c r="M14" s="62">
        <v>0</v>
      </c>
      <c r="N14" s="48">
        <v>0</v>
      </c>
      <c r="O14" s="48">
        <v>25</v>
      </c>
      <c r="P14" s="133">
        <f>IF(O14="","",(L14-N14)/O14)</f>
        <v>0</v>
      </c>
    </row>
    <row r="15" spans="2:16" ht="13.5" hidden="1">
      <c r="B15" s="820"/>
      <c r="C15" s="814"/>
      <c r="D15" s="814"/>
      <c r="E15" s="814"/>
      <c r="F15" s="814"/>
      <c r="G15" s="814"/>
      <c r="H15" s="817"/>
      <c r="I15" s="814"/>
      <c r="J15" s="260"/>
      <c r="K15" s="61"/>
      <c r="L15" s="48">
        <v>0</v>
      </c>
      <c r="M15" s="62">
        <v>0</v>
      </c>
      <c r="N15" s="48">
        <v>0</v>
      </c>
      <c r="O15" s="48">
        <v>25</v>
      </c>
      <c r="P15" s="133">
        <f>IF(O15="","",(L15-N15)/O15)</f>
        <v>0</v>
      </c>
    </row>
    <row r="16" spans="2:16" ht="13.5">
      <c r="B16" s="820"/>
      <c r="C16" s="815"/>
      <c r="D16" s="815"/>
      <c r="E16" s="815"/>
      <c r="F16" s="815"/>
      <c r="G16" s="815"/>
      <c r="H16" s="818"/>
      <c r="I16" s="815"/>
      <c r="J16" s="261" t="s">
        <v>564</v>
      </c>
      <c r="K16" s="61">
        <f>1/1/1</f>
        <v>1</v>
      </c>
      <c r="L16" s="48">
        <f>+I14*K16</f>
        <v>2376000</v>
      </c>
      <c r="M16" s="62">
        <v>0</v>
      </c>
      <c r="N16" s="48">
        <v>0</v>
      </c>
      <c r="O16" s="48">
        <v>25</v>
      </c>
      <c r="P16" s="133">
        <f>IF(O16="","",(L16-N16)/O16)</f>
        <v>95040</v>
      </c>
    </row>
    <row r="17" spans="2:16" ht="13.5">
      <c r="B17" s="820"/>
      <c r="C17" s="813" t="s">
        <v>549</v>
      </c>
      <c r="D17" s="813" t="s">
        <v>548</v>
      </c>
      <c r="E17" s="813">
        <v>450</v>
      </c>
      <c r="F17" s="813" t="s">
        <v>523</v>
      </c>
      <c r="G17" s="813">
        <v>1950000</v>
      </c>
      <c r="H17" s="816">
        <v>0</v>
      </c>
      <c r="I17" s="813">
        <f>G17*(1-H17)</f>
        <v>1950000</v>
      </c>
      <c r="J17" s="259"/>
      <c r="K17" s="61"/>
      <c r="L17" s="48">
        <f>+I17*K17</f>
        <v>0</v>
      </c>
      <c r="M17" s="62">
        <v>0</v>
      </c>
      <c r="N17" s="48">
        <v>0</v>
      </c>
      <c r="O17" s="48">
        <v>10</v>
      </c>
      <c r="P17" s="133">
        <f t="shared" si="1"/>
        <v>0</v>
      </c>
    </row>
    <row r="18" spans="2:16" ht="13.5" hidden="1">
      <c r="B18" s="820"/>
      <c r="C18" s="814"/>
      <c r="D18" s="814"/>
      <c r="E18" s="814"/>
      <c r="F18" s="814"/>
      <c r="G18" s="814"/>
      <c r="H18" s="817"/>
      <c r="I18" s="814"/>
      <c r="J18" s="260"/>
      <c r="K18" s="61"/>
      <c r="L18" s="48">
        <v>0</v>
      </c>
      <c r="M18" s="62">
        <v>0</v>
      </c>
      <c r="N18" s="48">
        <v>0</v>
      </c>
      <c r="O18" s="48">
        <v>10</v>
      </c>
      <c r="P18" s="133">
        <f t="shared" si="1"/>
        <v>0</v>
      </c>
    </row>
    <row r="19" spans="2:16" ht="13.5">
      <c r="B19" s="820"/>
      <c r="C19" s="815"/>
      <c r="D19" s="815"/>
      <c r="E19" s="815"/>
      <c r="F19" s="815"/>
      <c r="G19" s="815"/>
      <c r="H19" s="818"/>
      <c r="I19" s="815"/>
      <c r="J19" s="261" t="s">
        <v>564</v>
      </c>
      <c r="K19" s="61">
        <f>1/1/1</f>
        <v>1</v>
      </c>
      <c r="L19" s="48">
        <f>+I17*K19</f>
        <v>1950000</v>
      </c>
      <c r="M19" s="62">
        <v>0</v>
      </c>
      <c r="N19" s="48">
        <v>0</v>
      </c>
      <c r="O19" s="48">
        <v>10</v>
      </c>
      <c r="P19" s="133">
        <f t="shared" si="1"/>
        <v>195000</v>
      </c>
    </row>
    <row r="20" spans="2:16" ht="13.5">
      <c r="B20" s="820"/>
      <c r="C20" s="823" t="s">
        <v>46</v>
      </c>
      <c r="D20" s="823"/>
      <c r="E20" s="823"/>
      <c r="F20" s="823"/>
      <c r="G20" s="823">
        <f>SUM(G5:G19)</f>
        <v>25259100</v>
      </c>
      <c r="H20" s="823"/>
      <c r="I20" s="823">
        <f>SUM(I5:I19)</f>
        <v>25259100</v>
      </c>
      <c r="J20" s="63" t="s">
        <v>425</v>
      </c>
      <c r="K20" s="348"/>
      <c r="L20" s="63">
        <f>L5+L8+L11+L17</f>
        <v>715003.448275862</v>
      </c>
      <c r="M20" s="309"/>
      <c r="N20" s="63"/>
      <c r="O20" s="63"/>
      <c r="P20" s="310">
        <f>+P5+P8+P11+P14+P17</f>
        <v>37498.96551724138</v>
      </c>
    </row>
    <row r="21" spans="2:16" ht="13.5">
      <c r="B21" s="820"/>
      <c r="C21" s="824"/>
      <c r="D21" s="824"/>
      <c r="E21" s="824"/>
      <c r="F21" s="824"/>
      <c r="G21" s="824"/>
      <c r="H21" s="824"/>
      <c r="I21" s="824"/>
      <c r="J21" s="63" t="s">
        <v>667</v>
      </c>
      <c r="K21" s="308"/>
      <c r="L21" s="63">
        <f>L6+L9+L12+L18</f>
        <v>715003.448275862</v>
      </c>
      <c r="M21" s="309"/>
      <c r="N21" s="63"/>
      <c r="O21" s="63"/>
      <c r="P21" s="310">
        <f>+P6+P9+P12+P15+P18</f>
        <v>37498.96551724138</v>
      </c>
    </row>
    <row r="22" spans="2:16" ht="13.5">
      <c r="B22" s="836"/>
      <c r="C22" s="825"/>
      <c r="D22" s="825"/>
      <c r="E22" s="825"/>
      <c r="F22" s="825"/>
      <c r="G22" s="825"/>
      <c r="H22" s="825"/>
      <c r="I22" s="825"/>
      <c r="J22" s="63" t="s">
        <v>668</v>
      </c>
      <c r="K22" s="64"/>
      <c r="L22" s="63">
        <f>L7+L10+L13+L19</f>
        <v>2148000</v>
      </c>
      <c r="M22" s="63"/>
      <c r="N22" s="63"/>
      <c r="O22" s="63"/>
      <c r="P22" s="310">
        <f>+P7+P10+P13+P16+P19</f>
        <v>297960</v>
      </c>
    </row>
    <row r="23" spans="2:16" ht="13.5">
      <c r="B23" s="835" t="s">
        <v>213</v>
      </c>
      <c r="C23" s="813" t="str">
        <f>'（参考）水稲資本装備'!C16</f>
        <v>トラクター</v>
      </c>
      <c r="D23" s="813" t="str">
        <f>'（参考）水稲資本装備'!D16</f>
        <v>46psキャビン付（ﾛｰﾀﾘｰ）</v>
      </c>
      <c r="E23" s="813">
        <f>'（参考）水稲資本装備'!E16</f>
        <v>1</v>
      </c>
      <c r="F23" s="813" t="str">
        <f>'（参考）水稲資本装備'!F16</f>
        <v>台</v>
      </c>
      <c r="G23" s="813">
        <f>'（参考）水稲資本装備'!G16</f>
        <v>5726160</v>
      </c>
      <c r="H23" s="816">
        <v>0.5</v>
      </c>
      <c r="I23" s="813">
        <f>G23*(1-H23)</f>
        <v>2863080</v>
      </c>
      <c r="J23" s="259" t="s">
        <v>425</v>
      </c>
      <c r="K23" s="61">
        <f>29/29/29</f>
        <v>0.034482758620689655</v>
      </c>
      <c r="L23" s="48">
        <f>I23*K23</f>
        <v>98726.89655172413</v>
      </c>
      <c r="M23" s="65">
        <v>0</v>
      </c>
      <c r="N23" s="48">
        <f>L23*M23</f>
        <v>0</v>
      </c>
      <c r="O23" s="66">
        <v>7</v>
      </c>
      <c r="P23" s="133">
        <f>IF(O23="","",(L23-N23)/O23)</f>
        <v>14103.842364532018</v>
      </c>
    </row>
    <row r="24" spans="2:16" ht="13.5">
      <c r="B24" s="839"/>
      <c r="C24" s="814"/>
      <c r="D24" s="814"/>
      <c r="E24" s="814"/>
      <c r="F24" s="814"/>
      <c r="G24" s="814"/>
      <c r="H24" s="817"/>
      <c r="I24" s="814"/>
      <c r="J24" s="260" t="s">
        <v>667</v>
      </c>
      <c r="K24" s="61">
        <f>29/29/29</f>
        <v>0.034482758620689655</v>
      </c>
      <c r="L24" s="48">
        <f>I23*K24</f>
        <v>98726.89655172413</v>
      </c>
      <c r="M24" s="65">
        <v>0</v>
      </c>
      <c r="N24" s="48">
        <f aca="true" t="shared" si="2" ref="N24:N87">L24*M24</f>
        <v>0</v>
      </c>
      <c r="O24" s="66">
        <v>7</v>
      </c>
      <c r="P24" s="133">
        <f>IF(O24="","",(L24-N24)/O24)</f>
        <v>14103.842364532018</v>
      </c>
    </row>
    <row r="25" spans="2:16" ht="13.5" hidden="1">
      <c r="B25" s="820"/>
      <c r="C25" s="815"/>
      <c r="D25" s="815"/>
      <c r="E25" s="815"/>
      <c r="F25" s="815"/>
      <c r="G25" s="815"/>
      <c r="H25" s="818"/>
      <c r="I25" s="815"/>
      <c r="J25" s="261"/>
      <c r="K25" s="61"/>
      <c r="L25" s="48">
        <f>I23*K25</f>
        <v>0</v>
      </c>
      <c r="M25" s="65">
        <v>0</v>
      </c>
      <c r="N25" s="48">
        <f t="shared" si="2"/>
        <v>0</v>
      </c>
      <c r="O25" s="66">
        <v>7</v>
      </c>
      <c r="P25" s="133">
        <f aca="true" t="shared" si="3" ref="P25:P64">IF(O25="","",(L25-N25)/O25)</f>
        <v>0</v>
      </c>
    </row>
    <row r="26" spans="2:16" ht="13.5">
      <c r="B26" s="820"/>
      <c r="C26" s="813" t="str">
        <f>'（参考）水稲資本装備'!C17</f>
        <v>トラクター</v>
      </c>
      <c r="D26" s="813" t="str">
        <f>'（参考）水稲資本装備'!D17</f>
        <v>32ｐｓ（ﾛｰﾀﾘｰ）</v>
      </c>
      <c r="E26" s="813">
        <f>'（参考）水稲資本装備'!E17</f>
        <v>1</v>
      </c>
      <c r="F26" s="813" t="str">
        <f>'（参考）水稲資本装備'!F17</f>
        <v>台</v>
      </c>
      <c r="G26" s="813">
        <f>'（参考）水稲資本装備'!G17</f>
        <v>4626720</v>
      </c>
      <c r="H26" s="816">
        <v>0.5</v>
      </c>
      <c r="I26" s="813">
        <f>G26*(1-H26)</f>
        <v>2313360</v>
      </c>
      <c r="J26" s="259" t="s">
        <v>425</v>
      </c>
      <c r="K26" s="61">
        <f>30/30/30</f>
        <v>0.03333333333333333</v>
      </c>
      <c r="L26" s="48">
        <f>I26*K26</f>
        <v>77112</v>
      </c>
      <c r="M26" s="65">
        <v>0</v>
      </c>
      <c r="N26" s="48">
        <f t="shared" si="2"/>
        <v>0</v>
      </c>
      <c r="O26" s="66">
        <v>7</v>
      </c>
      <c r="P26" s="133">
        <f t="shared" si="3"/>
        <v>11016</v>
      </c>
    </row>
    <row r="27" spans="2:16" ht="13.5">
      <c r="B27" s="820"/>
      <c r="C27" s="814"/>
      <c r="D27" s="814"/>
      <c r="E27" s="814"/>
      <c r="F27" s="814"/>
      <c r="G27" s="814"/>
      <c r="H27" s="817"/>
      <c r="I27" s="814"/>
      <c r="J27" s="260" t="s">
        <v>667</v>
      </c>
      <c r="K27" s="61">
        <f>30/30/30</f>
        <v>0.03333333333333333</v>
      </c>
      <c r="L27" s="48">
        <f>I26*K27</f>
        <v>77112</v>
      </c>
      <c r="M27" s="65">
        <v>0</v>
      </c>
      <c r="N27" s="48">
        <f t="shared" si="2"/>
        <v>0</v>
      </c>
      <c r="O27" s="66">
        <v>7</v>
      </c>
      <c r="P27" s="133">
        <f t="shared" si="3"/>
        <v>11016</v>
      </c>
    </row>
    <row r="28" spans="2:16" ht="13.5">
      <c r="B28" s="820"/>
      <c r="C28" s="815"/>
      <c r="D28" s="815"/>
      <c r="E28" s="815"/>
      <c r="F28" s="815"/>
      <c r="G28" s="815"/>
      <c r="H28" s="818"/>
      <c r="I28" s="815"/>
      <c r="J28" s="261" t="s">
        <v>547</v>
      </c>
      <c r="K28" s="61">
        <f>1/30/1</f>
        <v>0.03333333333333333</v>
      </c>
      <c r="L28" s="48">
        <f>I26*K28</f>
        <v>77112</v>
      </c>
      <c r="M28" s="65">
        <v>0</v>
      </c>
      <c r="N28" s="48">
        <f t="shared" si="2"/>
        <v>0</v>
      </c>
      <c r="O28" s="66">
        <v>7</v>
      </c>
      <c r="P28" s="133">
        <f t="shared" si="3"/>
        <v>11016</v>
      </c>
    </row>
    <row r="29" spans="2:16" ht="13.5">
      <c r="B29" s="820"/>
      <c r="C29" s="813" t="str">
        <f>'（参考）水稲資本装備'!C18</f>
        <v>ドライブハロー</v>
      </c>
      <c r="D29" s="813" t="str">
        <f>'（参考）水稲資本装備'!D18</f>
        <v>2.8m幅</v>
      </c>
      <c r="E29" s="813">
        <f>'（参考）水稲資本装備'!E18</f>
        <v>1</v>
      </c>
      <c r="F29" s="813" t="str">
        <f>'（参考）水稲資本装備'!F18</f>
        <v>台</v>
      </c>
      <c r="G29" s="813">
        <f>'（参考）水稲資本装備'!G18</f>
        <v>772200</v>
      </c>
      <c r="H29" s="816">
        <v>0.5</v>
      </c>
      <c r="I29" s="813">
        <f>G29*(1-H29)</f>
        <v>386100</v>
      </c>
      <c r="J29" s="259" t="s">
        <v>425</v>
      </c>
      <c r="K29" s="61">
        <f>29/29/29</f>
        <v>0.034482758620689655</v>
      </c>
      <c r="L29" s="48">
        <f>I29*K29</f>
        <v>13313.793103448275</v>
      </c>
      <c r="M29" s="65">
        <v>0</v>
      </c>
      <c r="N29" s="48">
        <f t="shared" si="2"/>
        <v>0</v>
      </c>
      <c r="O29" s="66">
        <v>7</v>
      </c>
      <c r="P29" s="133">
        <f t="shared" si="3"/>
        <v>1901.9704433497536</v>
      </c>
    </row>
    <row r="30" spans="2:16" ht="13.5">
      <c r="B30" s="820"/>
      <c r="C30" s="814"/>
      <c r="D30" s="814"/>
      <c r="E30" s="814"/>
      <c r="F30" s="814"/>
      <c r="G30" s="814"/>
      <c r="H30" s="817"/>
      <c r="I30" s="814"/>
      <c r="J30" s="260" t="s">
        <v>667</v>
      </c>
      <c r="K30" s="61">
        <f>29/29/29</f>
        <v>0.034482758620689655</v>
      </c>
      <c r="L30" s="48">
        <f>I29*K30</f>
        <v>13313.793103448275</v>
      </c>
      <c r="M30" s="65">
        <v>0</v>
      </c>
      <c r="N30" s="48">
        <f t="shared" si="2"/>
        <v>0</v>
      </c>
      <c r="O30" s="66">
        <v>7</v>
      </c>
      <c r="P30" s="133">
        <f t="shared" si="3"/>
        <v>1901.9704433497536</v>
      </c>
    </row>
    <row r="31" spans="2:16" ht="13.5" hidden="1">
      <c r="B31" s="820"/>
      <c r="C31" s="815"/>
      <c r="D31" s="815"/>
      <c r="E31" s="815"/>
      <c r="F31" s="815"/>
      <c r="G31" s="815"/>
      <c r="H31" s="818"/>
      <c r="I31" s="815"/>
      <c r="J31" s="261"/>
      <c r="K31" s="61"/>
      <c r="L31" s="48">
        <f>I29*K31</f>
        <v>0</v>
      </c>
      <c r="M31" s="65">
        <v>0</v>
      </c>
      <c r="N31" s="48">
        <f t="shared" si="2"/>
        <v>0</v>
      </c>
      <c r="O31" s="66">
        <v>7</v>
      </c>
      <c r="P31" s="133">
        <f t="shared" si="3"/>
        <v>0</v>
      </c>
    </row>
    <row r="32" spans="2:16" ht="13.5">
      <c r="B32" s="820"/>
      <c r="C32" s="813" t="str">
        <f>'（参考）水稲資本装備'!C19</f>
        <v>ドライブハロー</v>
      </c>
      <c r="D32" s="813" t="str">
        <f>'（参考）水稲資本装備'!D19</f>
        <v>2.4m幅</v>
      </c>
      <c r="E32" s="813">
        <f>'（参考）水稲資本装備'!E19</f>
        <v>1</v>
      </c>
      <c r="F32" s="813" t="str">
        <f>'（参考）水稲資本装備'!F19</f>
        <v>台</v>
      </c>
      <c r="G32" s="813">
        <f>'（参考）水稲資本装備'!G19</f>
        <v>583200</v>
      </c>
      <c r="H32" s="816">
        <v>0.5</v>
      </c>
      <c r="I32" s="813">
        <f>G32*(1-H32)</f>
        <v>291600</v>
      </c>
      <c r="J32" s="259" t="s">
        <v>425</v>
      </c>
      <c r="K32" s="61">
        <f>29/29/29</f>
        <v>0.034482758620689655</v>
      </c>
      <c r="L32" s="48">
        <f>I32*K32</f>
        <v>10055.172413793103</v>
      </c>
      <c r="M32" s="65">
        <v>0</v>
      </c>
      <c r="N32" s="48">
        <f t="shared" si="2"/>
        <v>0</v>
      </c>
      <c r="O32" s="66">
        <v>7</v>
      </c>
      <c r="P32" s="133">
        <f t="shared" si="3"/>
        <v>1436.4532019704434</v>
      </c>
    </row>
    <row r="33" spans="2:16" ht="13.5">
      <c r="B33" s="820"/>
      <c r="C33" s="814"/>
      <c r="D33" s="814"/>
      <c r="E33" s="814"/>
      <c r="F33" s="814"/>
      <c r="G33" s="814"/>
      <c r="H33" s="817"/>
      <c r="I33" s="814"/>
      <c r="J33" s="260" t="s">
        <v>667</v>
      </c>
      <c r="K33" s="61">
        <f>29/29/29</f>
        <v>0.034482758620689655</v>
      </c>
      <c r="L33" s="48">
        <f>I32*K33</f>
        <v>10055.172413793103</v>
      </c>
      <c r="M33" s="65">
        <v>0</v>
      </c>
      <c r="N33" s="48">
        <f t="shared" si="2"/>
        <v>0</v>
      </c>
      <c r="O33" s="66">
        <v>7</v>
      </c>
      <c r="P33" s="133">
        <f t="shared" si="3"/>
        <v>1436.4532019704434</v>
      </c>
    </row>
    <row r="34" spans="2:16" ht="13.5" hidden="1">
      <c r="B34" s="820"/>
      <c r="C34" s="815"/>
      <c r="D34" s="815"/>
      <c r="E34" s="815"/>
      <c r="F34" s="815"/>
      <c r="G34" s="815"/>
      <c r="H34" s="818"/>
      <c r="I34" s="815"/>
      <c r="J34" s="261"/>
      <c r="K34" s="61"/>
      <c r="L34" s="48">
        <f>I32*K34</f>
        <v>0</v>
      </c>
      <c r="M34" s="65">
        <v>0</v>
      </c>
      <c r="N34" s="48">
        <f t="shared" si="2"/>
        <v>0</v>
      </c>
      <c r="O34" s="66">
        <v>7</v>
      </c>
      <c r="P34" s="133">
        <f t="shared" si="3"/>
        <v>0</v>
      </c>
    </row>
    <row r="35" spans="2:16" ht="13.5">
      <c r="B35" s="820"/>
      <c r="C35" s="813" t="str">
        <f>'（参考）水稲資本装備'!C20</f>
        <v>乗用田植機</v>
      </c>
      <c r="D35" s="813" t="str">
        <f>'（参考）水稲資本装備'!D20</f>
        <v>8条側条施肥機付き</v>
      </c>
      <c r="E35" s="813">
        <f>'（参考）水稲資本装備'!E20</f>
        <v>1</v>
      </c>
      <c r="F35" s="813" t="str">
        <f>'（参考）水稲資本装備'!F20</f>
        <v>台</v>
      </c>
      <c r="G35" s="813">
        <f>'（参考）水稲資本装備'!G20</f>
        <v>4158000</v>
      </c>
      <c r="H35" s="816">
        <v>0.5</v>
      </c>
      <c r="I35" s="813">
        <f>G35*(1-H35)</f>
        <v>2079000</v>
      </c>
      <c r="J35" s="259" t="s">
        <v>425</v>
      </c>
      <c r="K35" s="61">
        <f>29/29/29</f>
        <v>0.034482758620689655</v>
      </c>
      <c r="L35" s="48">
        <f>I35*K35</f>
        <v>71689.6551724138</v>
      </c>
      <c r="M35" s="65">
        <v>0</v>
      </c>
      <c r="N35" s="48">
        <f t="shared" si="2"/>
        <v>0</v>
      </c>
      <c r="O35" s="66">
        <v>7</v>
      </c>
      <c r="P35" s="133">
        <f t="shared" si="3"/>
        <v>10241.379310344828</v>
      </c>
    </row>
    <row r="36" spans="2:16" ht="13.5">
      <c r="B36" s="820"/>
      <c r="C36" s="814"/>
      <c r="D36" s="814"/>
      <c r="E36" s="814"/>
      <c r="F36" s="814"/>
      <c r="G36" s="814"/>
      <c r="H36" s="817"/>
      <c r="I36" s="814"/>
      <c r="J36" s="260" t="s">
        <v>667</v>
      </c>
      <c r="K36" s="61">
        <f>29/29/29</f>
        <v>0.034482758620689655</v>
      </c>
      <c r="L36" s="48">
        <f>I35*K36</f>
        <v>71689.6551724138</v>
      </c>
      <c r="M36" s="65">
        <v>0</v>
      </c>
      <c r="N36" s="48">
        <f t="shared" si="2"/>
        <v>0</v>
      </c>
      <c r="O36" s="66">
        <v>7</v>
      </c>
      <c r="P36" s="133">
        <f t="shared" si="3"/>
        <v>10241.379310344828</v>
      </c>
    </row>
    <row r="37" spans="2:16" ht="13.5" hidden="1">
      <c r="B37" s="820"/>
      <c r="C37" s="815"/>
      <c r="D37" s="815"/>
      <c r="E37" s="815"/>
      <c r="F37" s="815"/>
      <c r="G37" s="815"/>
      <c r="H37" s="818"/>
      <c r="I37" s="815"/>
      <c r="J37" s="261"/>
      <c r="K37" s="61"/>
      <c r="L37" s="48">
        <f>I35*K37</f>
        <v>0</v>
      </c>
      <c r="M37" s="65">
        <v>0</v>
      </c>
      <c r="N37" s="48">
        <f t="shared" si="2"/>
        <v>0</v>
      </c>
      <c r="O37" s="66">
        <v>7</v>
      </c>
      <c r="P37" s="133">
        <f t="shared" si="3"/>
        <v>0</v>
      </c>
    </row>
    <row r="38" spans="2:16" ht="13.5">
      <c r="B38" s="820"/>
      <c r="C38" s="813" t="str">
        <f>'（参考）水稲資本装備'!C21</f>
        <v>コンバイン</v>
      </c>
      <c r="D38" s="813" t="str">
        <f>'（参考）水稲資本装備'!D21</f>
        <v>4条刈</v>
      </c>
      <c r="E38" s="813">
        <f>'（参考）水稲資本装備'!E21</f>
        <v>1</v>
      </c>
      <c r="F38" s="813" t="str">
        <f>'（参考）水稲資本装備'!F21</f>
        <v>台</v>
      </c>
      <c r="G38" s="813">
        <f>'（参考）水稲資本装備'!G21</f>
        <v>7344000.000000001</v>
      </c>
      <c r="H38" s="816">
        <v>0.5</v>
      </c>
      <c r="I38" s="813">
        <f>G38*(1-H38)</f>
        <v>3672000.0000000005</v>
      </c>
      <c r="J38" s="259" t="s">
        <v>425</v>
      </c>
      <c r="K38" s="61">
        <f>29/29/29</f>
        <v>0.034482758620689655</v>
      </c>
      <c r="L38" s="48">
        <f>I38*K38</f>
        <v>126620.68965517243</v>
      </c>
      <c r="M38" s="65">
        <v>0</v>
      </c>
      <c r="N38" s="48">
        <f t="shared" si="2"/>
        <v>0</v>
      </c>
      <c r="O38" s="66">
        <v>7</v>
      </c>
      <c r="P38" s="133">
        <f t="shared" si="3"/>
        <v>18088.66995073892</v>
      </c>
    </row>
    <row r="39" spans="2:16" ht="13.5">
      <c r="B39" s="820"/>
      <c r="C39" s="814"/>
      <c r="D39" s="814"/>
      <c r="E39" s="814"/>
      <c r="F39" s="814"/>
      <c r="G39" s="814"/>
      <c r="H39" s="817"/>
      <c r="I39" s="814"/>
      <c r="J39" s="260" t="s">
        <v>667</v>
      </c>
      <c r="K39" s="61">
        <f>29/29/29</f>
        <v>0.034482758620689655</v>
      </c>
      <c r="L39" s="48">
        <f>I38*K39</f>
        <v>126620.68965517243</v>
      </c>
      <c r="M39" s="65">
        <v>0</v>
      </c>
      <c r="N39" s="48">
        <f t="shared" si="2"/>
        <v>0</v>
      </c>
      <c r="O39" s="66">
        <v>7</v>
      </c>
      <c r="P39" s="133">
        <f t="shared" si="3"/>
        <v>18088.66995073892</v>
      </c>
    </row>
    <row r="40" spans="2:16" ht="13.5" hidden="1">
      <c r="B40" s="820"/>
      <c r="C40" s="815"/>
      <c r="D40" s="815"/>
      <c r="E40" s="815"/>
      <c r="F40" s="815"/>
      <c r="G40" s="815"/>
      <c r="H40" s="818"/>
      <c r="I40" s="815"/>
      <c r="J40" s="261"/>
      <c r="K40" s="61"/>
      <c r="L40" s="48">
        <f>I38*K40</f>
        <v>0</v>
      </c>
      <c r="M40" s="65">
        <v>0</v>
      </c>
      <c r="N40" s="48">
        <f t="shared" si="2"/>
        <v>0</v>
      </c>
      <c r="O40" s="66">
        <v>7</v>
      </c>
      <c r="P40" s="133">
        <f t="shared" si="3"/>
        <v>0</v>
      </c>
    </row>
    <row r="41" spans="2:16" ht="13.5">
      <c r="B41" s="820"/>
      <c r="C41" s="813" t="str">
        <f>'（参考）水稲資本装備'!C22</f>
        <v>コンバイン</v>
      </c>
      <c r="D41" s="813" t="str">
        <f>'（参考）水稲資本装備'!D22</f>
        <v>4条刈</v>
      </c>
      <c r="E41" s="813">
        <f>'（参考）水稲資本装備'!E22</f>
        <v>1</v>
      </c>
      <c r="F41" s="813" t="str">
        <f>'（参考）水稲資本装備'!F22</f>
        <v>台</v>
      </c>
      <c r="G41" s="813">
        <f>'（参考）水稲資本装備'!G22</f>
        <v>7344000.000000001</v>
      </c>
      <c r="H41" s="816">
        <v>0.5</v>
      </c>
      <c r="I41" s="813">
        <f>G41*(1-H41)</f>
        <v>3672000.0000000005</v>
      </c>
      <c r="J41" s="259" t="s">
        <v>425</v>
      </c>
      <c r="K41" s="61">
        <f>29/29/29</f>
        <v>0.034482758620689655</v>
      </c>
      <c r="L41" s="48">
        <f>I41*K41</f>
        <v>126620.68965517243</v>
      </c>
      <c r="M41" s="65">
        <v>0</v>
      </c>
      <c r="N41" s="48">
        <f t="shared" si="2"/>
        <v>0</v>
      </c>
      <c r="O41" s="66">
        <v>7</v>
      </c>
      <c r="P41" s="133">
        <f t="shared" si="3"/>
        <v>18088.66995073892</v>
      </c>
    </row>
    <row r="42" spans="2:16" ht="13.5">
      <c r="B42" s="820"/>
      <c r="C42" s="814"/>
      <c r="D42" s="814"/>
      <c r="E42" s="814"/>
      <c r="F42" s="814"/>
      <c r="G42" s="814"/>
      <c r="H42" s="817"/>
      <c r="I42" s="814"/>
      <c r="J42" s="260" t="s">
        <v>667</v>
      </c>
      <c r="K42" s="61">
        <f>29/29/29</f>
        <v>0.034482758620689655</v>
      </c>
      <c r="L42" s="48">
        <f>I41*K42</f>
        <v>126620.68965517243</v>
      </c>
      <c r="M42" s="65">
        <v>0</v>
      </c>
      <c r="N42" s="48">
        <f t="shared" si="2"/>
        <v>0</v>
      </c>
      <c r="O42" s="66">
        <v>7</v>
      </c>
      <c r="P42" s="133">
        <f t="shared" si="3"/>
        <v>18088.66995073892</v>
      </c>
    </row>
    <row r="43" spans="2:16" ht="13.5" hidden="1">
      <c r="B43" s="820"/>
      <c r="C43" s="815"/>
      <c r="D43" s="815"/>
      <c r="E43" s="815"/>
      <c r="F43" s="815"/>
      <c r="G43" s="815"/>
      <c r="H43" s="818"/>
      <c r="I43" s="815"/>
      <c r="J43" s="261"/>
      <c r="K43" s="61"/>
      <c r="L43" s="48">
        <f>I41*K43</f>
        <v>0</v>
      </c>
      <c r="M43" s="65">
        <v>0</v>
      </c>
      <c r="N43" s="48">
        <f t="shared" si="2"/>
        <v>0</v>
      </c>
      <c r="O43" s="66">
        <v>7</v>
      </c>
      <c r="P43" s="133">
        <f t="shared" si="3"/>
        <v>0</v>
      </c>
    </row>
    <row r="44" spans="2:16" ht="13.5">
      <c r="B44" s="820"/>
      <c r="C44" s="813" t="str">
        <f>'（参考）水稲資本装備'!C23</f>
        <v>乗用管理機</v>
      </c>
      <c r="D44" s="813" t="str">
        <f>'（参考）水稲資本装備'!D23</f>
        <v>散布巾10ｍ</v>
      </c>
      <c r="E44" s="813">
        <f>'（参考）水稲資本装備'!E23</f>
        <v>1</v>
      </c>
      <c r="F44" s="813" t="str">
        <f>'（参考）水稲資本装備'!F23</f>
        <v>台</v>
      </c>
      <c r="G44" s="813">
        <f>'（参考）水稲資本装備'!G23</f>
        <v>3780000.0000000005</v>
      </c>
      <c r="H44" s="816">
        <v>0</v>
      </c>
      <c r="I44" s="813">
        <f>G44*(1-H44)</f>
        <v>3780000.0000000005</v>
      </c>
      <c r="J44" s="259" t="s">
        <v>425</v>
      </c>
      <c r="K44" s="61">
        <f>29/29/29</f>
        <v>0.034482758620689655</v>
      </c>
      <c r="L44" s="48">
        <f>I44*K44</f>
        <v>130344.82758620691</v>
      </c>
      <c r="M44" s="65">
        <v>0</v>
      </c>
      <c r="N44" s="48">
        <f t="shared" si="2"/>
        <v>0</v>
      </c>
      <c r="O44" s="66">
        <v>7</v>
      </c>
      <c r="P44" s="133">
        <f t="shared" si="3"/>
        <v>18620.689655172417</v>
      </c>
    </row>
    <row r="45" spans="2:16" ht="13.5">
      <c r="B45" s="820"/>
      <c r="C45" s="814"/>
      <c r="D45" s="814"/>
      <c r="E45" s="814"/>
      <c r="F45" s="814"/>
      <c r="G45" s="814"/>
      <c r="H45" s="817"/>
      <c r="I45" s="814"/>
      <c r="J45" s="260" t="s">
        <v>667</v>
      </c>
      <c r="K45" s="61">
        <f>29/29/29</f>
        <v>0.034482758620689655</v>
      </c>
      <c r="L45" s="48">
        <f>I44*K45</f>
        <v>130344.82758620691</v>
      </c>
      <c r="M45" s="65">
        <v>0</v>
      </c>
      <c r="N45" s="48">
        <f t="shared" si="2"/>
        <v>0</v>
      </c>
      <c r="O45" s="66">
        <v>7</v>
      </c>
      <c r="P45" s="133">
        <f t="shared" si="3"/>
        <v>18620.689655172417</v>
      </c>
    </row>
    <row r="46" spans="2:16" ht="13.5" hidden="1">
      <c r="B46" s="820"/>
      <c r="C46" s="815"/>
      <c r="D46" s="815"/>
      <c r="E46" s="815"/>
      <c r="F46" s="815"/>
      <c r="G46" s="815"/>
      <c r="H46" s="818"/>
      <c r="I46" s="815"/>
      <c r="J46" s="261"/>
      <c r="K46" s="61"/>
      <c r="L46" s="48">
        <f>I44*K46</f>
        <v>0</v>
      </c>
      <c r="M46" s="65">
        <v>0</v>
      </c>
      <c r="N46" s="48">
        <f t="shared" si="2"/>
        <v>0</v>
      </c>
      <c r="O46" s="66">
        <v>7</v>
      </c>
      <c r="P46" s="133">
        <f t="shared" si="3"/>
        <v>0</v>
      </c>
    </row>
    <row r="47" spans="2:16" ht="13.5">
      <c r="B47" s="820"/>
      <c r="C47" s="813" t="str">
        <f>'（参考）水稲資本装備'!C24</f>
        <v>コンポキャスター</v>
      </c>
      <c r="D47" s="813">
        <f>'（参考）水稲資本装備'!D24</f>
        <v>0</v>
      </c>
      <c r="E47" s="813">
        <f>'（参考）水稲資本装備'!E24</f>
        <v>1</v>
      </c>
      <c r="F47" s="813" t="str">
        <f>'（参考）水稲資本装備'!F24</f>
        <v>台</v>
      </c>
      <c r="G47" s="813">
        <f>'（参考）水稲資本装備'!G24</f>
        <v>340200</v>
      </c>
      <c r="H47" s="816">
        <v>0</v>
      </c>
      <c r="I47" s="813">
        <f>G47*(1-H47)</f>
        <v>340200</v>
      </c>
      <c r="J47" s="259" t="s">
        <v>425</v>
      </c>
      <c r="K47" s="61">
        <f>29/29/29</f>
        <v>0.034482758620689655</v>
      </c>
      <c r="L47" s="48">
        <f>I47*K47</f>
        <v>11731.034482758621</v>
      </c>
      <c r="M47" s="65">
        <v>0</v>
      </c>
      <c r="N47" s="48">
        <f t="shared" si="2"/>
        <v>0</v>
      </c>
      <c r="O47" s="66">
        <v>7</v>
      </c>
      <c r="P47" s="133">
        <f t="shared" si="3"/>
        <v>1675.8620689655174</v>
      </c>
    </row>
    <row r="48" spans="2:16" ht="13.5">
      <c r="B48" s="820"/>
      <c r="C48" s="814"/>
      <c r="D48" s="814"/>
      <c r="E48" s="814"/>
      <c r="F48" s="814"/>
      <c r="G48" s="814"/>
      <c r="H48" s="817"/>
      <c r="I48" s="814"/>
      <c r="J48" s="260" t="s">
        <v>667</v>
      </c>
      <c r="K48" s="61">
        <f>29/29/29</f>
        <v>0.034482758620689655</v>
      </c>
      <c r="L48" s="48">
        <f>I47*K48</f>
        <v>11731.034482758621</v>
      </c>
      <c r="M48" s="65">
        <v>0</v>
      </c>
      <c r="N48" s="48">
        <f t="shared" si="2"/>
        <v>0</v>
      </c>
      <c r="O48" s="66">
        <v>7</v>
      </c>
      <c r="P48" s="133">
        <f t="shared" si="3"/>
        <v>1675.8620689655174</v>
      </c>
    </row>
    <row r="49" spans="2:16" ht="13.5" hidden="1">
      <c r="B49" s="820"/>
      <c r="C49" s="815"/>
      <c r="D49" s="815"/>
      <c r="E49" s="815"/>
      <c r="F49" s="815"/>
      <c r="G49" s="815"/>
      <c r="H49" s="818"/>
      <c r="I49" s="815"/>
      <c r="J49" s="261"/>
      <c r="K49" s="61"/>
      <c r="L49" s="48">
        <f>I47*K49</f>
        <v>0</v>
      </c>
      <c r="M49" s="65">
        <v>0</v>
      </c>
      <c r="N49" s="48">
        <f t="shared" si="2"/>
        <v>0</v>
      </c>
      <c r="O49" s="66">
        <v>7</v>
      </c>
      <c r="P49" s="133">
        <f t="shared" si="3"/>
        <v>0</v>
      </c>
    </row>
    <row r="50" spans="2:16" ht="13.5">
      <c r="B50" s="820"/>
      <c r="C50" s="813" t="s">
        <v>419</v>
      </c>
      <c r="D50" s="813" t="s">
        <v>417</v>
      </c>
      <c r="E50" s="813">
        <v>1</v>
      </c>
      <c r="F50" s="813" t="s">
        <v>418</v>
      </c>
      <c r="G50" s="813">
        <f>SUM('（参考）水稲資本装備'!G26:G29)</f>
        <v>1711692</v>
      </c>
      <c r="H50" s="816">
        <v>0</v>
      </c>
      <c r="I50" s="813">
        <f>G50*(1-H50)</f>
        <v>1711692</v>
      </c>
      <c r="J50" s="259" t="s">
        <v>425</v>
      </c>
      <c r="K50" s="61">
        <f>29/29/29</f>
        <v>0.034482758620689655</v>
      </c>
      <c r="L50" s="48">
        <f>I50*K50</f>
        <v>59023.862068965514</v>
      </c>
      <c r="M50" s="65">
        <v>0</v>
      </c>
      <c r="N50" s="48">
        <f t="shared" si="2"/>
        <v>0</v>
      </c>
      <c r="O50" s="66">
        <v>7</v>
      </c>
      <c r="P50" s="133">
        <f t="shared" si="3"/>
        <v>8431.980295566502</v>
      </c>
    </row>
    <row r="51" spans="2:16" ht="13.5">
      <c r="B51" s="820"/>
      <c r="C51" s="814"/>
      <c r="D51" s="814"/>
      <c r="E51" s="814"/>
      <c r="F51" s="814"/>
      <c r="G51" s="814"/>
      <c r="H51" s="817"/>
      <c r="I51" s="814"/>
      <c r="J51" s="260" t="s">
        <v>667</v>
      </c>
      <c r="K51" s="61">
        <f>29/29/29</f>
        <v>0.034482758620689655</v>
      </c>
      <c r="L51" s="48">
        <f>I50*K51</f>
        <v>59023.862068965514</v>
      </c>
      <c r="M51" s="65">
        <v>0</v>
      </c>
      <c r="N51" s="48">
        <f t="shared" si="2"/>
        <v>0</v>
      </c>
      <c r="O51" s="66">
        <v>7</v>
      </c>
      <c r="P51" s="133">
        <f t="shared" si="3"/>
        <v>8431.980295566502</v>
      </c>
    </row>
    <row r="52" spans="2:16" ht="13.5" hidden="1">
      <c r="B52" s="820"/>
      <c r="C52" s="815"/>
      <c r="D52" s="815"/>
      <c r="E52" s="815"/>
      <c r="F52" s="815"/>
      <c r="G52" s="815"/>
      <c r="H52" s="818"/>
      <c r="I52" s="815"/>
      <c r="J52" s="261"/>
      <c r="K52" s="61"/>
      <c r="L52" s="48">
        <f>I50*K52</f>
        <v>0</v>
      </c>
      <c r="M52" s="65">
        <v>0</v>
      </c>
      <c r="N52" s="48">
        <f t="shared" si="2"/>
        <v>0</v>
      </c>
      <c r="O52" s="66">
        <v>7</v>
      </c>
      <c r="P52" s="133">
        <f t="shared" si="3"/>
        <v>0</v>
      </c>
    </row>
    <row r="53" spans="2:16" ht="13.5">
      <c r="B53" s="820"/>
      <c r="C53" s="813" t="str">
        <f>'（参考）水稲資本装備'!C31</f>
        <v>乾燥調製プラント</v>
      </c>
      <c r="D53" s="813"/>
      <c r="E53" s="813">
        <f>'（参考）水稲資本装備'!E31</f>
        <v>1</v>
      </c>
      <c r="F53" s="813" t="str">
        <f>'（参考）水稲資本装備'!F31</f>
        <v>式</v>
      </c>
      <c r="G53" s="813">
        <f>'（参考）水稲資本装備'!G31</f>
        <v>17000000</v>
      </c>
      <c r="H53" s="816">
        <v>0</v>
      </c>
      <c r="I53" s="813">
        <f>G53*(1-H53)</f>
        <v>17000000</v>
      </c>
      <c r="J53" s="259" t="s">
        <v>425</v>
      </c>
      <c r="K53" s="61">
        <f>29/29/29</f>
        <v>0.034482758620689655</v>
      </c>
      <c r="L53" s="48">
        <f>I53*K53</f>
        <v>586206.8965517242</v>
      </c>
      <c r="M53" s="65">
        <v>0</v>
      </c>
      <c r="N53" s="48">
        <f t="shared" si="2"/>
        <v>0</v>
      </c>
      <c r="O53" s="66">
        <v>7</v>
      </c>
      <c r="P53" s="133">
        <f t="shared" si="3"/>
        <v>83743.84236453203</v>
      </c>
    </row>
    <row r="54" spans="2:16" ht="13.5">
      <c r="B54" s="820"/>
      <c r="C54" s="814"/>
      <c r="D54" s="814"/>
      <c r="E54" s="814"/>
      <c r="F54" s="814"/>
      <c r="G54" s="814"/>
      <c r="H54" s="817"/>
      <c r="I54" s="814"/>
      <c r="J54" s="260" t="s">
        <v>667</v>
      </c>
      <c r="K54" s="61">
        <f>29/29/29</f>
        <v>0.034482758620689655</v>
      </c>
      <c r="L54" s="48">
        <f>I53*K54</f>
        <v>586206.8965517242</v>
      </c>
      <c r="M54" s="65">
        <v>0</v>
      </c>
      <c r="N54" s="48">
        <f t="shared" si="2"/>
        <v>0</v>
      </c>
      <c r="O54" s="66">
        <v>7</v>
      </c>
      <c r="P54" s="133">
        <f t="shared" si="3"/>
        <v>83743.84236453203</v>
      </c>
    </row>
    <row r="55" spans="2:16" ht="13.5" hidden="1">
      <c r="B55" s="820"/>
      <c r="C55" s="815"/>
      <c r="D55" s="815"/>
      <c r="E55" s="815"/>
      <c r="F55" s="815"/>
      <c r="G55" s="815"/>
      <c r="H55" s="818"/>
      <c r="I55" s="815"/>
      <c r="J55" s="261"/>
      <c r="K55" s="61"/>
      <c r="L55" s="48">
        <f>I53*K55</f>
        <v>0</v>
      </c>
      <c r="M55" s="65">
        <v>0</v>
      </c>
      <c r="N55" s="48">
        <f t="shared" si="2"/>
        <v>0</v>
      </c>
      <c r="O55" s="66">
        <v>7</v>
      </c>
      <c r="P55" s="133">
        <f t="shared" si="3"/>
        <v>0</v>
      </c>
    </row>
    <row r="56" spans="2:16" ht="13.5">
      <c r="B56" s="820"/>
      <c r="C56" s="813" t="s">
        <v>426</v>
      </c>
      <c r="D56" s="813" t="s">
        <v>550</v>
      </c>
      <c r="E56" s="813"/>
      <c r="F56" s="813"/>
      <c r="G56" s="813">
        <v>1500000</v>
      </c>
      <c r="H56" s="816">
        <v>0</v>
      </c>
      <c r="I56" s="813">
        <f>G56*(1-H56)</f>
        <v>1500000</v>
      </c>
      <c r="J56" s="259" t="s">
        <v>425</v>
      </c>
      <c r="K56" s="61">
        <f>29/29/29</f>
        <v>0.034482758620689655</v>
      </c>
      <c r="L56" s="48">
        <f>I56*K56</f>
        <v>51724.137931034486</v>
      </c>
      <c r="M56" s="65">
        <v>0</v>
      </c>
      <c r="N56" s="48">
        <f t="shared" si="2"/>
        <v>0</v>
      </c>
      <c r="O56" s="48">
        <v>4</v>
      </c>
      <c r="P56" s="133">
        <f t="shared" si="3"/>
        <v>12931.034482758621</v>
      </c>
    </row>
    <row r="57" spans="2:16" ht="13.5">
      <c r="B57" s="820"/>
      <c r="C57" s="814"/>
      <c r="D57" s="814"/>
      <c r="E57" s="814"/>
      <c r="F57" s="814"/>
      <c r="G57" s="814"/>
      <c r="H57" s="817"/>
      <c r="I57" s="814"/>
      <c r="J57" s="260" t="s">
        <v>667</v>
      </c>
      <c r="K57" s="61">
        <f>29/29/29</f>
        <v>0.034482758620689655</v>
      </c>
      <c r="L57" s="48">
        <f>I56*K57</f>
        <v>51724.137931034486</v>
      </c>
      <c r="M57" s="65">
        <v>0</v>
      </c>
      <c r="N57" s="48">
        <f t="shared" si="2"/>
        <v>0</v>
      </c>
      <c r="O57" s="48">
        <v>4</v>
      </c>
      <c r="P57" s="133">
        <f t="shared" si="3"/>
        <v>12931.034482758621</v>
      </c>
    </row>
    <row r="58" spans="2:16" ht="13.5" hidden="1">
      <c r="B58" s="820"/>
      <c r="C58" s="815"/>
      <c r="D58" s="815"/>
      <c r="E58" s="815"/>
      <c r="F58" s="815"/>
      <c r="G58" s="815"/>
      <c r="H58" s="818"/>
      <c r="I58" s="815"/>
      <c r="J58" s="261"/>
      <c r="K58" s="61"/>
      <c r="L58" s="48">
        <f>I56*K58</f>
        <v>0</v>
      </c>
      <c r="M58" s="65">
        <v>0</v>
      </c>
      <c r="N58" s="48">
        <f t="shared" si="2"/>
        <v>0</v>
      </c>
      <c r="O58" s="48">
        <v>4</v>
      </c>
      <c r="P58" s="133">
        <f t="shared" si="3"/>
        <v>0</v>
      </c>
    </row>
    <row r="59" spans="2:16" ht="13.5">
      <c r="B59" s="820"/>
      <c r="C59" s="813" t="s">
        <v>426</v>
      </c>
      <c r="D59" s="813" t="s">
        <v>551</v>
      </c>
      <c r="E59" s="813"/>
      <c r="F59" s="813"/>
      <c r="G59" s="813">
        <v>920000</v>
      </c>
      <c r="H59" s="816">
        <v>0</v>
      </c>
      <c r="I59" s="813">
        <f>G59*(1-H59)</f>
        <v>920000</v>
      </c>
      <c r="J59" s="259" t="s">
        <v>425</v>
      </c>
      <c r="K59" s="61">
        <f>30/30/30</f>
        <v>0.03333333333333333</v>
      </c>
      <c r="L59" s="48">
        <f>I59*K59</f>
        <v>30666.666666666668</v>
      </c>
      <c r="M59" s="65">
        <v>0</v>
      </c>
      <c r="N59" s="48">
        <f>L59*M59</f>
        <v>0</v>
      </c>
      <c r="O59" s="48">
        <v>4</v>
      </c>
      <c r="P59" s="133">
        <f>IF(O59="","",(L59-N59)/O59)</f>
        <v>7666.666666666667</v>
      </c>
    </row>
    <row r="60" spans="2:16" ht="13.5">
      <c r="B60" s="820"/>
      <c r="C60" s="814"/>
      <c r="D60" s="814"/>
      <c r="E60" s="814"/>
      <c r="F60" s="814"/>
      <c r="G60" s="814"/>
      <c r="H60" s="817"/>
      <c r="I60" s="814"/>
      <c r="J60" s="260" t="s">
        <v>667</v>
      </c>
      <c r="K60" s="61">
        <f>30/30/30</f>
        <v>0.03333333333333333</v>
      </c>
      <c r="L60" s="48">
        <f>I59*K60</f>
        <v>30666.666666666668</v>
      </c>
      <c r="M60" s="65">
        <v>0</v>
      </c>
      <c r="N60" s="48">
        <f>L60*M60</f>
        <v>0</v>
      </c>
      <c r="O60" s="48">
        <v>4</v>
      </c>
      <c r="P60" s="133">
        <f>IF(O60="","",(L60-N60)/O60)</f>
        <v>7666.666666666667</v>
      </c>
    </row>
    <row r="61" spans="2:16" ht="13.5">
      <c r="B61" s="820"/>
      <c r="C61" s="815"/>
      <c r="D61" s="815"/>
      <c r="E61" s="815"/>
      <c r="F61" s="815"/>
      <c r="G61" s="815"/>
      <c r="H61" s="818"/>
      <c r="I61" s="815"/>
      <c r="J61" s="261" t="s">
        <v>547</v>
      </c>
      <c r="K61" s="61">
        <f>1/30/1</f>
        <v>0.03333333333333333</v>
      </c>
      <c r="L61" s="48">
        <f>I59*K61</f>
        <v>30666.666666666668</v>
      </c>
      <c r="M61" s="65">
        <v>0</v>
      </c>
      <c r="N61" s="48">
        <f>L61*M61</f>
        <v>0</v>
      </c>
      <c r="O61" s="48">
        <v>4</v>
      </c>
      <c r="P61" s="133">
        <f>IF(O61="","",(L61-N61)/O61)</f>
        <v>7666.666666666667</v>
      </c>
    </row>
    <row r="62" spans="2:16" ht="13.5">
      <c r="B62" s="820"/>
      <c r="C62" s="813" t="s">
        <v>415</v>
      </c>
      <c r="D62" s="813" t="s">
        <v>427</v>
      </c>
      <c r="E62" s="813"/>
      <c r="F62" s="813"/>
      <c r="G62" s="813">
        <f>'（参考）水稲資本装備'!G33+'（参考）水稲資本装備'!G34</f>
        <v>3561440</v>
      </c>
      <c r="H62" s="816">
        <v>0</v>
      </c>
      <c r="I62" s="813">
        <f>G62*(1-H62)</f>
        <v>3561440</v>
      </c>
      <c r="J62" s="259" t="s">
        <v>425</v>
      </c>
      <c r="K62" s="61">
        <f>29/29/29</f>
        <v>0.034482758620689655</v>
      </c>
      <c r="L62" s="48">
        <f>I62*K62</f>
        <v>122808.27586206897</v>
      </c>
      <c r="M62" s="65">
        <v>0</v>
      </c>
      <c r="N62" s="48">
        <f t="shared" si="2"/>
        <v>0</v>
      </c>
      <c r="O62" s="48">
        <v>7</v>
      </c>
      <c r="P62" s="133">
        <f t="shared" si="3"/>
        <v>17544.039408866996</v>
      </c>
    </row>
    <row r="63" spans="2:16" ht="13.5">
      <c r="B63" s="820"/>
      <c r="C63" s="814"/>
      <c r="D63" s="814"/>
      <c r="E63" s="814"/>
      <c r="F63" s="814"/>
      <c r="G63" s="814"/>
      <c r="H63" s="817"/>
      <c r="I63" s="814"/>
      <c r="J63" s="260" t="s">
        <v>667</v>
      </c>
      <c r="K63" s="61">
        <f>29/29/29</f>
        <v>0.034482758620689655</v>
      </c>
      <c r="L63" s="48">
        <f>I62*K63</f>
        <v>122808.27586206897</v>
      </c>
      <c r="M63" s="65">
        <v>0</v>
      </c>
      <c r="N63" s="48">
        <f t="shared" si="2"/>
        <v>0</v>
      </c>
      <c r="O63" s="48">
        <v>7</v>
      </c>
      <c r="P63" s="133">
        <f t="shared" si="3"/>
        <v>17544.039408866996</v>
      </c>
    </row>
    <row r="64" spans="2:16" ht="13.5" hidden="1">
      <c r="B64" s="820"/>
      <c r="C64" s="815"/>
      <c r="D64" s="815"/>
      <c r="E64" s="815"/>
      <c r="F64" s="815"/>
      <c r="G64" s="815"/>
      <c r="H64" s="818"/>
      <c r="I64" s="815"/>
      <c r="J64" s="261"/>
      <c r="K64" s="61"/>
      <c r="L64" s="48">
        <f>I62*K64</f>
        <v>0</v>
      </c>
      <c r="M64" s="65">
        <v>0</v>
      </c>
      <c r="N64" s="48">
        <f t="shared" si="2"/>
        <v>0</v>
      </c>
      <c r="O64" s="48">
        <v>7</v>
      </c>
      <c r="P64" s="133">
        <f t="shared" si="3"/>
        <v>0</v>
      </c>
    </row>
    <row r="65" spans="2:16" ht="13.5">
      <c r="B65" s="820"/>
      <c r="C65" s="813" t="s">
        <v>563</v>
      </c>
      <c r="D65" s="813" t="s">
        <v>553</v>
      </c>
      <c r="E65" s="813">
        <v>1</v>
      </c>
      <c r="F65" s="813" t="s">
        <v>552</v>
      </c>
      <c r="G65" s="813">
        <v>550000</v>
      </c>
      <c r="H65" s="816">
        <v>0</v>
      </c>
      <c r="I65" s="813">
        <f>G65*(1-H65)</f>
        <v>550000</v>
      </c>
      <c r="J65" s="48"/>
      <c r="K65" s="61"/>
      <c r="L65" s="48">
        <v>0</v>
      </c>
      <c r="M65" s="65">
        <v>0</v>
      </c>
      <c r="N65" s="48">
        <f t="shared" si="2"/>
        <v>0</v>
      </c>
      <c r="O65" s="48">
        <v>7</v>
      </c>
      <c r="P65" s="132"/>
    </row>
    <row r="66" spans="2:16" ht="13.5" hidden="1">
      <c r="B66" s="820"/>
      <c r="C66" s="814"/>
      <c r="D66" s="814"/>
      <c r="E66" s="814"/>
      <c r="F66" s="814"/>
      <c r="G66" s="814"/>
      <c r="H66" s="817"/>
      <c r="I66" s="814"/>
      <c r="J66" s="48"/>
      <c r="K66" s="61"/>
      <c r="L66" s="48">
        <v>0</v>
      </c>
      <c r="M66" s="65">
        <v>0</v>
      </c>
      <c r="N66" s="48">
        <f t="shared" si="2"/>
        <v>0</v>
      </c>
      <c r="O66" s="48">
        <v>7</v>
      </c>
      <c r="P66" s="133"/>
    </row>
    <row r="67" spans="2:16" ht="13.5">
      <c r="B67" s="820"/>
      <c r="C67" s="815"/>
      <c r="D67" s="815"/>
      <c r="E67" s="815"/>
      <c r="F67" s="815"/>
      <c r="G67" s="815"/>
      <c r="H67" s="818"/>
      <c r="I67" s="815"/>
      <c r="J67" s="261" t="s">
        <v>547</v>
      </c>
      <c r="K67" s="61">
        <f>1/1/1</f>
        <v>1</v>
      </c>
      <c r="L67" s="48">
        <f>+I65*K67</f>
        <v>550000</v>
      </c>
      <c r="M67" s="65">
        <v>0</v>
      </c>
      <c r="N67" s="48">
        <f t="shared" si="2"/>
        <v>0</v>
      </c>
      <c r="O67" s="48">
        <v>7</v>
      </c>
      <c r="P67" s="133">
        <f>IF(O67="","",(L67-N67)/O67)</f>
        <v>78571.42857142857</v>
      </c>
    </row>
    <row r="68" spans="2:16" ht="13.5">
      <c r="B68" s="820"/>
      <c r="C68" s="813" t="s">
        <v>531</v>
      </c>
      <c r="D68" s="813" t="s">
        <v>532</v>
      </c>
      <c r="E68" s="813">
        <v>1</v>
      </c>
      <c r="F68" s="813" t="s">
        <v>552</v>
      </c>
      <c r="G68" s="813">
        <v>540000</v>
      </c>
      <c r="H68" s="816">
        <v>0</v>
      </c>
      <c r="I68" s="813">
        <f>G68*(1-H68)</f>
        <v>540000</v>
      </c>
      <c r="J68" s="48"/>
      <c r="K68" s="61"/>
      <c r="L68" s="48">
        <v>0</v>
      </c>
      <c r="M68" s="65">
        <v>0</v>
      </c>
      <c r="N68" s="48">
        <f t="shared" si="2"/>
        <v>0</v>
      </c>
      <c r="O68" s="48">
        <v>7</v>
      </c>
      <c r="P68" s="133"/>
    </row>
    <row r="69" spans="2:16" ht="13.5" hidden="1">
      <c r="B69" s="820"/>
      <c r="C69" s="827"/>
      <c r="D69" s="827"/>
      <c r="E69" s="814"/>
      <c r="F69" s="814"/>
      <c r="G69" s="814"/>
      <c r="H69" s="817"/>
      <c r="I69" s="814"/>
      <c r="J69" s="48"/>
      <c r="K69" s="61"/>
      <c r="L69" s="48">
        <v>0</v>
      </c>
      <c r="M69" s="65">
        <v>0</v>
      </c>
      <c r="N69" s="48">
        <f t="shared" si="2"/>
        <v>0</v>
      </c>
      <c r="O69" s="48">
        <v>7</v>
      </c>
      <c r="P69" s="133"/>
    </row>
    <row r="70" spans="2:16" ht="13.5">
      <c r="B70" s="820"/>
      <c r="C70" s="840"/>
      <c r="D70" s="840"/>
      <c r="E70" s="815"/>
      <c r="F70" s="815"/>
      <c r="G70" s="815"/>
      <c r="H70" s="818"/>
      <c r="I70" s="815"/>
      <c r="J70" s="261" t="s">
        <v>547</v>
      </c>
      <c r="K70" s="61">
        <f>1/1/1</f>
        <v>1</v>
      </c>
      <c r="L70" s="48">
        <f>+I68*K70</f>
        <v>540000</v>
      </c>
      <c r="M70" s="65">
        <v>0</v>
      </c>
      <c r="N70" s="48">
        <f t="shared" si="2"/>
        <v>0</v>
      </c>
      <c r="O70" s="48">
        <v>7</v>
      </c>
      <c r="P70" s="133">
        <f>IF(O70="","",(L70-N70)/O70)</f>
        <v>77142.85714285714</v>
      </c>
    </row>
    <row r="71" spans="2:16" ht="13.5">
      <c r="B71" s="820"/>
      <c r="C71" s="813" t="s">
        <v>554</v>
      </c>
      <c r="D71" s="813" t="s">
        <v>560</v>
      </c>
      <c r="E71" s="813">
        <v>1</v>
      </c>
      <c r="F71" s="813" t="s">
        <v>552</v>
      </c>
      <c r="G71" s="813">
        <v>1500000</v>
      </c>
      <c r="H71" s="816">
        <v>0</v>
      </c>
      <c r="I71" s="813">
        <f>G71*(1-H71)</f>
        <v>1500000</v>
      </c>
      <c r="J71" s="48"/>
      <c r="K71" s="61"/>
      <c r="L71" s="48">
        <v>0</v>
      </c>
      <c r="M71" s="65">
        <v>0</v>
      </c>
      <c r="N71" s="48">
        <f t="shared" si="2"/>
        <v>0</v>
      </c>
      <c r="O71" s="48">
        <v>7</v>
      </c>
      <c r="P71" s="133"/>
    </row>
    <row r="72" spans="2:16" ht="13.5" hidden="1">
      <c r="B72" s="820"/>
      <c r="C72" s="814"/>
      <c r="D72" s="814"/>
      <c r="E72" s="814"/>
      <c r="F72" s="814"/>
      <c r="G72" s="814"/>
      <c r="H72" s="817"/>
      <c r="I72" s="814"/>
      <c r="J72" s="48"/>
      <c r="K72" s="61"/>
      <c r="L72" s="48">
        <v>0</v>
      </c>
      <c r="M72" s="65">
        <v>0</v>
      </c>
      <c r="N72" s="48">
        <f t="shared" si="2"/>
        <v>0</v>
      </c>
      <c r="O72" s="48">
        <v>7</v>
      </c>
      <c r="P72" s="133"/>
    </row>
    <row r="73" spans="2:16" ht="13.5">
      <c r="B73" s="820"/>
      <c r="C73" s="815"/>
      <c r="D73" s="815"/>
      <c r="E73" s="815"/>
      <c r="F73" s="815"/>
      <c r="G73" s="815"/>
      <c r="H73" s="818"/>
      <c r="I73" s="815"/>
      <c r="J73" s="261" t="s">
        <v>547</v>
      </c>
      <c r="K73" s="61">
        <f>1/1/1</f>
        <v>1</v>
      </c>
      <c r="L73" s="48">
        <f>+I71*K73</f>
        <v>1500000</v>
      </c>
      <c r="M73" s="65">
        <v>0</v>
      </c>
      <c r="N73" s="48">
        <f t="shared" si="2"/>
        <v>0</v>
      </c>
      <c r="O73" s="48">
        <v>7</v>
      </c>
      <c r="P73" s="133">
        <f>IF(O73="","",(L73-N73)/O73)</f>
        <v>214285.7142857143</v>
      </c>
    </row>
    <row r="74" spans="2:16" ht="13.5">
      <c r="B74" s="820"/>
      <c r="C74" s="813" t="s">
        <v>555</v>
      </c>
      <c r="D74" s="813" t="s">
        <v>561</v>
      </c>
      <c r="E74" s="813">
        <v>1</v>
      </c>
      <c r="F74" s="813" t="s">
        <v>552</v>
      </c>
      <c r="G74" s="813">
        <v>550000</v>
      </c>
      <c r="H74" s="816">
        <v>0</v>
      </c>
      <c r="I74" s="813">
        <f>G74*(1-H74)</f>
        <v>550000</v>
      </c>
      <c r="J74" s="48"/>
      <c r="K74" s="61"/>
      <c r="L74" s="48">
        <v>0</v>
      </c>
      <c r="M74" s="65">
        <v>0</v>
      </c>
      <c r="N74" s="48">
        <f t="shared" si="2"/>
        <v>0</v>
      </c>
      <c r="O74" s="48">
        <v>7</v>
      </c>
      <c r="P74" s="132"/>
    </row>
    <row r="75" spans="2:16" ht="13.5" hidden="1">
      <c r="B75" s="820"/>
      <c r="C75" s="814"/>
      <c r="D75" s="814"/>
      <c r="E75" s="814"/>
      <c r="F75" s="814"/>
      <c r="G75" s="814"/>
      <c r="H75" s="817"/>
      <c r="I75" s="814"/>
      <c r="J75" s="48"/>
      <c r="K75" s="61"/>
      <c r="L75" s="48">
        <v>0</v>
      </c>
      <c r="M75" s="65">
        <v>0</v>
      </c>
      <c r="N75" s="48">
        <f t="shared" si="2"/>
        <v>0</v>
      </c>
      <c r="O75" s="48">
        <v>7</v>
      </c>
      <c r="P75" s="133"/>
    </row>
    <row r="76" spans="2:16" ht="13.5">
      <c r="B76" s="820"/>
      <c r="C76" s="815"/>
      <c r="D76" s="815"/>
      <c r="E76" s="815"/>
      <c r="F76" s="815"/>
      <c r="G76" s="815"/>
      <c r="H76" s="818"/>
      <c r="I76" s="815"/>
      <c r="J76" s="261" t="s">
        <v>547</v>
      </c>
      <c r="K76" s="61">
        <f>1/1/1</f>
        <v>1</v>
      </c>
      <c r="L76" s="48">
        <f>+I74*K76</f>
        <v>550000</v>
      </c>
      <c r="M76" s="65">
        <v>0</v>
      </c>
      <c r="N76" s="48">
        <f t="shared" si="2"/>
        <v>0</v>
      </c>
      <c r="O76" s="48">
        <v>7</v>
      </c>
      <c r="P76" s="133">
        <f>IF(O76="","",(L76-N76)/O76)</f>
        <v>78571.42857142857</v>
      </c>
    </row>
    <row r="77" spans="2:16" ht="13.5">
      <c r="B77" s="820"/>
      <c r="C77" s="813" t="s">
        <v>556</v>
      </c>
      <c r="D77" s="813"/>
      <c r="E77" s="813">
        <v>1</v>
      </c>
      <c r="F77" s="813" t="s">
        <v>552</v>
      </c>
      <c r="G77" s="813">
        <v>500000</v>
      </c>
      <c r="H77" s="816">
        <v>0</v>
      </c>
      <c r="I77" s="813">
        <f>G77*(1-H77)</f>
        <v>500000</v>
      </c>
      <c r="J77" s="48"/>
      <c r="K77" s="61"/>
      <c r="L77" s="48">
        <v>0</v>
      </c>
      <c r="M77" s="65">
        <v>0</v>
      </c>
      <c r="N77" s="48">
        <f t="shared" si="2"/>
        <v>0</v>
      </c>
      <c r="O77" s="48">
        <v>7</v>
      </c>
      <c r="P77" s="133"/>
    </row>
    <row r="78" spans="2:16" ht="13.5" hidden="1">
      <c r="B78" s="820"/>
      <c r="C78" s="814"/>
      <c r="D78" s="814"/>
      <c r="E78" s="814"/>
      <c r="F78" s="814"/>
      <c r="G78" s="814"/>
      <c r="H78" s="817"/>
      <c r="I78" s="814"/>
      <c r="J78" s="48"/>
      <c r="K78" s="61"/>
      <c r="L78" s="48">
        <v>0</v>
      </c>
      <c r="M78" s="65">
        <v>0</v>
      </c>
      <c r="N78" s="48">
        <f t="shared" si="2"/>
        <v>0</v>
      </c>
      <c r="O78" s="48">
        <v>7</v>
      </c>
      <c r="P78" s="133"/>
    </row>
    <row r="79" spans="2:16" ht="13.5">
      <c r="B79" s="820"/>
      <c r="C79" s="815"/>
      <c r="D79" s="815"/>
      <c r="E79" s="815"/>
      <c r="F79" s="815"/>
      <c r="G79" s="815"/>
      <c r="H79" s="818"/>
      <c r="I79" s="815"/>
      <c r="J79" s="261" t="s">
        <v>547</v>
      </c>
      <c r="K79" s="61">
        <f>1/1/1</f>
        <v>1</v>
      </c>
      <c r="L79" s="48">
        <f>+I77*K79</f>
        <v>500000</v>
      </c>
      <c r="M79" s="65">
        <v>0</v>
      </c>
      <c r="N79" s="48">
        <f t="shared" si="2"/>
        <v>0</v>
      </c>
      <c r="O79" s="48">
        <v>7</v>
      </c>
      <c r="P79" s="133">
        <f>IF(O79="","",(L79-N79)/O79)</f>
        <v>71428.57142857143</v>
      </c>
    </row>
    <row r="80" spans="2:16" ht="13.5">
      <c r="B80" s="820"/>
      <c r="C80" s="813" t="s">
        <v>557</v>
      </c>
      <c r="D80" s="813" t="s">
        <v>562</v>
      </c>
      <c r="E80" s="813">
        <v>1</v>
      </c>
      <c r="F80" s="813" t="s">
        <v>552</v>
      </c>
      <c r="G80" s="813">
        <v>900000</v>
      </c>
      <c r="H80" s="816">
        <v>0</v>
      </c>
      <c r="I80" s="813">
        <f>G80*(1-H80)</f>
        <v>900000</v>
      </c>
      <c r="J80" s="48"/>
      <c r="K80" s="61"/>
      <c r="L80" s="48">
        <v>0</v>
      </c>
      <c r="M80" s="65">
        <v>0</v>
      </c>
      <c r="N80" s="48">
        <f t="shared" si="2"/>
        <v>0</v>
      </c>
      <c r="O80" s="48">
        <v>7</v>
      </c>
      <c r="P80" s="132"/>
    </row>
    <row r="81" spans="2:16" ht="13.5" hidden="1">
      <c r="B81" s="820"/>
      <c r="C81" s="814"/>
      <c r="D81" s="814"/>
      <c r="E81" s="814"/>
      <c r="F81" s="814"/>
      <c r="G81" s="814"/>
      <c r="H81" s="817"/>
      <c r="I81" s="814"/>
      <c r="J81" s="48"/>
      <c r="K81" s="61"/>
      <c r="L81" s="48">
        <v>0</v>
      </c>
      <c r="M81" s="65">
        <v>0</v>
      </c>
      <c r="N81" s="48">
        <f t="shared" si="2"/>
        <v>0</v>
      </c>
      <c r="O81" s="48">
        <v>7</v>
      </c>
      <c r="P81" s="133"/>
    </row>
    <row r="82" spans="2:16" ht="13.5">
      <c r="B82" s="820"/>
      <c r="C82" s="815"/>
      <c r="D82" s="815"/>
      <c r="E82" s="815"/>
      <c r="F82" s="815"/>
      <c r="G82" s="815"/>
      <c r="H82" s="818"/>
      <c r="I82" s="815"/>
      <c r="J82" s="261" t="s">
        <v>547</v>
      </c>
      <c r="K82" s="61">
        <f>1/1/1</f>
        <v>1</v>
      </c>
      <c r="L82" s="48">
        <f>+I80*K82</f>
        <v>900000</v>
      </c>
      <c r="M82" s="65">
        <v>0</v>
      </c>
      <c r="N82" s="48">
        <f t="shared" si="2"/>
        <v>0</v>
      </c>
      <c r="O82" s="48">
        <v>7</v>
      </c>
      <c r="P82" s="133">
        <f>IF(O82="","",(L82-N82)/O82)</f>
        <v>128571.42857142857</v>
      </c>
    </row>
    <row r="83" spans="2:16" ht="13.5">
      <c r="B83" s="820"/>
      <c r="C83" s="813" t="s">
        <v>558</v>
      </c>
      <c r="D83" s="813"/>
      <c r="E83" s="813">
        <v>1</v>
      </c>
      <c r="F83" s="813" t="s">
        <v>552</v>
      </c>
      <c r="G83" s="813">
        <v>200000</v>
      </c>
      <c r="H83" s="816">
        <v>0</v>
      </c>
      <c r="I83" s="813">
        <f>G83*(1-H83)</f>
        <v>200000</v>
      </c>
      <c r="J83" s="48"/>
      <c r="K83" s="61"/>
      <c r="L83" s="48">
        <v>0</v>
      </c>
      <c r="M83" s="65">
        <v>0</v>
      </c>
      <c r="N83" s="48">
        <f t="shared" si="2"/>
        <v>0</v>
      </c>
      <c r="O83" s="48">
        <v>7</v>
      </c>
      <c r="P83" s="133"/>
    </row>
    <row r="84" spans="2:16" ht="13.5" hidden="1">
      <c r="B84" s="820"/>
      <c r="C84" s="814"/>
      <c r="D84" s="814"/>
      <c r="E84" s="814"/>
      <c r="F84" s="814"/>
      <c r="G84" s="814"/>
      <c r="H84" s="817"/>
      <c r="I84" s="814"/>
      <c r="J84" s="48"/>
      <c r="K84" s="61"/>
      <c r="L84" s="48">
        <v>0</v>
      </c>
      <c r="M84" s="65">
        <v>0</v>
      </c>
      <c r="N84" s="48">
        <f t="shared" si="2"/>
        <v>0</v>
      </c>
      <c r="O84" s="48">
        <v>7</v>
      </c>
      <c r="P84" s="133"/>
    </row>
    <row r="85" spans="2:16" ht="13.5">
      <c r="B85" s="820"/>
      <c r="C85" s="815"/>
      <c r="D85" s="815"/>
      <c r="E85" s="815"/>
      <c r="F85" s="815"/>
      <c r="G85" s="815"/>
      <c r="H85" s="818"/>
      <c r="I85" s="815"/>
      <c r="J85" s="261" t="s">
        <v>547</v>
      </c>
      <c r="K85" s="61">
        <f>1/1/1</f>
        <v>1</v>
      </c>
      <c r="L85" s="48">
        <f>+I83*K85</f>
        <v>200000</v>
      </c>
      <c r="M85" s="65">
        <v>0</v>
      </c>
      <c r="N85" s="48">
        <f t="shared" si="2"/>
        <v>0</v>
      </c>
      <c r="O85" s="48">
        <v>7</v>
      </c>
      <c r="P85" s="133">
        <f>IF(O85="","",(L85-N85)/O85)</f>
        <v>28571.428571428572</v>
      </c>
    </row>
    <row r="86" spans="2:16" ht="13.5">
      <c r="B86" s="820"/>
      <c r="C86" s="813" t="s">
        <v>559</v>
      </c>
      <c r="D86" s="813"/>
      <c r="E86" s="813">
        <v>1</v>
      </c>
      <c r="F86" s="813" t="s">
        <v>552</v>
      </c>
      <c r="G86" s="813">
        <v>400000</v>
      </c>
      <c r="H86" s="816">
        <v>0</v>
      </c>
      <c r="I86" s="813">
        <f>G86*(1-H86)</f>
        <v>400000</v>
      </c>
      <c r="J86" s="48"/>
      <c r="K86" s="61"/>
      <c r="L86" s="48">
        <v>0</v>
      </c>
      <c r="M86" s="65">
        <v>0</v>
      </c>
      <c r="N86" s="48">
        <f t="shared" si="2"/>
        <v>0</v>
      </c>
      <c r="O86" s="48">
        <v>4</v>
      </c>
      <c r="P86" s="133"/>
    </row>
    <row r="87" spans="2:16" ht="13.5" hidden="1">
      <c r="B87" s="820"/>
      <c r="C87" s="814"/>
      <c r="D87" s="814"/>
      <c r="E87" s="814"/>
      <c r="F87" s="814"/>
      <c r="G87" s="814"/>
      <c r="H87" s="817"/>
      <c r="I87" s="814"/>
      <c r="J87" s="48"/>
      <c r="K87" s="61"/>
      <c r="L87" s="48">
        <v>0</v>
      </c>
      <c r="M87" s="65">
        <v>0</v>
      </c>
      <c r="N87" s="48">
        <f t="shared" si="2"/>
        <v>0</v>
      </c>
      <c r="O87" s="48">
        <v>4</v>
      </c>
      <c r="P87" s="133"/>
    </row>
    <row r="88" spans="2:16" ht="13.5">
      <c r="B88" s="820"/>
      <c r="C88" s="815"/>
      <c r="D88" s="815"/>
      <c r="E88" s="815"/>
      <c r="F88" s="815"/>
      <c r="G88" s="815"/>
      <c r="H88" s="818"/>
      <c r="I88" s="815"/>
      <c r="J88" s="261" t="s">
        <v>547</v>
      </c>
      <c r="K88" s="61">
        <f>1/1/1</f>
        <v>1</v>
      </c>
      <c r="L88" s="48">
        <f>+I86*K88</f>
        <v>400000</v>
      </c>
      <c r="M88" s="65">
        <v>0</v>
      </c>
      <c r="N88" s="48">
        <f>L88*M88</f>
        <v>0</v>
      </c>
      <c r="O88" s="48">
        <v>4</v>
      </c>
      <c r="P88" s="133">
        <f>IF(O88="","",(L88-N88)/O88)</f>
        <v>100000</v>
      </c>
    </row>
    <row r="89" spans="2:16" ht="13.5">
      <c r="B89" s="820"/>
      <c r="C89" s="823" t="s">
        <v>46</v>
      </c>
      <c r="D89" s="823"/>
      <c r="E89" s="823"/>
      <c r="F89" s="823"/>
      <c r="G89" s="823">
        <f>SUM(G23:G86)</f>
        <v>64507612</v>
      </c>
      <c r="H89" s="823"/>
      <c r="I89" s="823">
        <f>SUM(I23:I86)</f>
        <v>49230472</v>
      </c>
      <c r="J89" s="63" t="s">
        <v>425</v>
      </c>
      <c r="K89" s="348"/>
      <c r="L89" s="63">
        <f>L23+L26+L29+L32+L35+L38+L41+L44+L47+L50+L53+L56+L62+L74+L83+L86</f>
        <v>1485977.9310344828</v>
      </c>
      <c r="M89" s="309"/>
      <c r="N89" s="63"/>
      <c r="O89" s="63"/>
      <c r="P89" s="310">
        <f>+P23+P26+P29+P32+P35+P38+P41+P44+P47+P50+P53+P56+P59+P62+P65+P68+P71+P74+P77+P80+P83+P86</f>
        <v>225491.1001642036</v>
      </c>
    </row>
    <row r="90" spans="2:16" ht="13.5">
      <c r="B90" s="820"/>
      <c r="C90" s="824"/>
      <c r="D90" s="824"/>
      <c r="E90" s="824"/>
      <c r="F90" s="824"/>
      <c r="G90" s="824"/>
      <c r="H90" s="824"/>
      <c r="I90" s="824"/>
      <c r="J90" s="63" t="s">
        <v>667</v>
      </c>
      <c r="K90" s="308"/>
      <c r="L90" s="63">
        <f>L24+L27+L30+L33+L36+L39+L42+L45+L48+L51+L54+L57+L63+L75+L84+L87</f>
        <v>1485977.9310344828</v>
      </c>
      <c r="M90" s="309"/>
      <c r="N90" s="63"/>
      <c r="O90" s="63"/>
      <c r="P90" s="310">
        <f>+P24+P27+P30+P33+P36+P39+P42+P45+P48+P51+P54+P57+P60+P63+P66+P69+P72+P75+P78+P81+P84+P87</f>
        <v>225491.1001642036</v>
      </c>
    </row>
    <row r="91" spans="2:16" ht="13.5">
      <c r="B91" s="836"/>
      <c r="C91" s="825"/>
      <c r="D91" s="825"/>
      <c r="E91" s="825"/>
      <c r="F91" s="825"/>
      <c r="G91" s="825"/>
      <c r="H91" s="825"/>
      <c r="I91" s="825"/>
      <c r="J91" s="63" t="s">
        <v>668</v>
      </c>
      <c r="K91" s="64"/>
      <c r="L91" s="63">
        <f>L25+L28+L31+L34+L37+L40+L43+L46+L49+L52+L55+L58+L64+L76+L85+L88</f>
        <v>1227112</v>
      </c>
      <c r="M91" s="63"/>
      <c r="N91" s="63"/>
      <c r="O91" s="63"/>
      <c r="P91" s="310">
        <f>+P25+P28+P31+P34+P37+P40+P43+P46+P49+P52+P55+P58+P61+P64+P67+P70+P73+P76+P79+P82+P85+P88</f>
        <v>795825.5238095237</v>
      </c>
    </row>
    <row r="92" spans="2:16" ht="13.5" hidden="1">
      <c r="B92" s="819" t="s">
        <v>147</v>
      </c>
      <c r="C92" s="48"/>
      <c r="D92" s="48"/>
      <c r="E92" s="48"/>
      <c r="F92" s="48"/>
      <c r="G92" s="48"/>
      <c r="H92" s="67"/>
      <c r="I92" s="48"/>
      <c r="J92" s="48"/>
      <c r="K92" s="61"/>
      <c r="L92" s="48"/>
      <c r="M92" s="67"/>
      <c r="N92" s="48"/>
      <c r="O92" s="48"/>
      <c r="P92" s="133"/>
    </row>
    <row r="93" spans="2:16" ht="13.5" hidden="1">
      <c r="B93" s="820"/>
      <c r="C93" s="48"/>
      <c r="D93" s="48"/>
      <c r="E93" s="48"/>
      <c r="F93" s="48"/>
      <c r="G93" s="48"/>
      <c r="H93" s="67"/>
      <c r="I93" s="48"/>
      <c r="J93" s="48"/>
      <c r="K93" s="61"/>
      <c r="L93" s="48"/>
      <c r="M93" s="67"/>
      <c r="N93" s="48"/>
      <c r="O93" s="48"/>
      <c r="P93" s="133"/>
    </row>
    <row r="94" spans="2:16" ht="13.5" hidden="1">
      <c r="B94" s="820"/>
      <c r="C94" s="48"/>
      <c r="D94" s="48"/>
      <c r="E94" s="48"/>
      <c r="F94" s="48"/>
      <c r="G94" s="48"/>
      <c r="H94" s="67"/>
      <c r="I94" s="48"/>
      <c r="J94" s="48"/>
      <c r="K94" s="61"/>
      <c r="L94" s="48"/>
      <c r="M94" s="67"/>
      <c r="N94" s="48"/>
      <c r="O94" s="48"/>
      <c r="P94" s="133"/>
    </row>
    <row r="95" spans="2:16" ht="13.5" hidden="1">
      <c r="B95" s="820"/>
      <c r="C95" s="48"/>
      <c r="D95" s="48"/>
      <c r="E95" s="48"/>
      <c r="F95" s="48"/>
      <c r="G95" s="48"/>
      <c r="H95" s="67"/>
      <c r="I95" s="48"/>
      <c r="J95" s="48"/>
      <c r="K95" s="61"/>
      <c r="L95" s="48"/>
      <c r="M95" s="67"/>
      <c r="N95" s="48"/>
      <c r="O95" s="48"/>
      <c r="P95" s="133"/>
    </row>
    <row r="96" spans="2:16" ht="13.5" hidden="1">
      <c r="B96" s="820"/>
      <c r="C96" s="823" t="s">
        <v>46</v>
      </c>
      <c r="D96" s="823"/>
      <c r="E96" s="823"/>
      <c r="F96" s="823"/>
      <c r="G96" s="823">
        <f>SUM(G92:G95)</f>
        <v>0</v>
      </c>
      <c r="H96" s="823"/>
      <c r="I96" s="823">
        <f>SUM(I92:I95)</f>
        <v>0</v>
      </c>
      <c r="J96" s="63" t="s">
        <v>425</v>
      </c>
      <c r="K96" s="308"/>
      <c r="L96" s="63"/>
      <c r="M96" s="309"/>
      <c r="N96" s="63"/>
      <c r="O96" s="63"/>
      <c r="P96" s="310"/>
    </row>
    <row r="97" spans="2:16" ht="13.5" hidden="1">
      <c r="B97" s="821"/>
      <c r="C97" s="824"/>
      <c r="D97" s="824"/>
      <c r="E97" s="824"/>
      <c r="F97" s="824"/>
      <c r="G97" s="824"/>
      <c r="H97" s="824"/>
      <c r="I97" s="824"/>
      <c r="J97" s="63" t="s">
        <v>667</v>
      </c>
      <c r="K97" s="308"/>
      <c r="L97" s="63"/>
      <c r="M97" s="309"/>
      <c r="N97" s="63"/>
      <c r="O97" s="63"/>
      <c r="P97" s="248"/>
    </row>
    <row r="98" spans="2:16" ht="13.5" hidden="1">
      <c r="B98" s="822"/>
      <c r="C98" s="825"/>
      <c r="D98" s="825"/>
      <c r="E98" s="825"/>
      <c r="F98" s="825"/>
      <c r="G98" s="825"/>
      <c r="H98" s="825"/>
      <c r="I98" s="825"/>
      <c r="J98" s="63" t="s">
        <v>668</v>
      </c>
      <c r="K98" s="289"/>
      <c r="L98" s="68"/>
      <c r="M98" s="68"/>
      <c r="N98" s="68"/>
      <c r="O98" s="68"/>
      <c r="P98" s="290"/>
    </row>
    <row r="99" spans="2:16" ht="13.5">
      <c r="B99" s="291"/>
      <c r="C99" s="292"/>
      <c r="D99" s="293"/>
      <c r="E99" s="293"/>
      <c r="F99" s="293"/>
      <c r="G99" s="826">
        <f>G20+G89+G96</f>
        <v>89766712</v>
      </c>
      <c r="H99" s="293"/>
      <c r="I99" s="826">
        <f>I20+I89+I96</f>
        <v>74489572</v>
      </c>
      <c r="J99" s="296" t="s">
        <v>425</v>
      </c>
      <c r="K99" s="297"/>
      <c r="L99" s="294">
        <f>L20+L89+L96</f>
        <v>2200981.379310345</v>
      </c>
      <c r="M99" s="294"/>
      <c r="N99" s="294"/>
      <c r="O99" s="294"/>
      <c r="P99" s="300">
        <f>P20+P89+P96</f>
        <v>262990.065681445</v>
      </c>
    </row>
    <row r="100" spans="2:16" ht="13.5">
      <c r="B100" s="291"/>
      <c r="C100" s="292" t="s">
        <v>428</v>
      </c>
      <c r="D100" s="293"/>
      <c r="E100" s="293"/>
      <c r="F100" s="293"/>
      <c r="G100" s="827"/>
      <c r="H100" s="293"/>
      <c r="I100" s="827"/>
      <c r="J100" s="260" t="s">
        <v>667</v>
      </c>
      <c r="K100" s="297"/>
      <c r="L100" s="294">
        <f>L21+L90+L97</f>
        <v>2200981.379310345</v>
      </c>
      <c r="M100" s="294"/>
      <c r="N100" s="294"/>
      <c r="O100" s="294"/>
      <c r="P100" s="300">
        <f>P21+P90+P97</f>
        <v>262990.065681445</v>
      </c>
    </row>
    <row r="101" spans="2:16" ht="14.25" thickBot="1">
      <c r="B101" s="243"/>
      <c r="C101" s="295"/>
      <c r="D101" s="69"/>
      <c r="E101" s="69"/>
      <c r="F101" s="70"/>
      <c r="G101" s="828"/>
      <c r="H101" s="69"/>
      <c r="I101" s="828"/>
      <c r="J101" s="298" t="s">
        <v>668</v>
      </c>
      <c r="K101" s="299"/>
      <c r="L101" s="301">
        <f>L22+L91+L98</f>
        <v>3375112</v>
      </c>
      <c r="M101" s="301"/>
      <c r="N101" s="301"/>
      <c r="O101" s="301"/>
      <c r="P101" s="302">
        <f>P22+P91+P98</f>
        <v>1093785.5238095238</v>
      </c>
    </row>
    <row r="102" ht="11.25" customHeight="1"/>
  </sheetData>
  <sheetProtection/>
  <mergeCells count="221">
    <mergeCell ref="I80:I82"/>
    <mergeCell ref="G83:G85"/>
    <mergeCell ref="F83:F85"/>
    <mergeCell ref="E83:E85"/>
    <mergeCell ref="D83:D85"/>
    <mergeCell ref="C83:C85"/>
    <mergeCell ref="C80:C82"/>
    <mergeCell ref="D80:D82"/>
    <mergeCell ref="E80:E82"/>
    <mergeCell ref="F80:F82"/>
    <mergeCell ref="G80:G82"/>
    <mergeCell ref="H80:H82"/>
    <mergeCell ref="I71:I73"/>
    <mergeCell ref="C77:C79"/>
    <mergeCell ref="D77:D79"/>
    <mergeCell ref="E77:E79"/>
    <mergeCell ref="F77:F79"/>
    <mergeCell ref="G77:G79"/>
    <mergeCell ref="H77:H79"/>
    <mergeCell ref="I77:I79"/>
    <mergeCell ref="I74:I76"/>
    <mergeCell ref="C71:C73"/>
    <mergeCell ref="D71:D73"/>
    <mergeCell ref="E71:E73"/>
    <mergeCell ref="F71:F73"/>
    <mergeCell ref="G71:G73"/>
    <mergeCell ref="H71:H73"/>
    <mergeCell ref="C74:C76"/>
    <mergeCell ref="D74:D76"/>
    <mergeCell ref="I65:I67"/>
    <mergeCell ref="C68:C70"/>
    <mergeCell ref="D68:D70"/>
    <mergeCell ref="E68:E70"/>
    <mergeCell ref="F68:F70"/>
    <mergeCell ref="G68:G70"/>
    <mergeCell ref="H68:H70"/>
    <mergeCell ref="I68:I70"/>
    <mergeCell ref="C65:C67"/>
    <mergeCell ref="D65:D67"/>
    <mergeCell ref="E65:E67"/>
    <mergeCell ref="F65:F67"/>
    <mergeCell ref="G65:G67"/>
    <mergeCell ref="H65:H67"/>
    <mergeCell ref="C59:C61"/>
    <mergeCell ref="D59:D61"/>
    <mergeCell ref="E59:E61"/>
    <mergeCell ref="F59:F61"/>
    <mergeCell ref="G59:G61"/>
    <mergeCell ref="H59:H61"/>
    <mergeCell ref="E8:E10"/>
    <mergeCell ref="F8:F10"/>
    <mergeCell ref="G8:G10"/>
    <mergeCell ref="H8:H10"/>
    <mergeCell ref="H83:H85"/>
    <mergeCell ref="I83:I85"/>
    <mergeCell ref="I53:I55"/>
    <mergeCell ref="I62:I64"/>
    <mergeCell ref="I56:I58"/>
    <mergeCell ref="I59:I61"/>
    <mergeCell ref="C62:C64"/>
    <mergeCell ref="E74:E76"/>
    <mergeCell ref="F74:F76"/>
    <mergeCell ref="G74:G76"/>
    <mergeCell ref="H74:H76"/>
    <mergeCell ref="D62:D64"/>
    <mergeCell ref="E62:E64"/>
    <mergeCell ref="F62:F64"/>
    <mergeCell ref="G62:G64"/>
    <mergeCell ref="H62:H64"/>
    <mergeCell ref="C56:C58"/>
    <mergeCell ref="D56:D58"/>
    <mergeCell ref="E56:E58"/>
    <mergeCell ref="F56:F58"/>
    <mergeCell ref="G56:G58"/>
    <mergeCell ref="H56:H58"/>
    <mergeCell ref="C53:C55"/>
    <mergeCell ref="D53:D55"/>
    <mergeCell ref="E53:E55"/>
    <mergeCell ref="F53:F55"/>
    <mergeCell ref="G53:G55"/>
    <mergeCell ref="H53:H55"/>
    <mergeCell ref="C47:C49"/>
    <mergeCell ref="D47:D49"/>
    <mergeCell ref="E47:E49"/>
    <mergeCell ref="F47:F49"/>
    <mergeCell ref="I47:I49"/>
    <mergeCell ref="H50:H52"/>
    <mergeCell ref="I50:I52"/>
    <mergeCell ref="E50:E52"/>
    <mergeCell ref="F50:F52"/>
    <mergeCell ref="G50:G52"/>
    <mergeCell ref="D44:D46"/>
    <mergeCell ref="E44:E46"/>
    <mergeCell ref="I38:I40"/>
    <mergeCell ref="H41:H43"/>
    <mergeCell ref="I41:I43"/>
    <mergeCell ref="H44:H46"/>
    <mergeCell ref="I44:I46"/>
    <mergeCell ref="H38:H40"/>
    <mergeCell ref="H47:H49"/>
    <mergeCell ref="G47:G49"/>
    <mergeCell ref="F44:F46"/>
    <mergeCell ref="G44:G46"/>
    <mergeCell ref="G38:G40"/>
    <mergeCell ref="G41:G43"/>
    <mergeCell ref="F32:F34"/>
    <mergeCell ref="G32:G34"/>
    <mergeCell ref="C41:C43"/>
    <mergeCell ref="D41:D43"/>
    <mergeCell ref="E41:E43"/>
    <mergeCell ref="F41:F43"/>
    <mergeCell ref="C38:C40"/>
    <mergeCell ref="D38:D40"/>
    <mergeCell ref="E38:E40"/>
    <mergeCell ref="F38:F40"/>
    <mergeCell ref="C11:C13"/>
    <mergeCell ref="D11:D13"/>
    <mergeCell ref="E11:E13"/>
    <mergeCell ref="C23:C25"/>
    <mergeCell ref="D23:D25"/>
    <mergeCell ref="C17:C19"/>
    <mergeCell ref="D17:D19"/>
    <mergeCell ref="E17:E19"/>
    <mergeCell ref="C14:C16"/>
    <mergeCell ref="D14:D16"/>
    <mergeCell ref="B23:B91"/>
    <mergeCell ref="C3:C4"/>
    <mergeCell ref="D3:D4"/>
    <mergeCell ref="C5:C7"/>
    <mergeCell ref="D5:D7"/>
    <mergeCell ref="C26:C28"/>
    <mergeCell ref="D26:D28"/>
    <mergeCell ref="C50:C52"/>
    <mergeCell ref="D50:D52"/>
    <mergeCell ref="C44:C46"/>
    <mergeCell ref="F2:G2"/>
    <mergeCell ref="E3:F3"/>
    <mergeCell ref="E5:E7"/>
    <mergeCell ref="B5:B22"/>
    <mergeCell ref="B3:B4"/>
    <mergeCell ref="G5:G7"/>
    <mergeCell ref="F17:F19"/>
    <mergeCell ref="G17:G19"/>
    <mergeCell ref="C8:C10"/>
    <mergeCell ref="D8:D10"/>
    <mergeCell ref="H23:H25"/>
    <mergeCell ref="G29:G31"/>
    <mergeCell ref="I5:I7"/>
    <mergeCell ref="I23:I25"/>
    <mergeCell ref="F5:F7"/>
    <mergeCell ref="I11:I13"/>
    <mergeCell ref="I17:I19"/>
    <mergeCell ref="H17:H19"/>
    <mergeCell ref="G26:G28"/>
    <mergeCell ref="F29:F31"/>
    <mergeCell ref="E35:E37"/>
    <mergeCell ref="C32:C34"/>
    <mergeCell ref="H26:H28"/>
    <mergeCell ref="E29:E31"/>
    <mergeCell ref="F35:F37"/>
    <mergeCell ref="G35:G37"/>
    <mergeCell ref="E26:E28"/>
    <mergeCell ref="F26:F28"/>
    <mergeCell ref="D32:D34"/>
    <mergeCell ref="E32:E34"/>
    <mergeCell ref="I86:I88"/>
    <mergeCell ref="C86:C88"/>
    <mergeCell ref="D86:D88"/>
    <mergeCell ref="E86:E88"/>
    <mergeCell ref="F86:F88"/>
    <mergeCell ref="G86:G88"/>
    <mergeCell ref="I26:I28"/>
    <mergeCell ref="H5:H7"/>
    <mergeCell ref="C29:C31"/>
    <mergeCell ref="D29:D31"/>
    <mergeCell ref="F11:F13"/>
    <mergeCell ref="G11:G13"/>
    <mergeCell ref="H11:H13"/>
    <mergeCell ref="E23:E25"/>
    <mergeCell ref="F23:F25"/>
    <mergeCell ref="G23:G25"/>
    <mergeCell ref="I89:I91"/>
    <mergeCell ref="H89:H91"/>
    <mergeCell ref="J3:J4"/>
    <mergeCell ref="H35:H37"/>
    <mergeCell ref="I35:I37"/>
    <mergeCell ref="H29:H31"/>
    <mergeCell ref="H32:H34"/>
    <mergeCell ref="I32:I34"/>
    <mergeCell ref="I8:I10"/>
    <mergeCell ref="I29:I31"/>
    <mergeCell ref="G20:G22"/>
    <mergeCell ref="H20:H22"/>
    <mergeCell ref="C89:C91"/>
    <mergeCell ref="D89:D91"/>
    <mergeCell ref="E89:E91"/>
    <mergeCell ref="F89:F91"/>
    <mergeCell ref="G89:G91"/>
    <mergeCell ref="H86:H88"/>
    <mergeCell ref="C35:C37"/>
    <mergeCell ref="D35:D37"/>
    <mergeCell ref="G99:G101"/>
    <mergeCell ref="I99:I101"/>
    <mergeCell ref="I20:I22"/>
    <mergeCell ref="C96:C98"/>
    <mergeCell ref="D96:D98"/>
    <mergeCell ref="E96:E98"/>
    <mergeCell ref="F96:F98"/>
    <mergeCell ref="G96:G98"/>
    <mergeCell ref="H96:H98"/>
    <mergeCell ref="I96:I98"/>
    <mergeCell ref="E14:E16"/>
    <mergeCell ref="F14:F16"/>
    <mergeCell ref="G14:G16"/>
    <mergeCell ref="H14:H16"/>
    <mergeCell ref="I14:I16"/>
    <mergeCell ref="B92:B98"/>
    <mergeCell ref="C20:C22"/>
    <mergeCell ref="D20:D22"/>
    <mergeCell ref="E20:E22"/>
    <mergeCell ref="F20:F2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1" sqref="A1"/>
    </sheetView>
  </sheetViews>
  <sheetFormatPr defaultColWidth="10.875" defaultRowHeight="13.5"/>
  <cols>
    <col min="1" max="1" width="1.625" style="442" customWidth="1"/>
    <col min="2" max="2" width="5.875" style="442" customWidth="1"/>
    <col min="3" max="3" width="10.625" style="442" customWidth="1"/>
    <col min="4" max="4" width="12.375" style="442" customWidth="1"/>
    <col min="5" max="5" width="14.625" style="442" customWidth="1"/>
    <col min="6" max="7" width="15.875" style="442" customWidth="1"/>
    <col min="8" max="8" width="10.875" style="442" customWidth="1"/>
    <col min="9" max="9" width="11.375" style="442" bestFit="1" customWidth="1"/>
    <col min="10" max="10" width="13.375" style="442" customWidth="1"/>
    <col min="11" max="11" width="7.125" style="442" customWidth="1"/>
    <col min="12" max="12" width="15.375" style="442" customWidth="1"/>
    <col min="13" max="13" width="9.375" style="442" bestFit="1" customWidth="1"/>
    <col min="14" max="14" width="10.875" style="442" customWidth="1"/>
    <col min="15" max="15" width="7.25390625" style="442" customWidth="1"/>
    <col min="16" max="16" width="9.625" style="442" customWidth="1"/>
    <col min="17" max="17" width="10.875" style="442" customWidth="1"/>
    <col min="18" max="18" width="7.50390625" style="442" customWidth="1"/>
    <col min="19" max="19" width="3.75390625" style="442" customWidth="1"/>
    <col min="20" max="16384" width="10.875" style="442" customWidth="1"/>
  </cols>
  <sheetData>
    <row r="1" spans="2:19" s="122" customFormat="1" ht="9.75" customHeight="1"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2:15" s="122" customFormat="1" ht="24.75" customHeight="1" thickBot="1">
      <c r="B2" s="122" t="s">
        <v>108</v>
      </c>
      <c r="H2" s="416" t="s">
        <v>280</v>
      </c>
      <c r="I2" s="122" t="s">
        <v>453</v>
      </c>
      <c r="K2" s="416" t="s">
        <v>281</v>
      </c>
      <c r="L2" s="122" t="s">
        <v>283</v>
      </c>
      <c r="N2" s="442"/>
      <c r="O2" s="442"/>
    </row>
    <row r="3" spans="2:19" s="122" customFormat="1" ht="18" customHeight="1">
      <c r="B3" s="843" t="s">
        <v>20</v>
      </c>
      <c r="C3" s="844"/>
      <c r="D3" s="844"/>
      <c r="E3" s="845"/>
      <c r="F3" s="443" t="s">
        <v>21</v>
      </c>
      <c r="G3" s="444"/>
      <c r="H3" s="383" t="s">
        <v>22</v>
      </c>
      <c r="I3" s="445"/>
      <c r="J3" s="445"/>
      <c r="K3" s="895" t="s">
        <v>242</v>
      </c>
      <c r="L3" s="896"/>
      <c r="M3" s="896"/>
      <c r="N3" s="896"/>
      <c r="O3" s="896"/>
      <c r="P3" s="896"/>
      <c r="Q3" s="896"/>
      <c r="R3" s="896"/>
      <c r="S3" s="897"/>
    </row>
    <row r="4" spans="2:19" s="122" customFormat="1" ht="18" customHeight="1">
      <c r="B4" s="882" t="s">
        <v>23</v>
      </c>
      <c r="C4" s="883"/>
      <c r="D4" s="166" t="s">
        <v>235</v>
      </c>
      <c r="E4" s="183"/>
      <c r="F4" s="178">
        <f>+R11</f>
        <v>918000</v>
      </c>
      <c r="G4" s="166" t="s">
        <v>214</v>
      </c>
      <c r="H4" s="123"/>
      <c r="I4" s="123"/>
      <c r="J4" s="123"/>
      <c r="K4" s="175" t="s">
        <v>57</v>
      </c>
      <c r="L4" s="176" t="s">
        <v>287</v>
      </c>
      <c r="M4" s="176" t="s">
        <v>24</v>
      </c>
      <c r="N4" s="176" t="s">
        <v>23</v>
      </c>
      <c r="O4" s="176" t="s">
        <v>57</v>
      </c>
      <c r="P4" s="176" t="s">
        <v>288</v>
      </c>
      <c r="Q4" s="176" t="s">
        <v>24</v>
      </c>
      <c r="R4" s="898" t="s">
        <v>23</v>
      </c>
      <c r="S4" s="899"/>
    </row>
    <row r="5" spans="2:19" s="122" customFormat="1" ht="18" customHeight="1">
      <c r="B5" s="882"/>
      <c r="C5" s="883"/>
      <c r="D5" s="166" t="s">
        <v>91</v>
      </c>
      <c r="E5" s="183"/>
      <c r="F5" s="178">
        <v>0</v>
      </c>
      <c r="G5" s="164"/>
      <c r="H5" s="162"/>
      <c r="I5" s="162"/>
      <c r="J5" s="162"/>
      <c r="K5" s="177" t="s">
        <v>174</v>
      </c>
      <c r="L5" s="178">
        <f>5100*('１　対象経営の概要，２　前提条件'!AM26)/('１　対象経営の概要，２　前提条件'!AB26+'１　対象経営の概要，２　前提条件'!AM26+'１　対象経営の概要，２　前提条件'!AB28)</f>
        <v>5100</v>
      </c>
      <c r="M5" s="178">
        <v>180</v>
      </c>
      <c r="N5" s="178">
        <f aca="true" t="shared" si="0" ref="N5:N11">L5*M5</f>
        <v>918000</v>
      </c>
      <c r="O5" s="178"/>
      <c r="P5" s="178"/>
      <c r="Q5" s="178"/>
      <c r="R5" s="889">
        <f>P5*Q5</f>
        <v>0</v>
      </c>
      <c r="S5" s="890"/>
    </row>
    <row r="6" spans="2:19" s="122" customFormat="1" ht="18" customHeight="1">
      <c r="B6" s="849" t="s">
        <v>240</v>
      </c>
      <c r="C6" s="846" t="s">
        <v>226</v>
      </c>
      <c r="D6" s="178" t="s">
        <v>59</v>
      </c>
      <c r="E6" s="179"/>
      <c r="F6" s="178">
        <f>+P13</f>
        <v>17700</v>
      </c>
      <c r="G6" s="164" t="s">
        <v>215</v>
      </c>
      <c r="H6" s="162"/>
      <c r="I6" s="162"/>
      <c r="J6" s="162"/>
      <c r="K6" s="474"/>
      <c r="L6" s="267"/>
      <c r="M6" s="178"/>
      <c r="N6" s="178">
        <f t="shared" si="0"/>
        <v>0</v>
      </c>
      <c r="O6" s="178"/>
      <c r="P6" s="178"/>
      <c r="Q6" s="178"/>
      <c r="R6" s="889">
        <f>P6*Q6</f>
        <v>0</v>
      </c>
      <c r="S6" s="890"/>
    </row>
    <row r="7" spans="2:19" s="122" customFormat="1" ht="18" customHeight="1">
      <c r="B7" s="850"/>
      <c r="C7" s="847"/>
      <c r="D7" s="178" t="s">
        <v>60</v>
      </c>
      <c r="E7" s="179"/>
      <c r="F7" s="178">
        <f>P22</f>
        <v>108939.15</v>
      </c>
      <c r="G7" s="166" t="s">
        <v>218</v>
      </c>
      <c r="H7" s="123"/>
      <c r="I7" s="123"/>
      <c r="J7" s="184"/>
      <c r="K7" s="181"/>
      <c r="L7" s="268"/>
      <c r="M7" s="178"/>
      <c r="N7" s="178">
        <f t="shared" si="0"/>
        <v>0</v>
      </c>
      <c r="O7" s="178"/>
      <c r="P7" s="178"/>
      <c r="Q7" s="178"/>
      <c r="R7" s="889">
        <f>P7*Q7</f>
        <v>0</v>
      </c>
      <c r="S7" s="890"/>
    </row>
    <row r="8" spans="2:19" s="122" customFormat="1" ht="18" customHeight="1">
      <c r="B8" s="850"/>
      <c r="C8" s="847"/>
      <c r="D8" s="178" t="s">
        <v>61</v>
      </c>
      <c r="E8" s="179"/>
      <c r="F8" s="178">
        <f>P28</f>
        <v>62280.01016666667</v>
      </c>
      <c r="G8" s="164" t="s">
        <v>219</v>
      </c>
      <c r="H8" s="162"/>
      <c r="I8" s="162"/>
      <c r="J8" s="185"/>
      <c r="K8" s="179"/>
      <c r="L8" s="178"/>
      <c r="M8" s="178"/>
      <c r="N8" s="178">
        <f t="shared" si="0"/>
        <v>0</v>
      </c>
      <c r="O8" s="178"/>
      <c r="P8" s="178"/>
      <c r="Q8" s="178"/>
      <c r="R8" s="889">
        <f>P8*Q8</f>
        <v>0</v>
      </c>
      <c r="S8" s="890"/>
    </row>
    <row r="9" spans="2:19" s="122" customFormat="1" ht="18" customHeight="1">
      <c r="B9" s="850"/>
      <c r="C9" s="847"/>
      <c r="D9" s="178" t="s">
        <v>92</v>
      </c>
      <c r="E9" s="179"/>
      <c r="F9" s="178">
        <f>P37</f>
        <v>35807.680799999995</v>
      </c>
      <c r="G9" s="164" t="s">
        <v>220</v>
      </c>
      <c r="H9" s="162"/>
      <c r="I9" s="162"/>
      <c r="J9" s="185"/>
      <c r="K9" s="179"/>
      <c r="L9" s="178"/>
      <c r="M9" s="178"/>
      <c r="N9" s="178">
        <f t="shared" si="0"/>
        <v>0</v>
      </c>
      <c r="O9" s="178"/>
      <c r="P9" s="178"/>
      <c r="Q9" s="178"/>
      <c r="R9" s="889">
        <f>P9*Q9</f>
        <v>0</v>
      </c>
      <c r="S9" s="890"/>
    </row>
    <row r="10" spans="2:19" s="122" customFormat="1" ht="18" customHeight="1">
      <c r="B10" s="850"/>
      <c r="C10" s="847"/>
      <c r="D10" s="178" t="s">
        <v>62</v>
      </c>
      <c r="E10" s="179"/>
      <c r="F10" s="178">
        <f>'８－１　水稲算出基礎（コシヒカリ）'!V21</f>
        <v>5806.666666666667</v>
      </c>
      <c r="G10" s="889" t="s">
        <v>221</v>
      </c>
      <c r="H10" s="891"/>
      <c r="I10" s="891"/>
      <c r="J10" s="890"/>
      <c r="K10" s="179"/>
      <c r="L10" s="178"/>
      <c r="M10" s="178"/>
      <c r="N10" s="178">
        <f t="shared" si="0"/>
        <v>0</v>
      </c>
      <c r="O10" s="178"/>
      <c r="P10" s="178"/>
      <c r="Q10" s="178"/>
      <c r="R10" s="889"/>
      <c r="S10" s="890"/>
    </row>
    <row r="11" spans="2:19" s="122" customFormat="1" ht="18" customHeight="1" thickBot="1">
      <c r="B11" s="850"/>
      <c r="C11" s="847"/>
      <c r="D11" s="178" t="s">
        <v>6</v>
      </c>
      <c r="E11" s="179"/>
      <c r="F11" s="178">
        <f>'８－１　水稲算出基礎（コシヒカリ）'!V34</f>
        <v>83.33333333333333</v>
      </c>
      <c r="G11" s="889" t="s">
        <v>221</v>
      </c>
      <c r="H11" s="891"/>
      <c r="I11" s="891"/>
      <c r="J11" s="890"/>
      <c r="K11" s="447"/>
      <c r="L11" s="180"/>
      <c r="M11" s="180"/>
      <c r="N11" s="178">
        <f t="shared" si="0"/>
        <v>0</v>
      </c>
      <c r="O11" s="448" t="s">
        <v>25</v>
      </c>
      <c r="P11" s="449">
        <f>SUM(L5:L11,P5:Q10)</f>
        <v>5100</v>
      </c>
      <c r="Q11" s="450">
        <f>R11/P11</f>
        <v>180</v>
      </c>
      <c r="R11" s="884">
        <f>SUM(N5:N11,R5:S10)</f>
        <v>918000</v>
      </c>
      <c r="S11" s="885"/>
    </row>
    <row r="12" spans="2:19" s="122" customFormat="1" ht="18" customHeight="1" thickTop="1">
      <c r="B12" s="850"/>
      <c r="C12" s="847"/>
      <c r="D12" s="178" t="s">
        <v>7</v>
      </c>
      <c r="E12" s="179"/>
      <c r="F12" s="178">
        <v>10800</v>
      </c>
      <c r="G12" s="164"/>
      <c r="H12" s="162" t="s">
        <v>429</v>
      </c>
      <c r="I12" s="162"/>
      <c r="J12" s="185"/>
      <c r="K12" s="900" t="s">
        <v>241</v>
      </c>
      <c r="L12" s="475" t="s">
        <v>183</v>
      </c>
      <c r="M12" s="172" t="s">
        <v>9</v>
      </c>
      <c r="N12" s="173" t="s">
        <v>286</v>
      </c>
      <c r="O12" s="173" t="s">
        <v>24</v>
      </c>
      <c r="P12" s="173" t="s">
        <v>27</v>
      </c>
      <c r="Q12" s="886" t="s">
        <v>28</v>
      </c>
      <c r="R12" s="887"/>
      <c r="S12" s="888"/>
    </row>
    <row r="13" spans="2:19" s="122" customFormat="1" ht="18" customHeight="1">
      <c r="B13" s="850"/>
      <c r="C13" s="847"/>
      <c r="D13" s="879" t="s">
        <v>63</v>
      </c>
      <c r="E13" s="178" t="s">
        <v>210</v>
      </c>
      <c r="F13" s="263">
        <f>'（参考）水稲資本装備'!L15*'７－１　水稲部門（コシヒカリ）収支'!H13</f>
        <v>7150.0344827586205</v>
      </c>
      <c r="G13" s="164" t="s">
        <v>216</v>
      </c>
      <c r="H13" s="451">
        <v>0.01</v>
      </c>
      <c r="I13" s="891" t="s">
        <v>222</v>
      </c>
      <c r="J13" s="890"/>
      <c r="K13" s="901"/>
      <c r="L13" s="174" t="s">
        <v>152</v>
      </c>
      <c r="M13" s="171" t="s">
        <v>175</v>
      </c>
      <c r="N13" s="128">
        <f>30*('１　対象経営の概要，２　前提条件'!AB26+'１　対象経営の概要，２　前提条件'!AM26)/('１　対象経営の概要，２　前提条件'!AB26+'１　対象経営の概要，２　前提条件'!AM26+'１　対象経営の概要，２　前提条件'!AB28)</f>
        <v>30</v>
      </c>
      <c r="O13" s="128">
        <v>590</v>
      </c>
      <c r="P13" s="128">
        <f>N13*O13</f>
        <v>17700</v>
      </c>
      <c r="Q13" s="892" t="s">
        <v>279</v>
      </c>
      <c r="R13" s="893"/>
      <c r="S13" s="894"/>
    </row>
    <row r="14" spans="2:19" s="122" customFormat="1" ht="18" customHeight="1">
      <c r="B14" s="850"/>
      <c r="C14" s="847"/>
      <c r="D14" s="880"/>
      <c r="E14" s="178" t="s">
        <v>211</v>
      </c>
      <c r="F14" s="178">
        <f>'（参考）水稲資本装備'!L51*'７－１　水稲部門（コシヒカリ）収支'!H14</f>
        <v>75832.22988505747</v>
      </c>
      <c r="G14" s="164" t="s">
        <v>216</v>
      </c>
      <c r="H14" s="451">
        <v>0.05</v>
      </c>
      <c r="I14" s="891" t="s">
        <v>222</v>
      </c>
      <c r="J14" s="890"/>
      <c r="K14" s="901"/>
      <c r="L14" s="174"/>
      <c r="M14" s="171" t="s">
        <v>175</v>
      </c>
      <c r="N14" s="128"/>
      <c r="O14" s="128"/>
      <c r="P14" s="128">
        <f>N14*O14</f>
        <v>0</v>
      </c>
      <c r="Q14" s="892"/>
      <c r="R14" s="893"/>
      <c r="S14" s="894"/>
    </row>
    <row r="15" spans="2:19" s="122" customFormat="1" ht="18" customHeight="1" thickBot="1">
      <c r="B15" s="850"/>
      <c r="C15" s="847"/>
      <c r="D15" s="879" t="s">
        <v>93</v>
      </c>
      <c r="E15" s="178" t="s">
        <v>210</v>
      </c>
      <c r="F15" s="178">
        <f>'（参考）水稲資本装備'!P15</f>
        <v>37498.96551724138</v>
      </c>
      <c r="G15" s="164" t="s">
        <v>222</v>
      </c>
      <c r="H15" s="162"/>
      <c r="I15" s="162"/>
      <c r="J15" s="185"/>
      <c r="K15" s="901"/>
      <c r="L15" s="452" t="s">
        <v>29</v>
      </c>
      <c r="M15" s="453"/>
      <c r="N15" s="452"/>
      <c r="O15" s="452"/>
      <c r="P15" s="452">
        <f>SUM(P13:P14)</f>
        <v>17700</v>
      </c>
      <c r="Q15" s="868"/>
      <c r="R15" s="869"/>
      <c r="S15" s="870"/>
    </row>
    <row r="16" spans="2:19" s="122" customFormat="1" ht="18" customHeight="1" thickTop="1">
      <c r="B16" s="850"/>
      <c r="C16" s="847"/>
      <c r="D16" s="881"/>
      <c r="E16" s="178" t="s">
        <v>211</v>
      </c>
      <c r="F16" s="178">
        <f>'（参考）水稲資本装備'!P51</f>
        <v>225491.1001642036</v>
      </c>
      <c r="G16" s="164" t="s">
        <v>222</v>
      </c>
      <c r="H16" s="162"/>
      <c r="I16" s="162"/>
      <c r="J16" s="185"/>
      <c r="K16" s="901"/>
      <c r="L16" s="476" t="s">
        <v>184</v>
      </c>
      <c r="M16" s="168"/>
      <c r="N16" s="169" t="s">
        <v>286</v>
      </c>
      <c r="O16" s="169" t="s">
        <v>24</v>
      </c>
      <c r="P16" s="170" t="s">
        <v>27</v>
      </c>
      <c r="Q16" s="873" t="s">
        <v>28</v>
      </c>
      <c r="R16" s="874"/>
      <c r="S16" s="875"/>
    </row>
    <row r="17" spans="2:19" s="122" customFormat="1" ht="18" customHeight="1">
      <c r="B17" s="850"/>
      <c r="C17" s="847"/>
      <c r="D17" s="880"/>
      <c r="E17" s="178" t="s">
        <v>64</v>
      </c>
      <c r="F17" s="178">
        <f>'（参考）水稲資本装備'!P56</f>
        <v>0</v>
      </c>
      <c r="G17" s="164" t="s">
        <v>222</v>
      </c>
      <c r="H17" s="162"/>
      <c r="I17" s="162"/>
      <c r="J17" s="185"/>
      <c r="K17" s="901"/>
      <c r="L17" s="166" t="s">
        <v>190</v>
      </c>
      <c r="M17" s="171"/>
      <c r="N17" s="164" t="s">
        <v>355</v>
      </c>
      <c r="O17" s="165"/>
      <c r="P17" s="164">
        <f>'８－１　水稲算出基礎（コシヒカリ）'!G7</f>
        <v>0</v>
      </c>
      <c r="Q17" s="868"/>
      <c r="R17" s="869"/>
      <c r="S17" s="870"/>
    </row>
    <row r="18" spans="1:19" s="122" customFormat="1" ht="18" customHeight="1">
      <c r="A18" s="442"/>
      <c r="B18" s="850"/>
      <c r="C18" s="847"/>
      <c r="D18" s="862" t="s">
        <v>291</v>
      </c>
      <c r="E18" s="182" t="s">
        <v>128</v>
      </c>
      <c r="F18" s="178">
        <v>0</v>
      </c>
      <c r="G18" s="164"/>
      <c r="H18" s="162"/>
      <c r="I18" s="162"/>
      <c r="J18" s="185"/>
      <c r="K18" s="901"/>
      <c r="L18" s="166" t="s">
        <v>188</v>
      </c>
      <c r="M18" s="171"/>
      <c r="N18" s="164" t="s">
        <v>305</v>
      </c>
      <c r="O18" s="165"/>
      <c r="P18" s="164">
        <f>'８－１　水稲算出基礎（コシヒカリ）'!G11</f>
        <v>38400</v>
      </c>
      <c r="Q18" s="868"/>
      <c r="R18" s="869"/>
      <c r="S18" s="870"/>
    </row>
    <row r="19" spans="1:19" s="122" customFormat="1" ht="18" customHeight="1">
      <c r="A19" s="442"/>
      <c r="B19" s="850"/>
      <c r="C19" s="847"/>
      <c r="D19" s="862"/>
      <c r="E19" s="182" t="s">
        <v>124</v>
      </c>
      <c r="F19" s="178">
        <f>J19*'５－１　水稲（食用米，加工用米）作業時間'!AO34</f>
        <v>37290.00000000001</v>
      </c>
      <c r="G19" s="164"/>
      <c r="H19" s="162"/>
      <c r="I19" s="195" t="s">
        <v>375</v>
      </c>
      <c r="J19" s="454">
        <v>1100</v>
      </c>
      <c r="K19" s="901"/>
      <c r="L19" s="164" t="s">
        <v>189</v>
      </c>
      <c r="M19" s="162"/>
      <c r="N19" s="164" t="s">
        <v>305</v>
      </c>
      <c r="O19" s="165"/>
      <c r="P19" s="164">
        <f>'８－１　水稲算出基礎（コシヒカリ）'!G16</f>
        <v>56175</v>
      </c>
      <c r="Q19" s="868"/>
      <c r="R19" s="869"/>
      <c r="S19" s="870"/>
    </row>
    <row r="20" spans="1:19" s="122" customFormat="1" ht="18" customHeight="1">
      <c r="A20" s="442"/>
      <c r="B20" s="850"/>
      <c r="C20" s="847"/>
      <c r="D20" s="862"/>
      <c r="E20" s="182" t="s">
        <v>125</v>
      </c>
      <c r="F20" s="178">
        <f>J20*'５－１　水稲（食用米，加工用米）作業時間'!AP34</f>
        <v>55800</v>
      </c>
      <c r="G20" s="164"/>
      <c r="H20" s="162"/>
      <c r="I20" s="195" t="s">
        <v>376</v>
      </c>
      <c r="J20" s="454">
        <v>900</v>
      </c>
      <c r="K20" s="901"/>
      <c r="L20" s="164"/>
      <c r="M20" s="162"/>
      <c r="N20" s="164"/>
      <c r="O20" s="165"/>
      <c r="P20" s="164">
        <f>'８－１　水稲算出基礎（コシヒカリ）'!G20</f>
        <v>0</v>
      </c>
      <c r="Q20" s="868"/>
      <c r="R20" s="869"/>
      <c r="S20" s="870"/>
    </row>
    <row r="21" spans="1:19" s="122" customFormat="1" ht="18" customHeight="1">
      <c r="A21" s="442"/>
      <c r="B21" s="850"/>
      <c r="C21" s="847"/>
      <c r="D21" s="862"/>
      <c r="E21" s="182" t="s">
        <v>126</v>
      </c>
      <c r="F21" s="178">
        <f>(F19+F20)*0.012</f>
        <v>1117.08</v>
      </c>
      <c r="G21" s="164"/>
      <c r="H21" s="162"/>
      <c r="I21" s="162"/>
      <c r="J21" s="185"/>
      <c r="K21" s="901"/>
      <c r="L21" s="164" t="s">
        <v>192</v>
      </c>
      <c r="M21" s="162"/>
      <c r="N21" s="164" t="s">
        <v>355</v>
      </c>
      <c r="O21" s="164"/>
      <c r="P21" s="164">
        <f>'８－１　水稲算出基礎（コシヒカリ）'!G24</f>
        <v>14364.15</v>
      </c>
      <c r="Q21" s="868"/>
      <c r="R21" s="869"/>
      <c r="S21" s="870"/>
    </row>
    <row r="22" spans="1:19" s="122" customFormat="1" ht="18" customHeight="1" thickBot="1">
      <c r="A22" s="442"/>
      <c r="B22" s="850"/>
      <c r="C22" s="847"/>
      <c r="D22" s="862" t="s">
        <v>65</v>
      </c>
      <c r="E22" s="182" t="s">
        <v>66</v>
      </c>
      <c r="F22" s="178">
        <f>I22*10</f>
        <v>23760</v>
      </c>
      <c r="G22" s="164"/>
      <c r="H22" s="162"/>
      <c r="I22" s="162">
        <v>2376</v>
      </c>
      <c r="J22" s="185" t="s">
        <v>374</v>
      </c>
      <c r="K22" s="901"/>
      <c r="L22" s="452" t="s">
        <v>29</v>
      </c>
      <c r="M22" s="453"/>
      <c r="N22" s="452"/>
      <c r="O22" s="452"/>
      <c r="P22" s="452">
        <f>SUM(P17:P21)</f>
        <v>108939.15</v>
      </c>
      <c r="Q22" s="868"/>
      <c r="R22" s="869"/>
      <c r="S22" s="870"/>
    </row>
    <row r="23" spans="1:19" s="122" customFormat="1" ht="18" customHeight="1" thickTop="1">
      <c r="A23" s="442"/>
      <c r="B23" s="850"/>
      <c r="C23" s="847"/>
      <c r="D23" s="862"/>
      <c r="E23" s="182" t="s">
        <v>94</v>
      </c>
      <c r="F23" s="178">
        <f>I23*10</f>
        <v>50000</v>
      </c>
      <c r="G23" s="164"/>
      <c r="H23" s="162"/>
      <c r="I23" s="162">
        <v>5000</v>
      </c>
      <c r="J23" s="185" t="s">
        <v>374</v>
      </c>
      <c r="K23" s="901"/>
      <c r="L23" s="164" t="s">
        <v>185</v>
      </c>
      <c r="M23" s="162"/>
      <c r="N23" s="163" t="s">
        <v>26</v>
      </c>
      <c r="O23" s="163" t="s">
        <v>24</v>
      </c>
      <c r="P23" s="163" t="s">
        <v>27</v>
      </c>
      <c r="Q23" s="873" t="s">
        <v>28</v>
      </c>
      <c r="R23" s="874"/>
      <c r="S23" s="875"/>
    </row>
    <row r="24" spans="1:19" s="122" customFormat="1" ht="18" customHeight="1">
      <c r="A24" s="442"/>
      <c r="B24" s="850"/>
      <c r="C24" s="847"/>
      <c r="D24" s="178" t="s">
        <v>67</v>
      </c>
      <c r="E24" s="179"/>
      <c r="F24" s="178">
        <f>I24*10</f>
        <v>30000</v>
      </c>
      <c r="G24" s="164"/>
      <c r="H24" s="162"/>
      <c r="I24" s="123">
        <v>3000</v>
      </c>
      <c r="J24" s="185" t="s">
        <v>374</v>
      </c>
      <c r="K24" s="901"/>
      <c r="L24" s="164" t="s">
        <v>30</v>
      </c>
      <c r="M24" s="162"/>
      <c r="N24" s="164" t="s">
        <v>357</v>
      </c>
      <c r="O24" s="164"/>
      <c r="P24" s="164">
        <f>'８－１　水稲算出基礎（コシヒカリ）'!G38</f>
        <v>5222.634</v>
      </c>
      <c r="Q24" s="868"/>
      <c r="R24" s="869"/>
      <c r="S24" s="870"/>
    </row>
    <row r="25" spans="1:19" s="122" customFormat="1" ht="18" customHeight="1">
      <c r="A25" s="442"/>
      <c r="B25" s="850"/>
      <c r="C25" s="847"/>
      <c r="D25" s="178" t="s">
        <v>187</v>
      </c>
      <c r="E25" s="179"/>
      <c r="F25" s="178">
        <f>SUM(F6:F24)/99</f>
        <v>7932.89142440331</v>
      </c>
      <c r="G25" s="186" t="s">
        <v>243</v>
      </c>
      <c r="H25" s="200">
        <v>0.01</v>
      </c>
      <c r="I25" s="123"/>
      <c r="J25" s="184"/>
      <c r="K25" s="901"/>
      <c r="L25" s="164" t="s">
        <v>358</v>
      </c>
      <c r="M25" s="162"/>
      <c r="N25" s="164" t="s">
        <v>305</v>
      </c>
      <c r="O25" s="164"/>
      <c r="P25" s="164">
        <f>'８－１　水稲算出基礎（コシヒカリ）'!G49</f>
        <v>4090.863</v>
      </c>
      <c r="Q25" s="868"/>
      <c r="R25" s="869"/>
      <c r="S25" s="870"/>
    </row>
    <row r="26" spans="1:19" s="122" customFormat="1" ht="18" customHeight="1">
      <c r="A26" s="442"/>
      <c r="B26" s="850"/>
      <c r="C26" s="848"/>
      <c r="D26" s="871" t="s">
        <v>234</v>
      </c>
      <c r="E26" s="872"/>
      <c r="F26" s="178">
        <f>SUM(F6:F25)</f>
        <v>793289.142440331</v>
      </c>
      <c r="G26" s="164"/>
      <c r="H26" s="123"/>
      <c r="I26" s="123"/>
      <c r="J26" s="184"/>
      <c r="K26" s="901"/>
      <c r="L26" s="164" t="s">
        <v>32</v>
      </c>
      <c r="M26" s="162"/>
      <c r="N26" s="164" t="s">
        <v>355</v>
      </c>
      <c r="O26" s="164"/>
      <c r="P26" s="164">
        <f>'８－１　水稲算出基礎（コシヒカリ）'!G53</f>
        <v>24330</v>
      </c>
      <c r="Q26" s="868"/>
      <c r="R26" s="869"/>
      <c r="S26" s="870"/>
    </row>
    <row r="27" spans="1:19" s="122" customFormat="1" ht="18" customHeight="1">
      <c r="A27" s="442"/>
      <c r="B27" s="850"/>
      <c r="C27" s="863" t="s">
        <v>217</v>
      </c>
      <c r="D27" s="784" t="s">
        <v>68</v>
      </c>
      <c r="E27" s="41" t="s">
        <v>3</v>
      </c>
      <c r="F27" s="178">
        <f>P11/30*J27</f>
        <v>13600</v>
      </c>
      <c r="G27" s="166"/>
      <c r="H27" s="162"/>
      <c r="I27" s="122" t="s">
        <v>381</v>
      </c>
      <c r="J27" s="265">
        <v>80</v>
      </c>
      <c r="K27" s="901"/>
      <c r="L27" s="164" t="s">
        <v>356</v>
      </c>
      <c r="M27" s="162"/>
      <c r="N27" s="164" t="s">
        <v>359</v>
      </c>
      <c r="O27" s="164"/>
      <c r="P27" s="164">
        <f>'８－１　水稲算出基礎（コシヒカリ）'!G57</f>
        <v>28636.513166666664</v>
      </c>
      <c r="Q27" s="868"/>
      <c r="R27" s="869"/>
      <c r="S27" s="870"/>
    </row>
    <row r="28" spans="1:19" s="122" customFormat="1" ht="18" customHeight="1" thickBot="1">
      <c r="A28" s="442"/>
      <c r="B28" s="850"/>
      <c r="C28" s="864"/>
      <c r="D28" s="785"/>
      <c r="E28" s="41" t="s">
        <v>4</v>
      </c>
      <c r="F28" s="199">
        <v>0</v>
      </c>
      <c r="G28" s="166"/>
      <c r="H28" s="187"/>
      <c r="I28" s="187"/>
      <c r="J28" s="188"/>
      <c r="K28" s="901"/>
      <c r="L28" s="452" t="s">
        <v>29</v>
      </c>
      <c r="M28" s="453"/>
      <c r="N28" s="452"/>
      <c r="O28" s="452"/>
      <c r="P28" s="452">
        <f>SUM(P24:P27)</f>
        <v>62280.01016666667</v>
      </c>
      <c r="Q28" s="868"/>
      <c r="R28" s="869"/>
      <c r="S28" s="870"/>
    </row>
    <row r="29" spans="1:19" s="122" customFormat="1" ht="18" customHeight="1" thickTop="1">
      <c r="A29" s="442"/>
      <c r="B29" s="850"/>
      <c r="C29" s="864"/>
      <c r="D29" s="786"/>
      <c r="E29" s="41" t="s">
        <v>8</v>
      </c>
      <c r="F29" s="178">
        <f>P11/30*J29</f>
        <v>4250</v>
      </c>
      <c r="G29" s="166"/>
      <c r="H29" s="123"/>
      <c r="I29" s="187" t="s">
        <v>382</v>
      </c>
      <c r="J29" s="266">
        <v>25</v>
      </c>
      <c r="K29" s="901"/>
      <c r="L29" s="164" t="s">
        <v>186</v>
      </c>
      <c r="M29" s="162"/>
      <c r="N29" s="163" t="s">
        <v>26</v>
      </c>
      <c r="O29" s="163" t="s">
        <v>24</v>
      </c>
      <c r="P29" s="163" t="s">
        <v>27</v>
      </c>
      <c r="Q29" s="873" t="s">
        <v>28</v>
      </c>
      <c r="R29" s="874"/>
      <c r="S29" s="875"/>
    </row>
    <row r="30" spans="1:19" s="122" customFormat="1" ht="18" customHeight="1">
      <c r="A30" s="442"/>
      <c r="B30" s="850"/>
      <c r="C30" s="864"/>
      <c r="D30" s="41" t="s">
        <v>69</v>
      </c>
      <c r="E30" s="42"/>
      <c r="F30" s="178">
        <v>0</v>
      </c>
      <c r="G30" s="166"/>
      <c r="H30" s="123"/>
      <c r="I30" s="187"/>
      <c r="J30" s="189"/>
      <c r="K30" s="901"/>
      <c r="L30" s="164" t="s">
        <v>176</v>
      </c>
      <c r="M30" s="162"/>
      <c r="N30" s="164" t="s">
        <v>360</v>
      </c>
      <c r="O30" s="165"/>
      <c r="P30" s="164">
        <f>'８－１　水稲算出基礎（コシヒカリ）'!N12</f>
        <v>9638.859999999999</v>
      </c>
      <c r="Q30" s="876"/>
      <c r="R30" s="877"/>
      <c r="S30" s="878"/>
    </row>
    <row r="31" spans="1:19" s="122" customFormat="1" ht="18" customHeight="1">
      <c r="A31" s="442"/>
      <c r="B31" s="850"/>
      <c r="C31" s="864"/>
      <c r="D31" s="787" t="s">
        <v>292</v>
      </c>
      <c r="E31" s="31" t="s">
        <v>128</v>
      </c>
      <c r="F31" s="199">
        <v>0</v>
      </c>
      <c r="G31" s="166"/>
      <c r="H31" s="190"/>
      <c r="I31" s="190"/>
      <c r="J31" s="191"/>
      <c r="K31" s="901"/>
      <c r="L31" s="164" t="s">
        <v>177</v>
      </c>
      <c r="M31" s="162"/>
      <c r="N31" s="164" t="s">
        <v>361</v>
      </c>
      <c r="O31" s="165"/>
      <c r="P31" s="164">
        <f>'８－１　水稲算出基礎（コシヒカリ）'!N16</f>
        <v>1463.6159999999998</v>
      </c>
      <c r="Q31" s="876"/>
      <c r="R31" s="877"/>
      <c r="S31" s="878"/>
    </row>
    <row r="32" spans="1:19" s="122" customFormat="1" ht="18" customHeight="1">
      <c r="A32" s="442"/>
      <c r="B32" s="850"/>
      <c r="C32" s="864"/>
      <c r="D32" s="787"/>
      <c r="E32" s="31" t="s">
        <v>127</v>
      </c>
      <c r="F32" s="199">
        <v>0</v>
      </c>
      <c r="G32" s="166"/>
      <c r="H32" s="192"/>
      <c r="I32" s="192"/>
      <c r="J32" s="193"/>
      <c r="K32" s="901"/>
      <c r="L32" s="164" t="s">
        <v>179</v>
      </c>
      <c r="M32" s="162"/>
      <c r="N32" s="165"/>
      <c r="O32" s="165"/>
      <c r="P32" s="164">
        <f>SUM(P30:P31)*R32</f>
        <v>3330.7427999999995</v>
      </c>
      <c r="Q32" s="166" t="s">
        <v>178</v>
      </c>
      <c r="R32" s="167">
        <v>0.3</v>
      </c>
      <c r="S32" s="124"/>
    </row>
    <row r="33" spans="2:19" ht="18" customHeight="1">
      <c r="B33" s="850"/>
      <c r="C33" s="864"/>
      <c r="D33" s="41" t="s">
        <v>70</v>
      </c>
      <c r="E33" s="42"/>
      <c r="F33" s="199">
        <v>0</v>
      </c>
      <c r="G33" s="166"/>
      <c r="H33" s="194"/>
      <c r="I33" s="195"/>
      <c r="J33" s="189"/>
      <c r="K33" s="901"/>
      <c r="L33" s="164" t="s">
        <v>180</v>
      </c>
      <c r="M33" s="162"/>
      <c r="N33" s="164"/>
      <c r="O33" s="165"/>
      <c r="P33" s="164">
        <f>'８－１　水稲算出基礎（コシヒカリ）'!N20</f>
        <v>0</v>
      </c>
      <c r="Q33" s="868"/>
      <c r="R33" s="869"/>
      <c r="S33" s="870"/>
    </row>
    <row r="34" spans="2:19" ht="18" customHeight="1">
      <c r="B34" s="850"/>
      <c r="C34" s="864"/>
      <c r="D34" s="41" t="s">
        <v>95</v>
      </c>
      <c r="E34" s="42"/>
      <c r="F34" s="199">
        <v>0</v>
      </c>
      <c r="G34" s="166"/>
      <c r="H34" s="196"/>
      <c r="I34" s="197"/>
      <c r="J34" s="198"/>
      <c r="K34" s="901"/>
      <c r="L34" s="164" t="s">
        <v>181</v>
      </c>
      <c r="M34" s="162"/>
      <c r="N34" s="164" t="s">
        <v>361</v>
      </c>
      <c r="O34" s="165"/>
      <c r="P34" s="164">
        <f>'８－１　水稲算出基礎（コシヒカリ）'!N24</f>
        <v>17563.242</v>
      </c>
      <c r="Q34" s="868"/>
      <c r="R34" s="869"/>
      <c r="S34" s="870"/>
    </row>
    <row r="35" spans="2:19" ht="18" customHeight="1">
      <c r="B35" s="850"/>
      <c r="C35" s="864"/>
      <c r="D35" s="41" t="s">
        <v>131</v>
      </c>
      <c r="E35" s="42"/>
      <c r="F35" s="199">
        <f>'８－１　水稲算出基礎（コシヒカリ）'!V57</f>
        <v>7952.777777777778</v>
      </c>
      <c r="G35" s="166" t="s">
        <v>221</v>
      </c>
      <c r="H35" s="236"/>
      <c r="I35" s="236"/>
      <c r="J35" s="237"/>
      <c r="K35" s="901"/>
      <c r="L35" s="164" t="s">
        <v>290</v>
      </c>
      <c r="M35" s="162"/>
      <c r="N35" s="164"/>
      <c r="O35" s="165"/>
      <c r="P35" s="164">
        <f>'８－１　水稲算出基礎（コシヒカリ）'!N28</f>
        <v>0</v>
      </c>
      <c r="Q35" s="868"/>
      <c r="R35" s="869"/>
      <c r="S35" s="870"/>
    </row>
    <row r="36" spans="2:19" ht="18" customHeight="1">
      <c r="B36" s="850"/>
      <c r="C36" s="864"/>
      <c r="D36" s="41" t="s">
        <v>96</v>
      </c>
      <c r="E36" s="42"/>
      <c r="F36" s="199">
        <v>0</v>
      </c>
      <c r="G36" s="164"/>
      <c r="H36" s="196"/>
      <c r="I36" s="197"/>
      <c r="J36" s="189"/>
      <c r="K36" s="901"/>
      <c r="L36" s="164" t="s">
        <v>182</v>
      </c>
      <c r="M36" s="162"/>
      <c r="N36" s="164" t="s">
        <v>362</v>
      </c>
      <c r="O36" s="165"/>
      <c r="P36" s="164">
        <f>'８－１　水稲算出基礎（コシヒカリ）'!N32</f>
        <v>3811.2200000000003</v>
      </c>
      <c r="Q36" s="868"/>
      <c r="R36" s="869"/>
      <c r="S36" s="870"/>
    </row>
    <row r="37" spans="2:19" ht="18" customHeight="1" thickBot="1">
      <c r="B37" s="850"/>
      <c r="C37" s="864"/>
      <c r="D37" s="41" t="s">
        <v>71</v>
      </c>
      <c r="E37" s="42"/>
      <c r="F37" s="199">
        <f>'８－１　水稲算出基礎（コシヒカリ）'!N57</f>
        <v>4131.101126436782</v>
      </c>
      <c r="G37" s="166" t="s">
        <v>221</v>
      </c>
      <c r="H37" s="236"/>
      <c r="I37" s="236"/>
      <c r="J37" s="237"/>
      <c r="K37" s="902"/>
      <c r="L37" s="455" t="s">
        <v>29</v>
      </c>
      <c r="M37" s="456"/>
      <c r="N37" s="455"/>
      <c r="O37" s="455"/>
      <c r="P37" s="455">
        <f>SUM(P30:P36)</f>
        <v>35807.680799999995</v>
      </c>
      <c r="Q37" s="903"/>
      <c r="R37" s="904"/>
      <c r="S37" s="905"/>
    </row>
    <row r="38" spans="1:10" s="457" customFormat="1" ht="18" customHeight="1">
      <c r="A38" s="442"/>
      <c r="B38" s="850"/>
      <c r="C38" s="864"/>
      <c r="D38" s="41" t="s">
        <v>0</v>
      </c>
      <c r="E38" s="42"/>
      <c r="F38" s="199">
        <v>0</v>
      </c>
      <c r="G38" s="166"/>
      <c r="H38" s="196"/>
      <c r="I38" s="197"/>
      <c r="J38" s="189"/>
    </row>
    <row r="39" spans="1:20" s="457" customFormat="1" ht="18" customHeight="1" thickBot="1">
      <c r="A39" s="442"/>
      <c r="B39" s="851"/>
      <c r="C39" s="865"/>
      <c r="D39" s="866" t="s">
        <v>233</v>
      </c>
      <c r="E39" s="867"/>
      <c r="F39" s="458">
        <f>SUM(F27:F38)</f>
        <v>29933.878904214558</v>
      </c>
      <c r="G39" s="459"/>
      <c r="H39" s="460"/>
      <c r="I39" s="461"/>
      <c r="J39" s="462"/>
      <c r="T39" s="365"/>
    </row>
    <row r="40" spans="1:23" s="457" customFormat="1" ht="18" customHeight="1">
      <c r="A40" s="442"/>
      <c r="B40" s="852" t="s">
        <v>237</v>
      </c>
      <c r="C40" s="855" t="s">
        <v>73</v>
      </c>
      <c r="D40" s="463" t="s">
        <v>130</v>
      </c>
      <c r="E40" s="464"/>
      <c r="F40" s="161">
        <f>J40*10</f>
        <v>75000</v>
      </c>
      <c r="G40" s="164"/>
      <c r="H40" s="841" t="s">
        <v>383</v>
      </c>
      <c r="I40" s="842"/>
      <c r="J40" s="466">
        <v>7500</v>
      </c>
      <c r="T40" s="122"/>
      <c r="U40" s="122"/>
      <c r="V40" s="122"/>
      <c r="W40" s="122"/>
    </row>
    <row r="41" spans="1:23" s="457" customFormat="1" ht="18" customHeight="1">
      <c r="A41" s="442"/>
      <c r="B41" s="853"/>
      <c r="C41" s="856"/>
      <c r="D41" s="41" t="s">
        <v>129</v>
      </c>
      <c r="E41" s="42"/>
      <c r="F41" s="158">
        <v>0</v>
      </c>
      <c r="G41" s="164"/>
      <c r="H41" s="467"/>
      <c r="I41" s="467"/>
      <c r="J41" s="468"/>
      <c r="T41" s="469"/>
      <c r="U41" s="447"/>
      <c r="V41" s="470"/>
      <c r="W41" s="469"/>
    </row>
    <row r="42" spans="1:23" s="457" customFormat="1" ht="18" customHeight="1">
      <c r="A42" s="442"/>
      <c r="B42" s="853"/>
      <c r="C42" s="857"/>
      <c r="D42" s="41" t="s">
        <v>72</v>
      </c>
      <c r="E42" s="42"/>
      <c r="F42" s="159">
        <v>0</v>
      </c>
      <c r="G42" s="164"/>
      <c r="H42" s="467"/>
      <c r="I42" s="467"/>
      <c r="J42" s="468"/>
      <c r="T42" s="122"/>
      <c r="U42" s="122"/>
      <c r="V42" s="122"/>
      <c r="W42" s="122"/>
    </row>
    <row r="43" spans="2:23" s="457" customFormat="1" ht="18" customHeight="1">
      <c r="B43" s="853"/>
      <c r="C43" s="857" t="s">
        <v>236</v>
      </c>
      <c r="D43" s="41" t="s">
        <v>293</v>
      </c>
      <c r="E43" s="42"/>
      <c r="F43" s="159">
        <v>0</v>
      </c>
      <c r="G43" s="164"/>
      <c r="H43" s="467"/>
      <c r="I43" s="467"/>
      <c r="J43" s="468"/>
      <c r="T43" s="416"/>
      <c r="U43" s="365"/>
      <c r="V43" s="122"/>
      <c r="W43" s="469"/>
    </row>
    <row r="44" spans="2:23" s="457" customFormat="1" ht="18" customHeight="1">
      <c r="B44" s="853"/>
      <c r="C44" s="858"/>
      <c r="D44" s="43" t="s">
        <v>1</v>
      </c>
      <c r="E44" s="44"/>
      <c r="F44" s="159">
        <v>0</v>
      </c>
      <c r="G44" s="164"/>
      <c r="H44" s="467"/>
      <c r="I44" s="467"/>
      <c r="J44" s="468"/>
      <c r="T44" s="416"/>
      <c r="U44" s="365"/>
      <c r="V44" s="122"/>
      <c r="W44" s="469"/>
    </row>
    <row r="45" spans="2:23" s="457" customFormat="1" ht="18" customHeight="1" thickBot="1">
      <c r="B45" s="854"/>
      <c r="C45" s="859" t="s">
        <v>98</v>
      </c>
      <c r="D45" s="860"/>
      <c r="E45" s="861"/>
      <c r="F45" s="477">
        <f>SUM(F40:F42)-SUM(F43:F44)</f>
        <v>75000</v>
      </c>
      <c r="G45" s="471"/>
      <c r="H45" s="472"/>
      <c r="I45" s="472"/>
      <c r="J45" s="473"/>
      <c r="T45" s="122"/>
      <c r="U45" s="122"/>
      <c r="V45" s="447"/>
      <c r="W45" s="122"/>
    </row>
    <row r="49" spans="4:6" ht="13.5">
      <c r="D49" s="442" t="s">
        <v>365</v>
      </c>
      <c r="F49" s="442">
        <f>F4-F26</f>
        <v>124710.85755966895</v>
      </c>
    </row>
  </sheetData>
  <sheetProtection/>
  <mergeCells count="57">
    <mergeCell ref="Q19:S19"/>
    <mergeCell ref="Q36:S36"/>
    <mergeCell ref="Q37:S37"/>
    <mergeCell ref="G11:J11"/>
    <mergeCell ref="Q33:S33"/>
    <mergeCell ref="Q34:S34"/>
    <mergeCell ref="Q22:S22"/>
    <mergeCell ref="Q23:S23"/>
    <mergeCell ref="Q13:S13"/>
    <mergeCell ref="Q17:S17"/>
    <mergeCell ref="Q18:S18"/>
    <mergeCell ref="Q31:S31"/>
    <mergeCell ref="Q35:S35"/>
    <mergeCell ref="I14:J14"/>
    <mergeCell ref="K12:K37"/>
    <mergeCell ref="Q20:S20"/>
    <mergeCell ref="Q24:S24"/>
    <mergeCell ref="Q25:S25"/>
    <mergeCell ref="Q26:S26"/>
    <mergeCell ref="Q16:S16"/>
    <mergeCell ref="R9:S9"/>
    <mergeCell ref="K3:S3"/>
    <mergeCell ref="R6:S6"/>
    <mergeCell ref="R7:S7"/>
    <mergeCell ref="R8:S8"/>
    <mergeCell ref="R4:S4"/>
    <mergeCell ref="R5:S5"/>
    <mergeCell ref="Q30:S30"/>
    <mergeCell ref="D13:D14"/>
    <mergeCell ref="D15:D17"/>
    <mergeCell ref="B4:C5"/>
    <mergeCell ref="R11:S11"/>
    <mergeCell ref="Q12:S12"/>
    <mergeCell ref="R10:S10"/>
    <mergeCell ref="I13:J13"/>
    <mergeCell ref="G10:J10"/>
    <mergeCell ref="Q14:S14"/>
    <mergeCell ref="C27:C39"/>
    <mergeCell ref="D27:D29"/>
    <mergeCell ref="D31:D32"/>
    <mergeCell ref="D39:E39"/>
    <mergeCell ref="Q15:S15"/>
    <mergeCell ref="Q21:S21"/>
    <mergeCell ref="D26:E26"/>
    <mergeCell ref="Q27:S27"/>
    <mergeCell ref="Q28:S28"/>
    <mergeCell ref="Q29:S29"/>
    <mergeCell ref="H40:I40"/>
    <mergeCell ref="B3:E3"/>
    <mergeCell ref="C6:C26"/>
    <mergeCell ref="B6:B39"/>
    <mergeCell ref="B40:B45"/>
    <mergeCell ref="C40:C42"/>
    <mergeCell ref="C43:C44"/>
    <mergeCell ref="C45:E45"/>
    <mergeCell ref="D18:D21"/>
    <mergeCell ref="D22:D2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5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1" sqref="A1"/>
    </sheetView>
  </sheetViews>
  <sheetFormatPr defaultColWidth="10.875" defaultRowHeight="13.5"/>
  <cols>
    <col min="1" max="1" width="1.625" style="442" customWidth="1"/>
    <col min="2" max="2" width="5.875" style="442" customWidth="1"/>
    <col min="3" max="3" width="10.625" style="442" customWidth="1"/>
    <col min="4" max="4" width="12.375" style="442" customWidth="1"/>
    <col min="5" max="5" width="14.625" style="442" customWidth="1"/>
    <col min="6" max="7" width="15.875" style="442" customWidth="1"/>
    <col min="8" max="8" width="10.875" style="442" customWidth="1"/>
    <col min="9" max="9" width="11.375" style="442" bestFit="1" customWidth="1"/>
    <col min="10" max="10" width="13.375" style="442" customWidth="1"/>
    <col min="11" max="11" width="7.125" style="442" customWidth="1"/>
    <col min="12" max="12" width="15.375" style="442" customWidth="1"/>
    <col min="13" max="13" width="9.375" style="442" bestFit="1" customWidth="1"/>
    <col min="14" max="14" width="10.875" style="442" customWidth="1"/>
    <col min="15" max="15" width="7.25390625" style="442" customWidth="1"/>
    <col min="16" max="16" width="9.625" style="442" customWidth="1"/>
    <col min="17" max="17" width="10.875" style="442" customWidth="1"/>
    <col min="18" max="18" width="7.50390625" style="442" customWidth="1"/>
    <col min="19" max="19" width="3.75390625" style="442" customWidth="1"/>
    <col min="20" max="16384" width="10.875" style="442" customWidth="1"/>
  </cols>
  <sheetData>
    <row r="1" spans="2:19" s="122" customFormat="1" ht="9.75" customHeight="1"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2:15" s="122" customFormat="1" ht="24.75" customHeight="1" thickBot="1">
      <c r="B2" s="122" t="s">
        <v>454</v>
      </c>
      <c r="H2" s="416" t="s">
        <v>280</v>
      </c>
      <c r="I2" s="122" t="s">
        <v>455</v>
      </c>
      <c r="K2" s="416" t="s">
        <v>281</v>
      </c>
      <c r="L2" s="122" t="s">
        <v>283</v>
      </c>
      <c r="N2" s="442"/>
      <c r="O2" s="442"/>
    </row>
    <row r="3" spans="2:19" s="122" customFormat="1" ht="18" customHeight="1">
      <c r="B3" s="843" t="s">
        <v>20</v>
      </c>
      <c r="C3" s="844"/>
      <c r="D3" s="844"/>
      <c r="E3" s="845"/>
      <c r="F3" s="443" t="s">
        <v>21</v>
      </c>
      <c r="G3" s="444"/>
      <c r="H3" s="383" t="s">
        <v>22</v>
      </c>
      <c r="I3" s="445"/>
      <c r="J3" s="445"/>
      <c r="K3" s="895" t="s">
        <v>242</v>
      </c>
      <c r="L3" s="896"/>
      <c r="M3" s="896"/>
      <c r="N3" s="896"/>
      <c r="O3" s="896"/>
      <c r="P3" s="896"/>
      <c r="Q3" s="896"/>
      <c r="R3" s="896"/>
      <c r="S3" s="897"/>
    </row>
    <row r="4" spans="2:19" s="122" customFormat="1" ht="18" customHeight="1">
      <c r="B4" s="882" t="s">
        <v>23</v>
      </c>
      <c r="C4" s="883"/>
      <c r="D4" s="166" t="s">
        <v>235</v>
      </c>
      <c r="E4" s="183"/>
      <c r="F4" s="178">
        <f>+R11</f>
        <v>858000</v>
      </c>
      <c r="G4" s="166" t="s">
        <v>214</v>
      </c>
      <c r="H4" s="123"/>
      <c r="I4" s="123"/>
      <c r="J4" s="123"/>
      <c r="K4" s="175" t="s">
        <v>57</v>
      </c>
      <c r="L4" s="176" t="s">
        <v>287</v>
      </c>
      <c r="M4" s="176" t="s">
        <v>24</v>
      </c>
      <c r="N4" s="176" t="s">
        <v>23</v>
      </c>
      <c r="O4" s="176" t="s">
        <v>57</v>
      </c>
      <c r="P4" s="176" t="s">
        <v>287</v>
      </c>
      <c r="Q4" s="176" t="s">
        <v>24</v>
      </c>
      <c r="R4" s="898" t="s">
        <v>23</v>
      </c>
      <c r="S4" s="899"/>
    </row>
    <row r="5" spans="2:19" s="122" customFormat="1" ht="18" customHeight="1">
      <c r="B5" s="882"/>
      <c r="C5" s="883"/>
      <c r="D5" s="166" t="s">
        <v>91</v>
      </c>
      <c r="E5" s="183"/>
      <c r="F5" s="178">
        <v>0</v>
      </c>
      <c r="G5" s="164"/>
      <c r="H5" s="162"/>
      <c r="I5" s="162"/>
      <c r="J5" s="162"/>
      <c r="K5" s="177" t="s">
        <v>420</v>
      </c>
      <c r="L5" s="178">
        <f>6000*('１　対象経営の概要，２　前提条件'!AM27)/('１　対象経営の概要，２　前提条件'!AB27+'１　対象経営の概要，２　前提条件'!AM27)</f>
        <v>6000</v>
      </c>
      <c r="M5" s="178">
        <v>143</v>
      </c>
      <c r="N5" s="178">
        <f aca="true" t="shared" si="0" ref="N5:N11">L5*M5</f>
        <v>858000</v>
      </c>
      <c r="O5" s="178"/>
      <c r="P5" s="178"/>
      <c r="Q5" s="178"/>
      <c r="R5" s="889">
        <f>P5*Q5</f>
        <v>0</v>
      </c>
      <c r="S5" s="890"/>
    </row>
    <row r="6" spans="2:19" s="122" customFormat="1" ht="18" customHeight="1">
      <c r="B6" s="849" t="s">
        <v>240</v>
      </c>
      <c r="C6" s="846" t="s">
        <v>226</v>
      </c>
      <c r="D6" s="178" t="s">
        <v>59</v>
      </c>
      <c r="E6" s="179"/>
      <c r="F6" s="178">
        <f>P15</f>
        <v>16500</v>
      </c>
      <c r="G6" s="164" t="s">
        <v>215</v>
      </c>
      <c r="H6" s="162"/>
      <c r="I6" s="162"/>
      <c r="J6" s="162"/>
      <c r="K6" s="474"/>
      <c r="L6" s="180"/>
      <c r="M6" s="178"/>
      <c r="N6" s="178">
        <f t="shared" si="0"/>
        <v>0</v>
      </c>
      <c r="O6" s="178"/>
      <c r="P6" s="178"/>
      <c r="Q6" s="178"/>
      <c r="R6" s="889">
        <f>P6*Q6</f>
        <v>0</v>
      </c>
      <c r="S6" s="890"/>
    </row>
    <row r="7" spans="2:19" s="122" customFormat="1" ht="18" customHeight="1">
      <c r="B7" s="850"/>
      <c r="C7" s="847"/>
      <c r="D7" s="178" t="s">
        <v>60</v>
      </c>
      <c r="E7" s="179"/>
      <c r="F7" s="178">
        <f>P22</f>
        <v>132764.15</v>
      </c>
      <c r="G7" s="166" t="s">
        <v>366</v>
      </c>
      <c r="H7" s="123"/>
      <c r="I7" s="123"/>
      <c r="J7" s="184"/>
      <c r="K7" s="181"/>
      <c r="L7" s="182"/>
      <c r="M7" s="178"/>
      <c r="N7" s="178">
        <f t="shared" si="0"/>
        <v>0</v>
      </c>
      <c r="O7" s="178"/>
      <c r="P7" s="178"/>
      <c r="Q7" s="178"/>
      <c r="R7" s="889">
        <f>P7*Q7</f>
        <v>0</v>
      </c>
      <c r="S7" s="890"/>
    </row>
    <row r="8" spans="2:19" s="122" customFormat="1" ht="18" customHeight="1">
      <c r="B8" s="850"/>
      <c r="C8" s="847"/>
      <c r="D8" s="178" t="s">
        <v>61</v>
      </c>
      <c r="E8" s="179"/>
      <c r="F8" s="178">
        <f>P28</f>
        <v>62280.01016666667</v>
      </c>
      <c r="G8" s="164" t="s">
        <v>367</v>
      </c>
      <c r="H8" s="162"/>
      <c r="I8" s="162"/>
      <c r="J8" s="185"/>
      <c r="K8" s="179"/>
      <c r="L8" s="178"/>
      <c r="M8" s="178"/>
      <c r="N8" s="178">
        <f t="shared" si="0"/>
        <v>0</v>
      </c>
      <c r="O8" s="178"/>
      <c r="P8" s="178"/>
      <c r="Q8" s="178"/>
      <c r="R8" s="889">
        <f>P8*Q8</f>
        <v>0</v>
      </c>
      <c r="S8" s="890"/>
    </row>
    <row r="9" spans="2:19" s="122" customFormat="1" ht="18" customHeight="1">
      <c r="B9" s="850"/>
      <c r="C9" s="847"/>
      <c r="D9" s="178" t="s">
        <v>92</v>
      </c>
      <c r="E9" s="179"/>
      <c r="F9" s="178">
        <f>P37</f>
        <v>35807.680799999995</v>
      </c>
      <c r="G9" s="164" t="s">
        <v>368</v>
      </c>
      <c r="H9" s="162"/>
      <c r="I9" s="162"/>
      <c r="J9" s="185"/>
      <c r="K9" s="179"/>
      <c r="L9" s="178"/>
      <c r="M9" s="178"/>
      <c r="N9" s="178">
        <f t="shared" si="0"/>
        <v>0</v>
      </c>
      <c r="O9" s="178"/>
      <c r="P9" s="178"/>
      <c r="Q9" s="178"/>
      <c r="R9" s="889">
        <f>P9*Q9</f>
        <v>0</v>
      </c>
      <c r="S9" s="890"/>
    </row>
    <row r="10" spans="2:19" s="122" customFormat="1" ht="18" customHeight="1">
      <c r="B10" s="850"/>
      <c r="C10" s="847"/>
      <c r="D10" s="178" t="s">
        <v>62</v>
      </c>
      <c r="E10" s="179"/>
      <c r="F10" s="178">
        <f>'８－２　水稲算出基礎（こいもみじ） '!V21</f>
        <v>5806.666666666667</v>
      </c>
      <c r="G10" s="889" t="s">
        <v>221</v>
      </c>
      <c r="H10" s="891"/>
      <c r="I10" s="891"/>
      <c r="J10" s="890"/>
      <c r="K10" s="179"/>
      <c r="L10" s="178"/>
      <c r="M10" s="178"/>
      <c r="N10" s="178">
        <f t="shared" si="0"/>
        <v>0</v>
      </c>
      <c r="O10" s="178"/>
      <c r="P10" s="178"/>
      <c r="Q10" s="178"/>
      <c r="R10" s="889"/>
      <c r="S10" s="890"/>
    </row>
    <row r="11" spans="2:19" s="122" customFormat="1" ht="18" customHeight="1" thickBot="1">
      <c r="B11" s="850"/>
      <c r="C11" s="847"/>
      <c r="D11" s="178" t="s">
        <v>6</v>
      </c>
      <c r="E11" s="179"/>
      <c r="F11" s="178">
        <f>'８－２　水稲算出基礎（こいもみじ） '!V34</f>
        <v>83.33333333333333</v>
      </c>
      <c r="G11" s="889" t="s">
        <v>221</v>
      </c>
      <c r="H11" s="891"/>
      <c r="I11" s="891"/>
      <c r="J11" s="890"/>
      <c r="K11" s="447"/>
      <c r="L11" s="180"/>
      <c r="M11" s="180"/>
      <c r="N11" s="178">
        <f t="shared" si="0"/>
        <v>0</v>
      </c>
      <c r="O11" s="448" t="s">
        <v>25</v>
      </c>
      <c r="P11" s="449">
        <f>SUM(L5:L11,P5:Q10)</f>
        <v>6000</v>
      </c>
      <c r="Q11" s="450">
        <f>R11/P11</f>
        <v>143</v>
      </c>
      <c r="R11" s="884">
        <f>SUM(N5:N11,R5:S10)</f>
        <v>858000</v>
      </c>
      <c r="S11" s="885"/>
    </row>
    <row r="12" spans="2:19" s="122" customFormat="1" ht="18" customHeight="1" thickTop="1">
      <c r="B12" s="850"/>
      <c r="C12" s="847"/>
      <c r="D12" s="178" t="s">
        <v>7</v>
      </c>
      <c r="E12" s="179"/>
      <c r="F12" s="178">
        <v>10800</v>
      </c>
      <c r="G12" s="164"/>
      <c r="H12" s="162" t="s">
        <v>429</v>
      </c>
      <c r="I12" s="162"/>
      <c r="J12" s="185"/>
      <c r="K12" s="900" t="s">
        <v>241</v>
      </c>
      <c r="L12" s="475" t="s">
        <v>183</v>
      </c>
      <c r="M12" s="172" t="s">
        <v>9</v>
      </c>
      <c r="N12" s="173" t="s">
        <v>286</v>
      </c>
      <c r="O12" s="173" t="s">
        <v>24</v>
      </c>
      <c r="P12" s="173" t="s">
        <v>27</v>
      </c>
      <c r="Q12" s="886" t="s">
        <v>28</v>
      </c>
      <c r="R12" s="887"/>
      <c r="S12" s="888"/>
    </row>
    <row r="13" spans="2:19" s="122" customFormat="1" ht="18" customHeight="1">
      <c r="B13" s="850"/>
      <c r="C13" s="847"/>
      <c r="D13" s="879" t="s">
        <v>63</v>
      </c>
      <c r="E13" s="178" t="s">
        <v>210</v>
      </c>
      <c r="F13" s="178">
        <f>'（参考）水稲資本装備'!L15*'７－２　水稲部門（こいもみじ）収支 '!H13</f>
        <v>7150.0344827586205</v>
      </c>
      <c r="G13" s="164" t="s">
        <v>216</v>
      </c>
      <c r="H13" s="451">
        <v>0.01</v>
      </c>
      <c r="I13" s="891" t="s">
        <v>222</v>
      </c>
      <c r="J13" s="890"/>
      <c r="K13" s="901"/>
      <c r="L13" s="174" t="s">
        <v>406</v>
      </c>
      <c r="M13" s="171" t="s">
        <v>175</v>
      </c>
      <c r="N13" s="128">
        <f>30*('１　対象経営の概要，２　前提条件'!AM27)/('１　対象経営の概要，２　前提条件'!AB27+'１　対象経営の概要，２　前提条件'!AM27)</f>
        <v>30</v>
      </c>
      <c r="O13" s="128">
        <v>550</v>
      </c>
      <c r="P13" s="128">
        <f>N13*O13</f>
        <v>16500</v>
      </c>
      <c r="Q13" s="892" t="s">
        <v>279</v>
      </c>
      <c r="R13" s="893"/>
      <c r="S13" s="894"/>
    </row>
    <row r="14" spans="2:19" s="122" customFormat="1" ht="18" customHeight="1">
      <c r="B14" s="850"/>
      <c r="C14" s="847"/>
      <c r="D14" s="880"/>
      <c r="E14" s="178" t="s">
        <v>211</v>
      </c>
      <c r="F14" s="178">
        <f>'（参考）水稲資本装備'!L51*'７－２　水稲部門（こいもみじ）収支 '!H14</f>
        <v>75832.22988505747</v>
      </c>
      <c r="G14" s="164" t="s">
        <v>216</v>
      </c>
      <c r="H14" s="451">
        <v>0.05</v>
      </c>
      <c r="I14" s="891" t="s">
        <v>222</v>
      </c>
      <c r="J14" s="890"/>
      <c r="K14" s="901"/>
      <c r="L14" s="174"/>
      <c r="M14" s="171" t="s">
        <v>175</v>
      </c>
      <c r="N14" s="128"/>
      <c r="O14" s="128"/>
      <c r="P14" s="128">
        <f>N14*O14</f>
        <v>0</v>
      </c>
      <c r="Q14" s="892"/>
      <c r="R14" s="893"/>
      <c r="S14" s="894"/>
    </row>
    <row r="15" spans="2:19" s="122" customFormat="1" ht="18" customHeight="1" thickBot="1">
      <c r="B15" s="850"/>
      <c r="C15" s="847"/>
      <c r="D15" s="879" t="s">
        <v>93</v>
      </c>
      <c r="E15" s="178" t="s">
        <v>210</v>
      </c>
      <c r="F15" s="178">
        <f>'（参考）水稲資本装備'!P15</f>
        <v>37498.96551724138</v>
      </c>
      <c r="G15" s="164" t="s">
        <v>222</v>
      </c>
      <c r="H15" s="162"/>
      <c r="I15" s="162"/>
      <c r="J15" s="185"/>
      <c r="K15" s="901"/>
      <c r="L15" s="452" t="s">
        <v>29</v>
      </c>
      <c r="M15" s="453"/>
      <c r="N15" s="452"/>
      <c r="O15" s="452"/>
      <c r="P15" s="452">
        <f>SUM(P13:P14)</f>
        <v>16500</v>
      </c>
      <c r="Q15" s="868"/>
      <c r="R15" s="869"/>
      <c r="S15" s="870"/>
    </row>
    <row r="16" spans="2:19" s="122" customFormat="1" ht="18" customHeight="1" thickTop="1">
      <c r="B16" s="850"/>
      <c r="C16" s="847"/>
      <c r="D16" s="881"/>
      <c r="E16" s="178" t="s">
        <v>211</v>
      </c>
      <c r="F16" s="178">
        <f>'（参考）水稲資本装備'!P51</f>
        <v>225491.1001642036</v>
      </c>
      <c r="G16" s="164" t="s">
        <v>222</v>
      </c>
      <c r="H16" s="162"/>
      <c r="I16" s="162"/>
      <c r="J16" s="185"/>
      <c r="K16" s="901"/>
      <c r="L16" s="476" t="s">
        <v>184</v>
      </c>
      <c r="M16" s="168"/>
      <c r="N16" s="169" t="s">
        <v>286</v>
      </c>
      <c r="O16" s="169" t="s">
        <v>24</v>
      </c>
      <c r="P16" s="170" t="s">
        <v>27</v>
      </c>
      <c r="Q16" s="873" t="s">
        <v>28</v>
      </c>
      <c r="R16" s="874"/>
      <c r="S16" s="875"/>
    </row>
    <row r="17" spans="2:19" s="122" customFormat="1" ht="18" customHeight="1">
      <c r="B17" s="850"/>
      <c r="C17" s="847"/>
      <c r="D17" s="880"/>
      <c r="E17" s="178" t="s">
        <v>64</v>
      </c>
      <c r="F17" s="178">
        <f>'（参考）水稲資本装備'!P56</f>
        <v>0</v>
      </c>
      <c r="G17" s="164" t="s">
        <v>222</v>
      </c>
      <c r="H17" s="162"/>
      <c r="I17" s="162"/>
      <c r="J17" s="185"/>
      <c r="K17" s="901"/>
      <c r="L17" s="166" t="s">
        <v>190</v>
      </c>
      <c r="M17" s="171"/>
      <c r="N17" s="164" t="s">
        <v>355</v>
      </c>
      <c r="O17" s="165"/>
      <c r="P17" s="164">
        <f>'８－２　水稲算出基礎（こいもみじ） '!G7</f>
        <v>0</v>
      </c>
      <c r="Q17" s="868"/>
      <c r="R17" s="869"/>
      <c r="S17" s="870"/>
    </row>
    <row r="18" spans="1:19" s="122" customFormat="1" ht="18" customHeight="1">
      <c r="A18" s="442"/>
      <c r="B18" s="850"/>
      <c r="C18" s="847"/>
      <c r="D18" s="862" t="s">
        <v>291</v>
      </c>
      <c r="E18" s="182" t="s">
        <v>128</v>
      </c>
      <c r="F18" s="178">
        <v>0</v>
      </c>
      <c r="G18" s="164"/>
      <c r="H18" s="162"/>
      <c r="I18" s="162"/>
      <c r="J18" s="185"/>
      <c r="K18" s="901"/>
      <c r="L18" s="166" t="s">
        <v>188</v>
      </c>
      <c r="M18" s="171"/>
      <c r="N18" s="164" t="s">
        <v>305</v>
      </c>
      <c r="O18" s="165"/>
      <c r="P18" s="164">
        <f>'８－２　水稲算出基礎（こいもみじ） '!G11</f>
        <v>38400</v>
      </c>
      <c r="Q18" s="868"/>
      <c r="R18" s="869"/>
      <c r="S18" s="870"/>
    </row>
    <row r="19" spans="1:19" s="122" customFormat="1" ht="18" customHeight="1">
      <c r="A19" s="442"/>
      <c r="B19" s="850"/>
      <c r="C19" s="847"/>
      <c r="D19" s="862"/>
      <c r="E19" s="182" t="s">
        <v>124</v>
      </c>
      <c r="F19" s="178">
        <f>J19*'５－１　水稲（食用米，加工用米）作業時間'!AO34</f>
        <v>37290.00000000001</v>
      </c>
      <c r="G19" s="164"/>
      <c r="H19" s="162"/>
      <c r="I19" s="195" t="s">
        <v>375</v>
      </c>
      <c r="J19" s="454">
        <v>1100</v>
      </c>
      <c r="K19" s="901"/>
      <c r="L19" s="164" t="s">
        <v>189</v>
      </c>
      <c r="M19" s="162"/>
      <c r="N19" s="164" t="s">
        <v>305</v>
      </c>
      <c r="O19" s="165"/>
      <c r="P19" s="164">
        <f>'８－２　水稲算出基礎（こいもみじ） '!G16</f>
        <v>80000</v>
      </c>
      <c r="Q19" s="868"/>
      <c r="R19" s="869"/>
      <c r="S19" s="870"/>
    </row>
    <row r="20" spans="1:19" s="122" customFormat="1" ht="18" customHeight="1">
      <c r="A20" s="442"/>
      <c r="B20" s="850"/>
      <c r="C20" s="847"/>
      <c r="D20" s="862"/>
      <c r="E20" s="182" t="s">
        <v>125</v>
      </c>
      <c r="F20" s="178">
        <f>J20*'５－１　水稲（食用米，加工用米）作業時間'!AP34</f>
        <v>55800</v>
      </c>
      <c r="G20" s="164"/>
      <c r="H20" s="162"/>
      <c r="I20" s="195" t="s">
        <v>376</v>
      </c>
      <c r="J20" s="454">
        <v>900</v>
      </c>
      <c r="K20" s="901"/>
      <c r="L20" s="164"/>
      <c r="M20" s="162"/>
      <c r="N20" s="164"/>
      <c r="O20" s="165"/>
      <c r="P20" s="164">
        <f>'８－２　水稲算出基礎（こいもみじ） '!G20</f>
        <v>0</v>
      </c>
      <c r="Q20" s="868"/>
      <c r="R20" s="869"/>
      <c r="S20" s="870"/>
    </row>
    <row r="21" spans="1:19" s="122" customFormat="1" ht="18" customHeight="1">
      <c r="A21" s="442"/>
      <c r="B21" s="850"/>
      <c r="C21" s="847"/>
      <c r="D21" s="862"/>
      <c r="E21" s="182" t="s">
        <v>126</v>
      </c>
      <c r="F21" s="178">
        <f>(F19+F20)*0.012</f>
        <v>1117.08</v>
      </c>
      <c r="G21" s="164"/>
      <c r="H21" s="162"/>
      <c r="I21" s="162"/>
      <c r="J21" s="185"/>
      <c r="K21" s="901"/>
      <c r="L21" s="164" t="s">
        <v>192</v>
      </c>
      <c r="M21" s="162"/>
      <c r="N21" s="164" t="s">
        <v>355</v>
      </c>
      <c r="O21" s="164"/>
      <c r="P21" s="164">
        <f>'８－２　水稲算出基礎（こいもみじ） '!G24</f>
        <v>14364.15</v>
      </c>
      <c r="Q21" s="868"/>
      <c r="R21" s="869"/>
      <c r="S21" s="870"/>
    </row>
    <row r="22" spans="1:19" s="122" customFormat="1" ht="18" customHeight="1" thickBot="1">
      <c r="A22" s="442"/>
      <c r="B22" s="850"/>
      <c r="C22" s="847"/>
      <c r="D22" s="862" t="s">
        <v>65</v>
      </c>
      <c r="E22" s="182" t="s">
        <v>66</v>
      </c>
      <c r="F22" s="178">
        <f>I22*10</f>
        <v>23760</v>
      </c>
      <c r="G22" s="164"/>
      <c r="H22" s="162"/>
      <c r="I22" s="162">
        <v>2376</v>
      </c>
      <c r="J22" s="185" t="s">
        <v>374</v>
      </c>
      <c r="K22" s="901"/>
      <c r="L22" s="452" t="s">
        <v>29</v>
      </c>
      <c r="M22" s="453"/>
      <c r="N22" s="452"/>
      <c r="O22" s="452"/>
      <c r="P22" s="452">
        <f>SUM(P17:P21)</f>
        <v>132764.15</v>
      </c>
      <c r="Q22" s="868"/>
      <c r="R22" s="869"/>
      <c r="S22" s="870"/>
    </row>
    <row r="23" spans="1:19" s="122" customFormat="1" ht="18" customHeight="1" thickTop="1">
      <c r="A23" s="442"/>
      <c r="B23" s="850"/>
      <c r="C23" s="847"/>
      <c r="D23" s="862"/>
      <c r="E23" s="182" t="s">
        <v>94</v>
      </c>
      <c r="F23" s="178">
        <f>I23*10</f>
        <v>50000</v>
      </c>
      <c r="G23" s="164"/>
      <c r="H23" s="162"/>
      <c r="I23" s="162">
        <v>5000</v>
      </c>
      <c r="J23" s="185" t="s">
        <v>374</v>
      </c>
      <c r="K23" s="901"/>
      <c r="L23" s="164" t="s">
        <v>185</v>
      </c>
      <c r="M23" s="162"/>
      <c r="N23" s="163" t="s">
        <v>26</v>
      </c>
      <c r="O23" s="163" t="s">
        <v>24</v>
      </c>
      <c r="P23" s="163" t="s">
        <v>27</v>
      </c>
      <c r="Q23" s="873" t="s">
        <v>28</v>
      </c>
      <c r="R23" s="874"/>
      <c r="S23" s="875"/>
    </row>
    <row r="24" spans="1:19" s="122" customFormat="1" ht="18" customHeight="1">
      <c r="A24" s="442"/>
      <c r="B24" s="850"/>
      <c r="C24" s="847"/>
      <c r="D24" s="178" t="s">
        <v>67</v>
      </c>
      <c r="E24" s="179"/>
      <c r="F24" s="178">
        <f>I24*10</f>
        <v>30000</v>
      </c>
      <c r="G24" s="164"/>
      <c r="H24" s="162"/>
      <c r="I24" s="123">
        <v>3000</v>
      </c>
      <c r="J24" s="185" t="s">
        <v>374</v>
      </c>
      <c r="K24" s="901"/>
      <c r="L24" s="164" t="s">
        <v>30</v>
      </c>
      <c r="M24" s="162"/>
      <c r="N24" s="164" t="s">
        <v>357</v>
      </c>
      <c r="O24" s="164"/>
      <c r="P24" s="164">
        <f>'８－２　水稲算出基礎（こいもみじ） '!G38</f>
        <v>5222.634</v>
      </c>
      <c r="Q24" s="868"/>
      <c r="R24" s="869"/>
      <c r="S24" s="870"/>
    </row>
    <row r="25" spans="1:19" s="122" customFormat="1" ht="18" customHeight="1">
      <c r="A25" s="442"/>
      <c r="B25" s="850"/>
      <c r="C25" s="847"/>
      <c r="D25" s="178" t="s">
        <v>187</v>
      </c>
      <c r="E25" s="179"/>
      <c r="F25" s="178">
        <f>SUM(F6:F24)/99</f>
        <v>8161.426777938665</v>
      </c>
      <c r="G25" s="186" t="s">
        <v>243</v>
      </c>
      <c r="H25" s="200">
        <v>0.01</v>
      </c>
      <c r="I25" s="123"/>
      <c r="J25" s="184"/>
      <c r="K25" s="901"/>
      <c r="L25" s="164" t="s">
        <v>31</v>
      </c>
      <c r="M25" s="162"/>
      <c r="N25" s="164" t="s">
        <v>359</v>
      </c>
      <c r="O25" s="164"/>
      <c r="P25" s="164">
        <f>'８－２　水稲算出基礎（こいもみじ） '!G49</f>
        <v>4090.863</v>
      </c>
      <c r="Q25" s="868"/>
      <c r="R25" s="869"/>
      <c r="S25" s="870"/>
    </row>
    <row r="26" spans="1:19" s="122" customFormat="1" ht="18" customHeight="1">
      <c r="A26" s="442"/>
      <c r="B26" s="850"/>
      <c r="C26" s="848"/>
      <c r="D26" s="871" t="s">
        <v>234</v>
      </c>
      <c r="E26" s="872"/>
      <c r="F26" s="178">
        <f>SUM(F6:F25)</f>
        <v>816142.6777938664</v>
      </c>
      <c r="G26" s="164"/>
      <c r="H26" s="123"/>
      <c r="I26" s="123"/>
      <c r="J26" s="184"/>
      <c r="K26" s="901"/>
      <c r="L26" s="164" t="s">
        <v>32</v>
      </c>
      <c r="M26" s="162"/>
      <c r="N26" s="164" t="s">
        <v>355</v>
      </c>
      <c r="O26" s="164"/>
      <c r="P26" s="164">
        <f>'８－２　水稲算出基礎（こいもみじ） '!G53</f>
        <v>24330</v>
      </c>
      <c r="Q26" s="868"/>
      <c r="R26" s="869"/>
      <c r="S26" s="870"/>
    </row>
    <row r="27" spans="1:19" s="122" customFormat="1" ht="18" customHeight="1">
      <c r="A27" s="442"/>
      <c r="B27" s="850"/>
      <c r="C27" s="863" t="s">
        <v>217</v>
      </c>
      <c r="D27" s="784" t="s">
        <v>68</v>
      </c>
      <c r="E27" s="41" t="s">
        <v>3</v>
      </c>
      <c r="F27" s="178">
        <f>P11/30*J27</f>
        <v>16000</v>
      </c>
      <c r="G27" s="166"/>
      <c r="H27" s="162"/>
      <c r="I27" s="122" t="s">
        <v>381</v>
      </c>
      <c r="J27" s="265">
        <v>80</v>
      </c>
      <c r="K27" s="901"/>
      <c r="L27" s="164" t="s">
        <v>356</v>
      </c>
      <c r="M27" s="162"/>
      <c r="N27" s="164" t="s">
        <v>359</v>
      </c>
      <c r="O27" s="164"/>
      <c r="P27" s="164">
        <f>'８－２　水稲算出基礎（こいもみじ） '!G57</f>
        <v>28636.513166666664</v>
      </c>
      <c r="Q27" s="868"/>
      <c r="R27" s="869"/>
      <c r="S27" s="870"/>
    </row>
    <row r="28" spans="1:19" s="122" customFormat="1" ht="18" customHeight="1" thickBot="1">
      <c r="A28" s="442"/>
      <c r="B28" s="850"/>
      <c r="C28" s="864"/>
      <c r="D28" s="785"/>
      <c r="E28" s="41" t="s">
        <v>4</v>
      </c>
      <c r="F28" s="199">
        <v>0</v>
      </c>
      <c r="G28" s="166"/>
      <c r="H28" s="187"/>
      <c r="I28" s="187"/>
      <c r="J28" s="188"/>
      <c r="K28" s="901"/>
      <c r="L28" s="452" t="s">
        <v>29</v>
      </c>
      <c r="M28" s="453"/>
      <c r="N28" s="452"/>
      <c r="O28" s="452"/>
      <c r="P28" s="452">
        <f>SUM(P24:P27)</f>
        <v>62280.01016666667</v>
      </c>
      <c r="Q28" s="868"/>
      <c r="R28" s="869"/>
      <c r="S28" s="870"/>
    </row>
    <row r="29" spans="1:19" s="122" customFormat="1" ht="18" customHeight="1" thickTop="1">
      <c r="A29" s="442"/>
      <c r="B29" s="850"/>
      <c r="C29" s="864"/>
      <c r="D29" s="786"/>
      <c r="E29" s="41" t="s">
        <v>8</v>
      </c>
      <c r="F29" s="178">
        <f>P11/30*J29</f>
        <v>5000</v>
      </c>
      <c r="G29" s="166"/>
      <c r="H29" s="123"/>
      <c r="I29" s="187" t="s">
        <v>382</v>
      </c>
      <c r="J29" s="266">
        <v>25</v>
      </c>
      <c r="K29" s="901"/>
      <c r="L29" s="164" t="s">
        <v>186</v>
      </c>
      <c r="M29" s="162"/>
      <c r="N29" s="163" t="s">
        <v>26</v>
      </c>
      <c r="O29" s="163" t="s">
        <v>24</v>
      </c>
      <c r="P29" s="163" t="s">
        <v>27</v>
      </c>
      <c r="Q29" s="873" t="s">
        <v>28</v>
      </c>
      <c r="R29" s="874"/>
      <c r="S29" s="875"/>
    </row>
    <row r="30" spans="1:19" s="122" customFormat="1" ht="18" customHeight="1">
      <c r="A30" s="442"/>
      <c r="B30" s="850"/>
      <c r="C30" s="864"/>
      <c r="D30" s="41" t="s">
        <v>69</v>
      </c>
      <c r="E30" s="42"/>
      <c r="F30" s="178">
        <v>0</v>
      </c>
      <c r="G30" s="166"/>
      <c r="H30" s="123"/>
      <c r="I30" s="187"/>
      <c r="J30" s="189"/>
      <c r="K30" s="901"/>
      <c r="L30" s="164" t="s">
        <v>49</v>
      </c>
      <c r="M30" s="162"/>
      <c r="N30" s="164" t="s">
        <v>360</v>
      </c>
      <c r="O30" s="165"/>
      <c r="P30" s="164">
        <f>'８－２　水稲算出基礎（こいもみじ） '!N12</f>
        <v>9638.859999999999</v>
      </c>
      <c r="Q30" s="876"/>
      <c r="R30" s="877"/>
      <c r="S30" s="878"/>
    </row>
    <row r="31" spans="1:19" s="122" customFormat="1" ht="18" customHeight="1">
      <c r="A31" s="442"/>
      <c r="B31" s="850"/>
      <c r="C31" s="864"/>
      <c r="D31" s="787" t="s">
        <v>292</v>
      </c>
      <c r="E31" s="31" t="s">
        <v>128</v>
      </c>
      <c r="F31" s="199">
        <v>0</v>
      </c>
      <c r="G31" s="166"/>
      <c r="H31" s="190"/>
      <c r="I31" s="190"/>
      <c r="J31" s="191"/>
      <c r="K31" s="901"/>
      <c r="L31" s="164" t="s">
        <v>48</v>
      </c>
      <c r="M31" s="162"/>
      <c r="N31" s="164" t="s">
        <v>361</v>
      </c>
      <c r="O31" s="165"/>
      <c r="P31" s="164">
        <f>'８－２　水稲算出基礎（こいもみじ） '!N16</f>
        <v>1463.6159999999998</v>
      </c>
      <c r="Q31" s="876"/>
      <c r="R31" s="877"/>
      <c r="S31" s="878"/>
    </row>
    <row r="32" spans="1:19" s="122" customFormat="1" ht="18" customHeight="1">
      <c r="A32" s="442"/>
      <c r="B32" s="850"/>
      <c r="C32" s="864"/>
      <c r="D32" s="787"/>
      <c r="E32" s="31" t="s">
        <v>127</v>
      </c>
      <c r="F32" s="199">
        <v>0</v>
      </c>
      <c r="G32" s="166"/>
      <c r="H32" s="192"/>
      <c r="I32" s="192"/>
      <c r="J32" s="193"/>
      <c r="K32" s="901"/>
      <c r="L32" s="164" t="s">
        <v>50</v>
      </c>
      <c r="M32" s="162"/>
      <c r="N32" s="165"/>
      <c r="O32" s="165"/>
      <c r="P32" s="164">
        <f>SUM(P30:P31)*R32</f>
        <v>3330.7427999999995</v>
      </c>
      <c r="Q32" s="166" t="s">
        <v>33</v>
      </c>
      <c r="R32" s="167">
        <v>0.3</v>
      </c>
      <c r="S32" s="124"/>
    </row>
    <row r="33" spans="2:19" ht="18" customHeight="1">
      <c r="B33" s="850"/>
      <c r="C33" s="864"/>
      <c r="D33" s="41" t="s">
        <v>70</v>
      </c>
      <c r="E33" s="42"/>
      <c r="F33" s="199">
        <v>0</v>
      </c>
      <c r="G33" s="166"/>
      <c r="H33" s="194"/>
      <c r="I33" s="195"/>
      <c r="J33" s="189"/>
      <c r="K33" s="901"/>
      <c r="L33" s="164" t="s">
        <v>51</v>
      </c>
      <c r="M33" s="162"/>
      <c r="N33" s="164"/>
      <c r="O33" s="165"/>
      <c r="P33" s="164">
        <f>'８－２　水稲算出基礎（こいもみじ） '!N20</f>
        <v>0</v>
      </c>
      <c r="Q33" s="868"/>
      <c r="R33" s="869"/>
      <c r="S33" s="870"/>
    </row>
    <row r="34" spans="2:19" ht="18" customHeight="1">
      <c r="B34" s="850"/>
      <c r="C34" s="864"/>
      <c r="D34" s="41" t="s">
        <v>95</v>
      </c>
      <c r="E34" s="42"/>
      <c r="F34" s="199">
        <v>0</v>
      </c>
      <c r="G34" s="166"/>
      <c r="H34" s="196"/>
      <c r="I34" s="197"/>
      <c r="J34" s="198"/>
      <c r="K34" s="901"/>
      <c r="L34" s="164" t="s">
        <v>52</v>
      </c>
      <c r="M34" s="162"/>
      <c r="N34" s="164" t="s">
        <v>361</v>
      </c>
      <c r="O34" s="165"/>
      <c r="P34" s="164">
        <f>'８－２　水稲算出基礎（こいもみじ） '!N24</f>
        <v>17563.242</v>
      </c>
      <c r="Q34" s="868"/>
      <c r="R34" s="869"/>
      <c r="S34" s="870"/>
    </row>
    <row r="35" spans="2:19" ht="18" customHeight="1">
      <c r="B35" s="850"/>
      <c r="C35" s="864"/>
      <c r="D35" s="41" t="s">
        <v>131</v>
      </c>
      <c r="E35" s="42"/>
      <c r="F35" s="199">
        <f>'８－２　水稲算出基礎（こいもみじ） '!V57</f>
        <v>7952.777777777778</v>
      </c>
      <c r="G35" s="166" t="s">
        <v>221</v>
      </c>
      <c r="H35" s="236"/>
      <c r="I35" s="236"/>
      <c r="J35" s="237"/>
      <c r="K35" s="901"/>
      <c r="L35" s="164" t="s">
        <v>289</v>
      </c>
      <c r="M35" s="162"/>
      <c r="N35" s="164"/>
      <c r="O35" s="165"/>
      <c r="P35" s="164">
        <f>'８－２　水稲算出基礎（こいもみじ） '!N28</f>
        <v>0</v>
      </c>
      <c r="Q35" s="868"/>
      <c r="R35" s="869"/>
      <c r="S35" s="870"/>
    </row>
    <row r="36" spans="2:19" ht="18" customHeight="1">
      <c r="B36" s="850"/>
      <c r="C36" s="864"/>
      <c r="D36" s="41" t="s">
        <v>96</v>
      </c>
      <c r="E36" s="42"/>
      <c r="F36" s="199">
        <v>0</v>
      </c>
      <c r="G36" s="164"/>
      <c r="H36" s="196"/>
      <c r="I36" s="197"/>
      <c r="J36" s="189"/>
      <c r="K36" s="901"/>
      <c r="L36" s="164" t="s">
        <v>53</v>
      </c>
      <c r="M36" s="162"/>
      <c r="N36" s="164" t="s">
        <v>362</v>
      </c>
      <c r="O36" s="165"/>
      <c r="P36" s="164">
        <f>'８－２　水稲算出基礎（こいもみじ） '!N32</f>
        <v>3811.2200000000003</v>
      </c>
      <c r="Q36" s="868"/>
      <c r="R36" s="869"/>
      <c r="S36" s="870"/>
    </row>
    <row r="37" spans="2:19" ht="18" customHeight="1" thickBot="1">
      <c r="B37" s="850"/>
      <c r="C37" s="864"/>
      <c r="D37" s="41" t="s">
        <v>71</v>
      </c>
      <c r="E37" s="42"/>
      <c r="F37" s="199">
        <f>'８－２　水稲算出基礎（こいもみじ） '!N57</f>
        <v>4131.101126436782</v>
      </c>
      <c r="G37" s="166" t="s">
        <v>221</v>
      </c>
      <c r="H37" s="236"/>
      <c r="I37" s="236"/>
      <c r="J37" s="237"/>
      <c r="K37" s="902"/>
      <c r="L37" s="455" t="s">
        <v>29</v>
      </c>
      <c r="M37" s="456"/>
      <c r="N37" s="455"/>
      <c r="O37" s="455"/>
      <c r="P37" s="455">
        <f>SUM(P30:P36)</f>
        <v>35807.680799999995</v>
      </c>
      <c r="Q37" s="903"/>
      <c r="R37" s="904"/>
      <c r="S37" s="905"/>
    </row>
    <row r="38" spans="1:10" s="457" customFormat="1" ht="18" customHeight="1">
      <c r="A38" s="442"/>
      <c r="B38" s="850"/>
      <c r="C38" s="864"/>
      <c r="D38" s="41" t="s">
        <v>0</v>
      </c>
      <c r="E38" s="42"/>
      <c r="F38" s="199">
        <v>0</v>
      </c>
      <c r="G38" s="166"/>
      <c r="H38" s="196"/>
      <c r="I38" s="197"/>
      <c r="J38" s="189"/>
    </row>
    <row r="39" spans="1:20" s="457" customFormat="1" ht="18" customHeight="1" thickBot="1">
      <c r="A39" s="442"/>
      <c r="B39" s="851"/>
      <c r="C39" s="865"/>
      <c r="D39" s="866" t="s">
        <v>233</v>
      </c>
      <c r="E39" s="867"/>
      <c r="F39" s="458">
        <f>SUM(F27:F38)</f>
        <v>33083.87890421456</v>
      </c>
      <c r="G39" s="459"/>
      <c r="H39" s="460"/>
      <c r="I39" s="461"/>
      <c r="J39" s="462"/>
      <c r="T39" s="365"/>
    </row>
    <row r="40" spans="1:23" s="457" customFormat="1" ht="18" customHeight="1">
      <c r="A40" s="442"/>
      <c r="B40" s="852" t="s">
        <v>237</v>
      </c>
      <c r="C40" s="855" t="s">
        <v>73</v>
      </c>
      <c r="D40" s="463" t="s">
        <v>130</v>
      </c>
      <c r="E40" s="464"/>
      <c r="F40" s="161">
        <f>J40*10</f>
        <v>75000</v>
      </c>
      <c r="G40" s="164"/>
      <c r="H40" s="841" t="s">
        <v>715</v>
      </c>
      <c r="I40" s="842"/>
      <c r="J40" s="466">
        <v>7500</v>
      </c>
      <c r="T40" s="122"/>
      <c r="U40" s="122"/>
      <c r="V40" s="122"/>
      <c r="W40" s="122"/>
    </row>
    <row r="41" spans="1:23" s="457" customFormat="1" ht="18" customHeight="1">
      <c r="A41" s="442"/>
      <c r="B41" s="853"/>
      <c r="C41" s="856"/>
      <c r="D41" s="41" t="s">
        <v>129</v>
      </c>
      <c r="E41" s="42"/>
      <c r="F41" s="158">
        <v>0</v>
      </c>
      <c r="G41" s="164"/>
      <c r="H41" s="467"/>
      <c r="I41" s="467"/>
      <c r="J41" s="468"/>
      <c r="T41" s="469"/>
      <c r="U41" s="447"/>
      <c r="V41" s="470"/>
      <c r="W41" s="469"/>
    </row>
    <row r="42" spans="1:23" s="457" customFormat="1" ht="18" customHeight="1">
      <c r="A42" s="442"/>
      <c r="B42" s="853"/>
      <c r="C42" s="857"/>
      <c r="D42" s="41" t="s">
        <v>72</v>
      </c>
      <c r="E42" s="42"/>
      <c r="F42" s="159">
        <v>0</v>
      </c>
      <c r="G42" s="164"/>
      <c r="H42" s="467"/>
      <c r="I42" s="467"/>
      <c r="J42" s="468"/>
      <c r="T42" s="122"/>
      <c r="U42" s="122"/>
      <c r="V42" s="122"/>
      <c r="W42" s="122"/>
    </row>
    <row r="43" spans="2:23" s="457" customFormat="1" ht="18" customHeight="1">
      <c r="B43" s="853"/>
      <c r="C43" s="857" t="s">
        <v>236</v>
      </c>
      <c r="D43" s="41" t="s">
        <v>293</v>
      </c>
      <c r="E43" s="42"/>
      <c r="F43" s="159">
        <v>0</v>
      </c>
      <c r="G43" s="164"/>
      <c r="H43" s="467"/>
      <c r="I43" s="467"/>
      <c r="J43" s="468"/>
      <c r="T43" s="416"/>
      <c r="U43" s="365"/>
      <c r="V43" s="122"/>
      <c r="W43" s="469"/>
    </row>
    <row r="44" spans="2:23" s="457" customFormat="1" ht="18" customHeight="1">
      <c r="B44" s="853"/>
      <c r="C44" s="858"/>
      <c r="D44" s="43" t="s">
        <v>1</v>
      </c>
      <c r="E44" s="44"/>
      <c r="F44" s="159">
        <v>0</v>
      </c>
      <c r="G44" s="164"/>
      <c r="H44" s="467"/>
      <c r="I44" s="467"/>
      <c r="J44" s="468"/>
      <c r="T44" s="416"/>
      <c r="U44" s="365"/>
      <c r="V44" s="122"/>
      <c r="W44" s="469"/>
    </row>
    <row r="45" spans="2:23" s="457" customFormat="1" ht="18" customHeight="1" thickBot="1">
      <c r="B45" s="854"/>
      <c r="C45" s="859" t="s">
        <v>98</v>
      </c>
      <c r="D45" s="860"/>
      <c r="E45" s="861"/>
      <c r="F45" s="477">
        <f>SUM(F40:F42)-SUM(F43:F44)</f>
        <v>75000</v>
      </c>
      <c r="G45" s="471"/>
      <c r="H45" s="472"/>
      <c r="I45" s="472"/>
      <c r="J45" s="473"/>
      <c r="T45" s="122"/>
      <c r="U45" s="122"/>
      <c r="V45" s="447"/>
      <c r="W45" s="122"/>
    </row>
    <row r="49" spans="4:6" ht="13.5">
      <c r="D49" s="442" t="s">
        <v>365</v>
      </c>
      <c r="F49" s="442">
        <f>F4-F26</f>
        <v>41857.32220613363</v>
      </c>
    </row>
  </sheetData>
  <sheetProtection/>
  <mergeCells count="57">
    <mergeCell ref="B3:E3"/>
    <mergeCell ref="K3:S3"/>
    <mergeCell ref="B4:C5"/>
    <mergeCell ref="R4:S4"/>
    <mergeCell ref="R5:S5"/>
    <mergeCell ref="Q25:S25"/>
    <mergeCell ref="D13:D14"/>
    <mergeCell ref="I13:J13"/>
    <mergeCell ref="Q13:S13"/>
    <mergeCell ref="I14:J14"/>
    <mergeCell ref="D18:D21"/>
    <mergeCell ref="Q14:S14"/>
    <mergeCell ref="Q23:S23"/>
    <mergeCell ref="D15:D17"/>
    <mergeCell ref="R9:S9"/>
    <mergeCell ref="G10:J10"/>
    <mergeCell ref="R10:S10"/>
    <mergeCell ref="G11:J11"/>
    <mergeCell ref="R11:S11"/>
    <mergeCell ref="D22:D23"/>
    <mergeCell ref="Q15:S15"/>
    <mergeCell ref="Q16:S16"/>
    <mergeCell ref="Q17:S17"/>
    <mergeCell ref="K12:K37"/>
    <mergeCell ref="Q12:S12"/>
    <mergeCell ref="Q24:S24"/>
    <mergeCell ref="Q31:S31"/>
    <mergeCell ref="Q35:S35"/>
    <mergeCell ref="Q27:S27"/>
    <mergeCell ref="Q28:S28"/>
    <mergeCell ref="C6:C26"/>
    <mergeCell ref="R6:S6"/>
    <mergeCell ref="R7:S7"/>
    <mergeCell ref="R8:S8"/>
    <mergeCell ref="Q18:S18"/>
    <mergeCell ref="Q19:S19"/>
    <mergeCell ref="Q20:S20"/>
    <mergeCell ref="Q21:S21"/>
    <mergeCell ref="D26:E26"/>
    <mergeCell ref="Q22:S22"/>
    <mergeCell ref="Q30:S30"/>
    <mergeCell ref="Q37:S37"/>
    <mergeCell ref="D39:E39"/>
    <mergeCell ref="D31:D32"/>
    <mergeCell ref="Q36:S36"/>
    <mergeCell ref="Q33:S33"/>
    <mergeCell ref="Q34:S34"/>
    <mergeCell ref="H40:I40"/>
    <mergeCell ref="B6:B39"/>
    <mergeCell ref="Q26:S26"/>
    <mergeCell ref="C27:C39"/>
    <mergeCell ref="D27:D29"/>
    <mergeCell ref="B40:B45"/>
    <mergeCell ref="C40:C42"/>
    <mergeCell ref="C43:C44"/>
    <mergeCell ref="C45:E45"/>
    <mergeCell ref="Q29:S29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5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2015-02-04T04:10:01Z</cp:lastPrinted>
  <dcterms:created xsi:type="dcterms:W3CDTF">2005-02-26T02:20:11Z</dcterms:created>
  <dcterms:modified xsi:type="dcterms:W3CDTF">2015-03-25T06:43:12Z</dcterms:modified>
  <cp:category/>
  <cp:version/>
  <cp:contentType/>
  <cp:contentStatus/>
</cp:coreProperties>
</file>