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1985" yWindow="-15" windowWidth="12030" windowHeight="10020"/>
  </bookViews>
  <sheets>
    <sheet name="１　対象経営の概要，２　前提条件" sheetId="62" r:id="rId1"/>
    <sheet name="３－１　ピオーネ（加温）標準技術" sheetId="24" state="hidden" r:id="rId2"/>
    <sheet name="３－1　ピオーネ（トンネル）標準技術" sheetId="25" r:id="rId3"/>
    <sheet name="３－２　シャイン（加温）標準技術" sheetId="26" r:id="rId4"/>
    <sheet name="３－３　シャイン（トンネル）標準技術 " sheetId="48" r:id="rId5"/>
    <sheet name="３－５　サニールージュ標準技術 " sheetId="47" state="hidden" r:id="rId6"/>
    <sheet name="４　経営収支" sheetId="22" r:id="rId7"/>
    <sheet name="作業時間まとめ" sheetId="61" r:id="rId8"/>
    <sheet name="５－１　ピオーネ(加温)作業時間" sheetId="27" state="hidden" r:id="rId9"/>
    <sheet name="５－１　ピオーネ（トンネル）作業時間" sheetId="28" r:id="rId10"/>
    <sheet name="５－２　シャイン（加温）作業時間" sheetId="53" r:id="rId11"/>
    <sheet name="５－３　シャイン（トンネル）作業時間" sheetId="54" r:id="rId12"/>
    <sheet name="５－５　サニールージュ作業時間" sheetId="29" state="hidden" r:id="rId13"/>
    <sheet name="６　固定資本装備と減価償却費" sheetId="23" state="hidden" r:id="rId14"/>
    <sheet name="（参考）ピオーネハウス資本装備" sheetId="30" state="hidden" r:id="rId15"/>
    <sheet name="６-１　ピオーネトンネル被覆資本装備" sheetId="33" r:id="rId16"/>
    <sheet name="６-２　シャイントハウス資本装備" sheetId="58" r:id="rId17"/>
    <sheet name="６-３　シャイントンネル被覆資本装備" sheetId="59" r:id="rId18"/>
    <sheet name="（参考）サニールージュトンネル被覆資本装備" sheetId="60" state="hidden" r:id="rId19"/>
    <sheet name="７－１　ピオーネ（加温）部門収支" sheetId="35" state="hidden" r:id="rId20"/>
    <sheet name="７－１　ピオーネ（トンネル）部門収支" sheetId="37" r:id="rId21"/>
    <sheet name="７－２　シャイン（加温）部門収支" sheetId="50" r:id="rId22"/>
    <sheet name="７－３　シャイン（トンネル）部門収支" sheetId="49" r:id="rId23"/>
    <sheet name="７－５　サニールージュ部門収支" sheetId="39" state="hidden" r:id="rId24"/>
    <sheet name="８－１　ピオーネ（加温）算出基礎" sheetId="36" state="hidden" r:id="rId25"/>
    <sheet name="８－１　ピオーネ（トンネル）算出基礎" sheetId="38" r:id="rId26"/>
    <sheet name="８－２　シャイン（加温）算出基礎 " sheetId="51" r:id="rId27"/>
    <sheet name="８－３　シャイン（トンネル）算出基礎 " sheetId="52" r:id="rId28"/>
    <sheet name="９－１　ピオーネ単価算出基礎" sheetId="63" r:id="rId29"/>
    <sheet name="9-２　シャインマスカット単価算出基礎" sheetId="64" r:id="rId30"/>
    <sheet name="８－５　サニールージュ算出基礎" sheetId="57" state="hidden" r:id="rId31"/>
    <sheet name="肥料算出基礎" sheetId="44" state="hidden" r:id="rId32"/>
    <sheet name="農薬算出基礎" sheetId="45" state="hidden" r:id="rId33"/>
  </sheets>
  <externalReferences>
    <externalReference r:id="rId34"/>
  </externalReferences>
  <definedNames>
    <definedName name="_a1" localSheetId="18" hidden="1">#REF!</definedName>
    <definedName name="_a1" localSheetId="4" hidden="1">#REF!</definedName>
    <definedName name="_a1" localSheetId="5" hidden="1">#REF!</definedName>
    <definedName name="_a1" localSheetId="10" hidden="1">#REF!</definedName>
    <definedName name="_a1" localSheetId="11" hidden="1">#REF!</definedName>
    <definedName name="_a1" localSheetId="16" hidden="1">#REF!</definedName>
    <definedName name="_a1" localSheetId="17" hidden="1">#REF!</definedName>
    <definedName name="_a1" localSheetId="21" hidden="1">#REF!</definedName>
    <definedName name="_a1" localSheetId="22" hidden="1">#REF!</definedName>
    <definedName name="_a1" localSheetId="26" hidden="1">#REF!</definedName>
    <definedName name="_a1" localSheetId="27" hidden="1">#REF!</definedName>
    <definedName name="_a1" localSheetId="30" hidden="1">#REF!</definedName>
    <definedName name="_a1" localSheetId="28" hidden="1">#REF!</definedName>
    <definedName name="_a1" localSheetId="32" hidden="1">#REF!</definedName>
    <definedName name="_a1" localSheetId="31" hidden="1">#REF!</definedName>
    <definedName name="_a1" hidden="1">#REF!</definedName>
    <definedName name="_a2" localSheetId="18" hidden="1">#REF!</definedName>
    <definedName name="_a2" localSheetId="4" hidden="1">#REF!</definedName>
    <definedName name="_a2" localSheetId="5" hidden="1">#REF!</definedName>
    <definedName name="_a2" localSheetId="10" hidden="1">#REF!</definedName>
    <definedName name="_a2" localSheetId="11" hidden="1">#REF!</definedName>
    <definedName name="_a2" localSheetId="16" hidden="1">#REF!</definedName>
    <definedName name="_a2" localSheetId="17" hidden="1">#REF!</definedName>
    <definedName name="_a2" localSheetId="21" hidden="1">#REF!</definedName>
    <definedName name="_a2" localSheetId="22" hidden="1">#REF!</definedName>
    <definedName name="_a2" localSheetId="26" hidden="1">#REF!</definedName>
    <definedName name="_a2" localSheetId="27" hidden="1">#REF!</definedName>
    <definedName name="_a2" localSheetId="30" hidden="1">#REF!</definedName>
    <definedName name="_a2" localSheetId="28" hidden="1">#REF!</definedName>
    <definedName name="_a2" localSheetId="32" hidden="1">#REF!</definedName>
    <definedName name="_a2" hidden="1">#REF!</definedName>
    <definedName name="_a3" localSheetId="18" hidden="1">#REF!</definedName>
    <definedName name="_a3" localSheetId="4" hidden="1">#REF!</definedName>
    <definedName name="_a3" localSheetId="5" hidden="1">#REF!</definedName>
    <definedName name="_a3" localSheetId="10" hidden="1">#REF!</definedName>
    <definedName name="_a3" localSheetId="11" hidden="1">#REF!</definedName>
    <definedName name="_a3" localSheetId="16" hidden="1">#REF!</definedName>
    <definedName name="_a3" localSheetId="17" hidden="1">#REF!</definedName>
    <definedName name="_a3" localSheetId="21" hidden="1">#REF!</definedName>
    <definedName name="_a3" localSheetId="22" hidden="1">#REF!</definedName>
    <definedName name="_a3" localSheetId="26" hidden="1">#REF!</definedName>
    <definedName name="_a3" localSheetId="27" hidden="1">#REF!</definedName>
    <definedName name="_a3" localSheetId="30" hidden="1">#REF!</definedName>
    <definedName name="_a3" localSheetId="28" hidden="1">#REF!</definedName>
    <definedName name="_a3" localSheetId="32" hidden="1">#REF!</definedName>
    <definedName name="_a3" hidden="1">#REF!</definedName>
    <definedName name="_a4" localSheetId="18" hidden="1">#REF!</definedName>
    <definedName name="_a4" localSheetId="4" hidden="1">#REF!</definedName>
    <definedName name="_a4" localSheetId="5" hidden="1">#REF!</definedName>
    <definedName name="_a4" localSheetId="10" hidden="1">#REF!</definedName>
    <definedName name="_a4" localSheetId="11" hidden="1">#REF!</definedName>
    <definedName name="_a4" localSheetId="16" hidden="1">#REF!</definedName>
    <definedName name="_a4" localSheetId="17" hidden="1">#REF!</definedName>
    <definedName name="_a4" localSheetId="21" hidden="1">#REF!</definedName>
    <definedName name="_a4" localSheetId="22" hidden="1">#REF!</definedName>
    <definedName name="_a4" localSheetId="26" hidden="1">#REF!</definedName>
    <definedName name="_a4" localSheetId="27" hidden="1">#REF!</definedName>
    <definedName name="_a4" localSheetId="30" hidden="1">#REF!</definedName>
    <definedName name="_a4" localSheetId="28" hidden="1">#REF!</definedName>
    <definedName name="_a4" hidden="1">#REF!</definedName>
    <definedName name="_a5" localSheetId="18" hidden="1">#REF!</definedName>
    <definedName name="_a5" localSheetId="4" hidden="1">#REF!</definedName>
    <definedName name="_a5" localSheetId="5" hidden="1">#REF!</definedName>
    <definedName name="_a5" localSheetId="10" hidden="1">#REF!</definedName>
    <definedName name="_a5" localSheetId="11" hidden="1">#REF!</definedName>
    <definedName name="_a5" localSheetId="16" hidden="1">#REF!</definedName>
    <definedName name="_a5" localSheetId="17" hidden="1">#REF!</definedName>
    <definedName name="_a5" localSheetId="21" hidden="1">#REF!</definedName>
    <definedName name="_a5" localSheetId="22" hidden="1">#REF!</definedName>
    <definedName name="_a5" localSheetId="26" hidden="1">#REF!</definedName>
    <definedName name="_a5" localSheetId="27" hidden="1">#REF!</definedName>
    <definedName name="_a5" localSheetId="30" hidden="1">#REF!</definedName>
    <definedName name="_a5" localSheetId="28" hidden="1">#REF!</definedName>
    <definedName name="_a5" hidden="1">#REF!</definedName>
    <definedName name="_a6" localSheetId="18" hidden="1">#REF!</definedName>
    <definedName name="_a6" localSheetId="4" hidden="1">#REF!</definedName>
    <definedName name="_a6" localSheetId="5" hidden="1">#REF!</definedName>
    <definedName name="_a6" localSheetId="10" hidden="1">#REF!</definedName>
    <definedName name="_a6" localSheetId="11" hidden="1">#REF!</definedName>
    <definedName name="_a6" localSheetId="16" hidden="1">#REF!</definedName>
    <definedName name="_a6" localSheetId="17" hidden="1">#REF!</definedName>
    <definedName name="_a6" localSheetId="21" hidden="1">#REF!</definedName>
    <definedName name="_a6" localSheetId="22" hidden="1">#REF!</definedName>
    <definedName name="_a6" localSheetId="26" hidden="1">#REF!</definedName>
    <definedName name="_a6" localSheetId="27" hidden="1">#REF!</definedName>
    <definedName name="_a6" localSheetId="30" hidden="1">#REF!</definedName>
    <definedName name="_a6" localSheetId="28" hidden="1">#REF!</definedName>
    <definedName name="_a6" hidden="1">#REF!</definedName>
    <definedName name="_a7" localSheetId="18" hidden="1">#REF!</definedName>
    <definedName name="_a7" localSheetId="4" hidden="1">#REF!</definedName>
    <definedName name="_a7" localSheetId="5" hidden="1">#REF!</definedName>
    <definedName name="_a7" localSheetId="10" hidden="1">#REF!</definedName>
    <definedName name="_a7" localSheetId="11" hidden="1">#REF!</definedName>
    <definedName name="_a7" localSheetId="16" hidden="1">#REF!</definedName>
    <definedName name="_a7" localSheetId="17" hidden="1">#REF!</definedName>
    <definedName name="_a7" localSheetId="21" hidden="1">#REF!</definedName>
    <definedName name="_a7" localSheetId="22" hidden="1">#REF!</definedName>
    <definedName name="_a7" localSheetId="26" hidden="1">#REF!</definedName>
    <definedName name="_a7" localSheetId="27" hidden="1">#REF!</definedName>
    <definedName name="_a7" localSheetId="30" hidden="1">#REF!</definedName>
    <definedName name="_a7" localSheetId="28" hidden="1">#REF!</definedName>
    <definedName name="_a7" hidden="1">#REF!</definedName>
    <definedName name="aaa" localSheetId="18" hidden="1">#REF!</definedName>
    <definedName name="aaa" localSheetId="4" hidden="1">#REF!</definedName>
    <definedName name="aaa" localSheetId="5" hidden="1">#REF!</definedName>
    <definedName name="aaa" localSheetId="10" hidden="1">#REF!</definedName>
    <definedName name="aaa" localSheetId="11" hidden="1">#REF!</definedName>
    <definedName name="aaa" localSheetId="16" hidden="1">#REF!</definedName>
    <definedName name="aaa" localSheetId="17" hidden="1">#REF!</definedName>
    <definedName name="aaa" localSheetId="21" hidden="1">#REF!</definedName>
    <definedName name="aaa" localSheetId="22" hidden="1">#REF!</definedName>
    <definedName name="aaa" localSheetId="26" hidden="1">#REF!</definedName>
    <definedName name="aaa" localSheetId="27" hidden="1">#REF!</definedName>
    <definedName name="aaa" localSheetId="30" hidden="1">#REF!</definedName>
    <definedName name="aaa" localSheetId="28" hidden="1">#REF!</definedName>
    <definedName name="aaa" hidden="1">#REF!</definedName>
    <definedName name="bbb" localSheetId="18" hidden="1">#REF!</definedName>
    <definedName name="bbb" localSheetId="4" hidden="1">#REF!</definedName>
    <definedName name="bbb" localSheetId="5" hidden="1">#REF!</definedName>
    <definedName name="bbb" localSheetId="10" hidden="1">#REF!</definedName>
    <definedName name="bbb" localSheetId="11" hidden="1">#REF!</definedName>
    <definedName name="bbb" localSheetId="16" hidden="1">#REF!</definedName>
    <definedName name="bbb" localSheetId="17" hidden="1">#REF!</definedName>
    <definedName name="bbb" localSheetId="21" hidden="1">#REF!</definedName>
    <definedName name="bbb" localSheetId="22" hidden="1">#REF!</definedName>
    <definedName name="bbb" localSheetId="26" hidden="1">#REF!</definedName>
    <definedName name="bbb" localSheetId="27" hidden="1">#REF!</definedName>
    <definedName name="bbb" localSheetId="30" hidden="1">#REF!</definedName>
    <definedName name="bbb" localSheetId="28" hidden="1">#REF!</definedName>
    <definedName name="bbb" hidden="1">#REF!</definedName>
    <definedName name="ccc" localSheetId="18" hidden="1">#REF!</definedName>
    <definedName name="ccc" localSheetId="4" hidden="1">#REF!</definedName>
    <definedName name="ccc" localSheetId="5" hidden="1">#REF!</definedName>
    <definedName name="ccc" localSheetId="10" hidden="1">#REF!</definedName>
    <definedName name="ccc" localSheetId="11" hidden="1">#REF!</definedName>
    <definedName name="ccc" localSheetId="16" hidden="1">#REF!</definedName>
    <definedName name="ccc" localSheetId="17" hidden="1">#REF!</definedName>
    <definedName name="ccc" localSheetId="21" hidden="1">#REF!</definedName>
    <definedName name="ccc" localSheetId="22" hidden="1">#REF!</definedName>
    <definedName name="ccc" localSheetId="26" hidden="1">#REF!</definedName>
    <definedName name="ccc" localSheetId="27" hidden="1">#REF!</definedName>
    <definedName name="ccc" localSheetId="30" hidden="1">#REF!</definedName>
    <definedName name="ccc" localSheetId="28" hidden="1">#REF!</definedName>
    <definedName name="ccc" hidden="1">#REF!</definedName>
    <definedName name="ddd" localSheetId="18" hidden="1">#REF!</definedName>
    <definedName name="ddd" localSheetId="4" hidden="1">#REF!</definedName>
    <definedName name="ddd" localSheetId="5" hidden="1">#REF!</definedName>
    <definedName name="ddd" localSheetId="10" hidden="1">#REF!</definedName>
    <definedName name="ddd" localSheetId="11" hidden="1">#REF!</definedName>
    <definedName name="ddd" localSheetId="16" hidden="1">#REF!</definedName>
    <definedName name="ddd" localSheetId="17" hidden="1">#REF!</definedName>
    <definedName name="ddd" localSheetId="21" hidden="1">#REF!</definedName>
    <definedName name="ddd" localSheetId="22" hidden="1">#REF!</definedName>
    <definedName name="ddd" localSheetId="26" hidden="1">#REF!</definedName>
    <definedName name="ddd" localSheetId="27" hidden="1">#REF!</definedName>
    <definedName name="ddd" localSheetId="30" hidden="1">#REF!</definedName>
    <definedName name="ddd" localSheetId="28" hidden="1">#REF!</definedName>
    <definedName name="ddd" hidden="1">#REF!</definedName>
    <definedName name="eee" localSheetId="18" hidden="1">#REF!</definedName>
    <definedName name="eee" localSheetId="4" hidden="1">#REF!</definedName>
    <definedName name="eee" localSheetId="5" hidden="1">#REF!</definedName>
    <definedName name="eee" localSheetId="10" hidden="1">#REF!</definedName>
    <definedName name="eee" localSheetId="11" hidden="1">#REF!</definedName>
    <definedName name="eee" localSheetId="16" hidden="1">#REF!</definedName>
    <definedName name="eee" localSheetId="17" hidden="1">#REF!</definedName>
    <definedName name="eee" localSheetId="21" hidden="1">#REF!</definedName>
    <definedName name="eee" localSheetId="22" hidden="1">#REF!</definedName>
    <definedName name="eee" localSheetId="26" hidden="1">#REF!</definedName>
    <definedName name="eee" localSheetId="27" hidden="1">#REF!</definedName>
    <definedName name="eee" localSheetId="30" hidden="1">#REF!</definedName>
    <definedName name="eee" localSheetId="28" hidden="1">#REF!</definedName>
    <definedName name="eee" hidden="1">#REF!</definedName>
    <definedName name="fff" localSheetId="18" hidden="1">#REF!</definedName>
    <definedName name="fff" localSheetId="4" hidden="1">#REF!</definedName>
    <definedName name="fff" localSheetId="5" hidden="1">#REF!</definedName>
    <definedName name="fff" localSheetId="10" hidden="1">#REF!</definedName>
    <definedName name="fff" localSheetId="11" hidden="1">#REF!</definedName>
    <definedName name="fff" localSheetId="16" hidden="1">#REF!</definedName>
    <definedName name="fff" localSheetId="17" hidden="1">#REF!</definedName>
    <definedName name="fff" localSheetId="21" hidden="1">#REF!</definedName>
    <definedName name="fff" localSheetId="22" hidden="1">#REF!</definedName>
    <definedName name="fff" localSheetId="26" hidden="1">#REF!</definedName>
    <definedName name="fff" localSheetId="27" hidden="1">#REF!</definedName>
    <definedName name="fff" localSheetId="30" hidden="1">#REF!</definedName>
    <definedName name="fff" localSheetId="28" hidden="1">#REF!</definedName>
    <definedName name="fff" hidden="1">#REF!</definedName>
    <definedName name="ggg" localSheetId="18" hidden="1">#REF!</definedName>
    <definedName name="ggg" localSheetId="4" hidden="1">#REF!</definedName>
    <definedName name="ggg" localSheetId="5" hidden="1">#REF!</definedName>
    <definedName name="ggg" localSheetId="10" hidden="1">#REF!</definedName>
    <definedName name="ggg" localSheetId="11" hidden="1">#REF!</definedName>
    <definedName name="ggg" localSheetId="16" hidden="1">#REF!</definedName>
    <definedName name="ggg" localSheetId="17" hidden="1">#REF!</definedName>
    <definedName name="ggg" localSheetId="21" hidden="1">#REF!</definedName>
    <definedName name="ggg" localSheetId="22" hidden="1">#REF!</definedName>
    <definedName name="ggg" localSheetId="26" hidden="1">#REF!</definedName>
    <definedName name="ggg" localSheetId="27" hidden="1">#REF!</definedName>
    <definedName name="ggg" localSheetId="30" hidden="1">#REF!</definedName>
    <definedName name="ggg" localSheetId="28" hidden="1">#REF!</definedName>
    <definedName name="ggg" hidden="1">#REF!</definedName>
    <definedName name="hhh" localSheetId="18" hidden="1">#REF!</definedName>
    <definedName name="hhh" localSheetId="4" hidden="1">#REF!</definedName>
    <definedName name="hhh" localSheetId="5" hidden="1">#REF!</definedName>
    <definedName name="hhh" localSheetId="10" hidden="1">#REF!</definedName>
    <definedName name="hhh" localSheetId="11" hidden="1">#REF!</definedName>
    <definedName name="hhh" localSheetId="16" hidden="1">#REF!</definedName>
    <definedName name="hhh" localSheetId="17" hidden="1">#REF!</definedName>
    <definedName name="hhh" localSheetId="21" hidden="1">#REF!</definedName>
    <definedName name="hhh" localSheetId="22" hidden="1">#REF!</definedName>
    <definedName name="hhh" localSheetId="26" hidden="1">#REF!</definedName>
    <definedName name="hhh" localSheetId="27" hidden="1">#REF!</definedName>
    <definedName name="hhh" localSheetId="30" hidden="1">#REF!</definedName>
    <definedName name="hhh" localSheetId="28" hidden="1">#REF!</definedName>
    <definedName name="hhh" hidden="1">#REF!</definedName>
    <definedName name="_xlnm.Print_Area" localSheetId="18">'（参考）サニールージュトンネル被覆資本装備'!$B$1:$P$64</definedName>
    <definedName name="_xlnm.Print_Area" localSheetId="14">'（参考）ピオーネハウス資本装備'!$B$1:$P$64</definedName>
    <definedName name="_xlnm.Print_Area" localSheetId="0">'１　対象経営の概要，２　前提条件'!$B$1:$AP$29</definedName>
    <definedName name="_xlnm.Print_Area" localSheetId="2">'３－1　ピオーネ（トンネル）標準技術'!$B$1:$O$11</definedName>
    <definedName name="_xlnm.Print_Area" localSheetId="1">'３－１　ピオーネ（加温）標準技術'!$A$1:$P$11</definedName>
    <definedName name="_xlnm.Print_Area" localSheetId="3">'３－２　シャイン（加温）標準技術'!$B$2:$P$11</definedName>
    <definedName name="_xlnm.Print_Area" localSheetId="4">'３－３　シャイン（トンネル）標準技術 '!$B$1:$O$11</definedName>
    <definedName name="_xlnm.Print_Area" localSheetId="5">'３－５　サニールージュ標準技術 '!$B$1:$O$11</definedName>
    <definedName name="_xlnm.Print_Area" localSheetId="6">'４　経営収支'!$A$2:$L$50</definedName>
    <definedName name="_xlnm.Print_Area" localSheetId="9">'５－１　ピオーネ（トンネル）作業時間'!$B$1:$AM$42</definedName>
    <definedName name="_xlnm.Print_Area" localSheetId="8">'５－１　ピオーネ(加温)作業時間'!$B$1:$AM$42</definedName>
    <definedName name="_xlnm.Print_Area" localSheetId="10">'５－２　シャイン（加温）作業時間'!$B$1:$AM$42</definedName>
    <definedName name="_xlnm.Print_Area" localSheetId="11">'５－３　シャイン（トンネル）作業時間'!$B$1:$AM$42</definedName>
    <definedName name="_xlnm.Print_Area" localSheetId="12">'５－５　サニールージュ作業時間'!$B$1:$AM$42</definedName>
    <definedName name="_xlnm.Print_Area" localSheetId="13">'６　固定資本装備と減価償却費'!$B$1:$P$38</definedName>
    <definedName name="_xlnm.Print_Area" localSheetId="15">'６-１　ピオーネトンネル被覆資本装備'!$B$1:$P$35</definedName>
    <definedName name="_xlnm.Print_Area" localSheetId="16">'６-２　シャイントハウス資本装備'!$B$1:$P$41</definedName>
    <definedName name="_xlnm.Print_Area" localSheetId="17">'６-３　シャイントンネル被覆資本装備'!$A$1:$P$58</definedName>
    <definedName name="_xlnm.Print_Area" localSheetId="20">'７－１　ピオーネ（トンネル）部門収支'!$B$1:$S$45</definedName>
    <definedName name="_xlnm.Print_Area" localSheetId="19">'７－１　ピオーネ（加温）部門収支'!$B$1:$S$45</definedName>
    <definedName name="_xlnm.Print_Area" localSheetId="21">'７－２　シャイン（加温）部門収支'!$B$1:$S$45</definedName>
    <definedName name="_xlnm.Print_Area" localSheetId="22">'７－３　シャイン（トンネル）部門収支'!$B$1:$S$45</definedName>
    <definedName name="_xlnm.Print_Area" localSheetId="23">'７－５　サニールージュ部門収支'!$B$1:$S$45</definedName>
    <definedName name="_xlnm.Print_Area" localSheetId="25">'８－１　ピオーネ（トンネル）算出基礎'!$B$1:$V$61</definedName>
    <definedName name="_xlnm.Print_Area" localSheetId="24">'８－１　ピオーネ（加温）算出基礎'!$B$1:$V$61</definedName>
    <definedName name="_xlnm.Print_Area" localSheetId="26">'８－２　シャイン（加温）算出基礎 '!$B$1:$V$62</definedName>
    <definedName name="_xlnm.Print_Area" localSheetId="27">'８－３　シャイン（トンネル）算出基礎 '!$B$1:$V$62</definedName>
    <definedName name="_xlnm.Print_Area" localSheetId="30">'８－５　サニールージュ算出基礎'!$B$1:$V$61</definedName>
    <definedName name="_xlnm.Print_Area" localSheetId="7">作業時間まとめ!$B$2:$AM$14</definedName>
    <definedName name="simizu" localSheetId="18" hidden="1">#REF!</definedName>
    <definedName name="simizu" localSheetId="4" hidden="1">#REF!</definedName>
    <definedName name="simizu" localSheetId="5" hidden="1">#REF!</definedName>
    <definedName name="simizu" localSheetId="10" hidden="1">#REF!</definedName>
    <definedName name="simizu" localSheetId="11" hidden="1">#REF!</definedName>
    <definedName name="simizu" localSheetId="16" hidden="1">#REF!</definedName>
    <definedName name="simizu" localSheetId="17" hidden="1">#REF!</definedName>
    <definedName name="simizu" localSheetId="21" hidden="1">#REF!</definedName>
    <definedName name="simizu" localSheetId="22" hidden="1">#REF!</definedName>
    <definedName name="simizu" localSheetId="26" hidden="1">#REF!</definedName>
    <definedName name="simizu" localSheetId="27" hidden="1">#REF!</definedName>
    <definedName name="simizu" localSheetId="30" hidden="1">#REF!</definedName>
    <definedName name="simizu" localSheetId="28" hidden="1">#REF!</definedName>
    <definedName name="simizu" localSheetId="32" hidden="1">#REF!</definedName>
    <definedName name="simizu" localSheetId="31" hidden="1">#REF!</definedName>
    <definedName name="simizu" hidden="1">#REF!</definedName>
    <definedName name="ううう" localSheetId="18" hidden="1">#REF!</definedName>
    <definedName name="ううう" localSheetId="10" hidden="1">#REF!</definedName>
    <definedName name="ううう" localSheetId="11" hidden="1">#REF!</definedName>
    <definedName name="ううう" localSheetId="16" hidden="1">#REF!</definedName>
    <definedName name="ううう" localSheetId="17" hidden="1">#REF!</definedName>
    <definedName name="ううう" localSheetId="26" hidden="1">#REF!</definedName>
    <definedName name="ううう" localSheetId="27" hidden="1">#REF!</definedName>
    <definedName name="ううう" localSheetId="30" hidden="1">#REF!</definedName>
    <definedName name="ううう" localSheetId="28" hidden="1">#REF!</definedName>
    <definedName name="ううう" hidden="1">#REF!</definedName>
  </definedNames>
  <calcPr calcId="145621"/>
</workbook>
</file>

<file path=xl/calcChain.xml><?xml version="1.0" encoding="utf-8"?>
<calcChain xmlns="http://schemas.openxmlformats.org/spreadsheetml/2006/main">
  <c r="O20" i="64" l="1"/>
  <c r="M20" i="64"/>
  <c r="L20" i="64"/>
  <c r="K20" i="64"/>
  <c r="J20" i="64"/>
  <c r="I20" i="64"/>
  <c r="O19" i="64"/>
  <c r="O18" i="64"/>
  <c r="M20" i="63"/>
  <c r="L20" i="63"/>
  <c r="K20" i="63"/>
  <c r="J20" i="63"/>
  <c r="I20" i="63"/>
  <c r="H20" i="63"/>
  <c r="O19" i="63"/>
  <c r="O18" i="63"/>
  <c r="O20" i="63" s="1"/>
  <c r="O17" i="63"/>
  <c r="N56" i="52"/>
  <c r="N47" i="52"/>
  <c r="N39" i="52"/>
  <c r="N56" i="51"/>
  <c r="N47" i="51"/>
  <c r="N39" i="51"/>
  <c r="N39" i="38"/>
  <c r="N56" i="38"/>
  <c r="N47" i="38" l="1"/>
  <c r="P15" i="49"/>
  <c r="P15" i="37"/>
  <c r="P15" i="50"/>
  <c r="N53" i="59" l="1"/>
  <c r="N30" i="33"/>
  <c r="C38" i="28" l="1"/>
  <c r="F15" i="62"/>
  <c r="F14" i="62"/>
  <c r="F13" i="62"/>
  <c r="C27" i="61" l="1"/>
  <c r="D12" i="61"/>
  <c r="E12" i="61"/>
  <c r="F12" i="61"/>
  <c r="G12" i="61"/>
  <c r="H12" i="61"/>
  <c r="I12" i="61"/>
  <c r="J12" i="61"/>
  <c r="K12" i="61"/>
  <c r="L12" i="61"/>
  <c r="M12" i="61"/>
  <c r="N12" i="61"/>
  <c r="O12" i="61"/>
  <c r="P12" i="61"/>
  <c r="Q12" i="61"/>
  <c r="R12" i="61"/>
  <c r="S12" i="61"/>
  <c r="T12" i="61"/>
  <c r="U12" i="61"/>
  <c r="V12" i="61"/>
  <c r="W12" i="61"/>
  <c r="X12" i="61"/>
  <c r="Y12" i="61"/>
  <c r="Z12" i="61"/>
  <c r="AA12" i="61"/>
  <c r="AB12" i="61"/>
  <c r="AC12" i="61"/>
  <c r="AD12" i="61"/>
  <c r="AE12" i="61"/>
  <c r="AF12" i="61"/>
  <c r="AG12" i="61"/>
  <c r="AH12" i="61"/>
  <c r="AI12" i="61"/>
  <c r="AJ12" i="61"/>
  <c r="AK12" i="61"/>
  <c r="AL12" i="61"/>
  <c r="C12" i="61"/>
  <c r="AM12" i="61" s="1"/>
  <c r="C26" i="61" s="1"/>
  <c r="AM11" i="61" l="1"/>
  <c r="C25" i="61" s="1"/>
  <c r="AM10" i="61"/>
  <c r="C24" i="61" s="1"/>
  <c r="C38" i="29"/>
  <c r="C38" i="54"/>
  <c r="C38" i="53"/>
  <c r="C38" i="27"/>
  <c r="Y42" i="54" l="1"/>
  <c r="Y7" i="61" s="1"/>
  <c r="AC42" i="29"/>
  <c r="AC8" i="61" s="1"/>
  <c r="AL42" i="29"/>
  <c r="AL8" i="61" s="1"/>
  <c r="AD42" i="29"/>
  <c r="AD8" i="61" s="1"/>
  <c r="F4" i="22" l="1"/>
  <c r="K8" i="60" l="1"/>
  <c r="G8" i="60"/>
  <c r="I8" i="60" s="1"/>
  <c r="L8" i="60" s="1"/>
  <c r="P8" i="60" s="1"/>
  <c r="K7" i="60"/>
  <c r="G7" i="60"/>
  <c r="I7" i="60" s="1"/>
  <c r="L7" i="60" s="1"/>
  <c r="P7" i="60" s="1"/>
  <c r="K6" i="60"/>
  <c r="I6" i="60"/>
  <c r="L6" i="60" s="1"/>
  <c r="P6" i="60" s="1"/>
  <c r="K5" i="60"/>
  <c r="G5" i="60"/>
  <c r="I5" i="60" s="1"/>
  <c r="L5" i="60" s="1"/>
  <c r="P5" i="60" s="1"/>
  <c r="G8" i="59"/>
  <c r="G7" i="59"/>
  <c r="G5" i="59"/>
  <c r="G9" i="58"/>
  <c r="G5" i="58"/>
  <c r="G8" i="33"/>
  <c r="G7" i="33"/>
  <c r="G5" i="33"/>
  <c r="G9" i="30"/>
  <c r="G5" i="30"/>
  <c r="G10" i="23"/>
  <c r="G9" i="23"/>
  <c r="G5" i="23"/>
  <c r="AP34" i="27" l="1"/>
  <c r="AO34" i="27"/>
  <c r="AQ33" i="27"/>
  <c r="AQ32" i="27"/>
  <c r="AQ31" i="27"/>
  <c r="AQ30" i="27"/>
  <c r="AQ29" i="27"/>
  <c r="AQ28" i="27"/>
  <c r="AQ27" i="27"/>
  <c r="AQ26" i="27"/>
  <c r="AQ25" i="27"/>
  <c r="AQ24" i="27"/>
  <c r="AQ23" i="27"/>
  <c r="AQ22" i="27"/>
  <c r="AQ21" i="27"/>
  <c r="AQ20" i="27"/>
  <c r="AQ19" i="27"/>
  <c r="AQ18" i="27"/>
  <c r="AQ17" i="27"/>
  <c r="AQ16" i="27"/>
  <c r="AQ15" i="27"/>
  <c r="AQ14" i="27"/>
  <c r="AQ13" i="27"/>
  <c r="AQ12" i="27"/>
  <c r="AQ11" i="27"/>
  <c r="AQ10" i="27"/>
  <c r="AQ9" i="27"/>
  <c r="AQ8" i="27"/>
  <c r="AP34" i="28"/>
  <c r="AO34" i="28"/>
  <c r="AQ33" i="28"/>
  <c r="AQ32" i="28"/>
  <c r="AQ31" i="28"/>
  <c r="AQ30" i="28"/>
  <c r="AQ29" i="28"/>
  <c r="AQ28" i="28"/>
  <c r="AQ27" i="28"/>
  <c r="AQ26" i="28"/>
  <c r="AQ25" i="28"/>
  <c r="AQ24" i="28"/>
  <c r="AQ23" i="28"/>
  <c r="AQ22" i="28"/>
  <c r="AQ21" i="28"/>
  <c r="AQ20" i="28"/>
  <c r="AQ19" i="28"/>
  <c r="AQ18" i="28"/>
  <c r="AQ17" i="28"/>
  <c r="AQ16" i="28"/>
  <c r="AQ15" i="28"/>
  <c r="AQ14" i="28"/>
  <c r="AQ13" i="28"/>
  <c r="AQ12" i="28"/>
  <c r="AQ11" i="28"/>
  <c r="AQ10" i="28"/>
  <c r="AQ9" i="28"/>
  <c r="AQ8" i="28"/>
  <c r="AP34" i="53"/>
  <c r="AO34" i="53"/>
  <c r="AQ33" i="53"/>
  <c r="AQ32" i="53"/>
  <c r="AQ31" i="53"/>
  <c r="AQ30" i="53"/>
  <c r="AQ29" i="53"/>
  <c r="AQ28" i="53"/>
  <c r="AQ27" i="53"/>
  <c r="AQ26" i="53"/>
  <c r="AQ25" i="53"/>
  <c r="AQ24" i="53"/>
  <c r="AQ23" i="53"/>
  <c r="AQ22" i="53"/>
  <c r="AQ21" i="53"/>
  <c r="AQ20" i="53"/>
  <c r="AQ19" i="53"/>
  <c r="AQ18" i="53"/>
  <c r="AQ17" i="53"/>
  <c r="AQ16" i="53"/>
  <c r="AQ15" i="53"/>
  <c r="AQ14" i="53"/>
  <c r="AQ13" i="53"/>
  <c r="AQ12" i="53"/>
  <c r="AQ11" i="53"/>
  <c r="AQ10" i="53"/>
  <c r="AQ9" i="53"/>
  <c r="AQ8" i="53"/>
  <c r="AP34" i="54"/>
  <c r="AO34" i="54"/>
  <c r="AQ33" i="54"/>
  <c r="AQ32" i="54"/>
  <c r="AQ31" i="54"/>
  <c r="AQ30" i="54"/>
  <c r="AQ29" i="54"/>
  <c r="AQ28" i="54"/>
  <c r="AQ27" i="54"/>
  <c r="AQ26" i="54"/>
  <c r="AQ25" i="54"/>
  <c r="AQ24" i="54"/>
  <c r="AQ23" i="54"/>
  <c r="AQ22" i="54"/>
  <c r="AQ21" i="54"/>
  <c r="AQ20" i="54"/>
  <c r="AQ19" i="54"/>
  <c r="AQ18" i="54"/>
  <c r="AQ17" i="54"/>
  <c r="AQ16" i="54"/>
  <c r="AQ15" i="54"/>
  <c r="AQ14" i="54"/>
  <c r="AQ13" i="54"/>
  <c r="AQ12" i="54"/>
  <c r="AQ11" i="54"/>
  <c r="AQ10" i="54"/>
  <c r="AQ9" i="54"/>
  <c r="AQ8" i="54"/>
  <c r="AQ34" i="54" s="1"/>
  <c r="AQ34" i="27" l="1"/>
  <c r="AQ34" i="28"/>
  <c r="AQ34" i="53"/>
  <c r="AP34" i="29"/>
  <c r="AO34" i="29"/>
  <c r="AQ33" i="29"/>
  <c r="AQ32" i="29"/>
  <c r="AQ31" i="29"/>
  <c r="AQ30" i="29"/>
  <c r="AQ29" i="29"/>
  <c r="AQ28" i="29"/>
  <c r="AQ27" i="29"/>
  <c r="AQ26" i="29"/>
  <c r="AQ25" i="29"/>
  <c r="AQ24" i="29"/>
  <c r="AQ23" i="29"/>
  <c r="AQ22" i="29"/>
  <c r="AQ21" i="29"/>
  <c r="AQ20" i="29"/>
  <c r="AQ19" i="29"/>
  <c r="AQ18" i="29"/>
  <c r="AQ17" i="29"/>
  <c r="AQ16" i="29"/>
  <c r="AQ15" i="29"/>
  <c r="AQ14" i="29"/>
  <c r="AQ13" i="29"/>
  <c r="AQ12" i="29"/>
  <c r="AQ11" i="29"/>
  <c r="AQ10" i="29"/>
  <c r="AQ9" i="29"/>
  <c r="AQ8" i="29"/>
  <c r="AQ34" i="29" l="1"/>
  <c r="F8" i="22" l="1"/>
  <c r="V58" i="57"/>
  <c r="V9" i="52" l="1"/>
  <c r="G60" i="52"/>
  <c r="F60" i="52"/>
  <c r="D60" i="52"/>
  <c r="F60" i="51"/>
  <c r="D60" i="51"/>
  <c r="G60" i="51" s="1"/>
  <c r="F61" i="51"/>
  <c r="I30" i="45"/>
  <c r="G30" i="45"/>
  <c r="K21" i="60" l="1"/>
  <c r="K21" i="59"/>
  <c r="K22" i="58"/>
  <c r="K21" i="33"/>
  <c r="K22" i="30"/>
  <c r="G17" i="33" l="1"/>
  <c r="G14" i="23" s="1"/>
  <c r="G17" i="30"/>
  <c r="G17" i="58"/>
  <c r="G17" i="59"/>
  <c r="G17" i="60"/>
  <c r="G59" i="30" l="1"/>
  <c r="P59" i="60"/>
  <c r="G59" i="60"/>
  <c r="D19" i="23" l="1"/>
  <c r="C19" i="23"/>
  <c r="D5" i="51" l="1"/>
  <c r="D61" i="51"/>
  <c r="D61" i="52"/>
  <c r="F27" i="45"/>
  <c r="G27" i="45"/>
  <c r="I27" i="45" l="1"/>
  <c r="D8" i="57" l="1"/>
  <c r="G11" i="57"/>
  <c r="F11" i="57"/>
  <c r="F10" i="57"/>
  <c r="G10" i="57" s="1"/>
  <c r="F11" i="52"/>
  <c r="F10" i="52"/>
  <c r="F11" i="51"/>
  <c r="F10" i="51"/>
  <c r="G10" i="36"/>
  <c r="S10" i="51" l="1"/>
  <c r="V10" i="51" s="1"/>
  <c r="S7" i="51"/>
  <c r="S6" i="51"/>
  <c r="S10" i="36"/>
  <c r="V10" i="36" s="1"/>
  <c r="S7" i="36"/>
  <c r="S6" i="36"/>
  <c r="V7" i="36" l="1"/>
  <c r="V6" i="36"/>
  <c r="K20" i="60" l="1"/>
  <c r="K19" i="60"/>
  <c r="K18" i="60"/>
  <c r="K17" i="60"/>
  <c r="K16" i="60"/>
  <c r="K7" i="59"/>
  <c r="K20" i="59"/>
  <c r="K19" i="59"/>
  <c r="K18" i="59"/>
  <c r="K17" i="59"/>
  <c r="K16" i="59"/>
  <c r="K8" i="59"/>
  <c r="K6" i="59"/>
  <c r="K5" i="59"/>
  <c r="K21" i="58"/>
  <c r="K8" i="58"/>
  <c r="K7" i="58"/>
  <c r="K20" i="58"/>
  <c r="K19" i="58"/>
  <c r="K18" i="58"/>
  <c r="K17" i="58"/>
  <c r="K16" i="58"/>
  <c r="K9" i="58"/>
  <c r="K6" i="58"/>
  <c r="K5" i="58"/>
  <c r="K7" i="33"/>
  <c r="K20" i="33"/>
  <c r="K19" i="33"/>
  <c r="K18" i="33"/>
  <c r="K17" i="33"/>
  <c r="K16" i="33"/>
  <c r="K8" i="33"/>
  <c r="K6" i="33"/>
  <c r="K5" i="33"/>
  <c r="K21" i="30" l="1"/>
  <c r="K20" i="30"/>
  <c r="K19" i="30"/>
  <c r="K18" i="30"/>
  <c r="K17" i="30"/>
  <c r="K16" i="30"/>
  <c r="K8" i="30"/>
  <c r="K7" i="30"/>
  <c r="K9" i="30"/>
  <c r="K5" i="30"/>
  <c r="K6" i="30"/>
  <c r="I5" i="33" l="1"/>
  <c r="L5" i="33" s="1"/>
  <c r="P5" i="33" s="1"/>
  <c r="D69" i="60" l="1"/>
  <c r="N25" i="51" l="1"/>
  <c r="S11" i="57"/>
  <c r="V11" i="57"/>
  <c r="S9" i="52" l="1"/>
  <c r="S8" i="52"/>
  <c r="S7" i="52"/>
  <c r="S6" i="52"/>
  <c r="S5" i="52"/>
  <c r="S11" i="52"/>
  <c r="V11" i="52" s="1"/>
  <c r="S11" i="38"/>
  <c r="V11" i="38"/>
  <c r="L6" i="30"/>
  <c r="D72" i="30"/>
  <c r="G7" i="30"/>
  <c r="G8" i="30"/>
  <c r="V30" i="51" l="1"/>
  <c r="V31" i="51"/>
  <c r="V32" i="51"/>
  <c r="V33" i="51"/>
  <c r="V34" i="51"/>
  <c r="V35" i="51"/>
  <c r="V36" i="51"/>
  <c r="V37" i="51"/>
  <c r="F54" i="51"/>
  <c r="F59" i="51"/>
  <c r="F58" i="51"/>
  <c r="F48" i="51"/>
  <c r="F47" i="51"/>
  <c r="F46" i="51"/>
  <c r="F45" i="51"/>
  <c r="F44" i="51"/>
  <c r="F43" i="51"/>
  <c r="F36" i="51"/>
  <c r="F35" i="51"/>
  <c r="F34" i="51"/>
  <c r="F33" i="51"/>
  <c r="F32" i="51"/>
  <c r="F31" i="51"/>
  <c r="F30" i="51"/>
  <c r="F29" i="51"/>
  <c r="D59" i="51"/>
  <c r="D58" i="51"/>
  <c r="D54" i="51"/>
  <c r="D48" i="51"/>
  <c r="D47" i="51"/>
  <c r="D46" i="51"/>
  <c r="D45" i="51"/>
  <c r="D44" i="51"/>
  <c r="D43" i="51"/>
  <c r="D36" i="51"/>
  <c r="D35" i="51"/>
  <c r="G35" i="51" s="1"/>
  <c r="D34" i="51"/>
  <c r="D33" i="51"/>
  <c r="G33" i="51" s="1"/>
  <c r="D32" i="51"/>
  <c r="D31" i="51"/>
  <c r="D30" i="51"/>
  <c r="D29" i="51"/>
  <c r="F18" i="51"/>
  <c r="F14" i="51"/>
  <c r="F13" i="51"/>
  <c r="F5" i="51"/>
  <c r="D18" i="51"/>
  <c r="D14" i="51"/>
  <c r="D13" i="51"/>
  <c r="D11" i="51"/>
  <c r="G11" i="51" s="1"/>
  <c r="D10" i="51"/>
  <c r="G10" i="51" s="1"/>
  <c r="D9" i="51"/>
  <c r="D8" i="51"/>
  <c r="G34" i="51" l="1"/>
  <c r="K11" i="36"/>
  <c r="V37" i="36"/>
  <c r="V36" i="36"/>
  <c r="V35" i="36"/>
  <c r="V34" i="36"/>
  <c r="V33" i="36"/>
  <c r="V32" i="36"/>
  <c r="V31" i="36"/>
  <c r="V30" i="36"/>
  <c r="S31" i="36"/>
  <c r="S30" i="36"/>
  <c r="S29" i="36"/>
  <c r="S28" i="36"/>
  <c r="S26" i="36"/>
  <c r="S25" i="36"/>
  <c r="S9" i="36"/>
  <c r="S8" i="36"/>
  <c r="S5" i="36"/>
  <c r="F60" i="36"/>
  <c r="G60" i="36" s="1"/>
  <c r="F59" i="36"/>
  <c r="F58" i="36"/>
  <c r="G56" i="36"/>
  <c r="G55" i="36"/>
  <c r="F54" i="36"/>
  <c r="D60" i="36"/>
  <c r="C60" i="36"/>
  <c r="D59" i="36"/>
  <c r="G59" i="36" s="1"/>
  <c r="C59" i="36"/>
  <c r="D58" i="36"/>
  <c r="C58" i="36"/>
  <c r="D54" i="36"/>
  <c r="C54" i="36"/>
  <c r="F48" i="36"/>
  <c r="F47" i="36"/>
  <c r="F46" i="36"/>
  <c r="G46" i="36" s="1"/>
  <c r="F45" i="36"/>
  <c r="F44" i="36"/>
  <c r="F43" i="36"/>
  <c r="D48" i="36"/>
  <c r="D47" i="36"/>
  <c r="D46" i="36"/>
  <c r="D45" i="36"/>
  <c r="D44" i="36"/>
  <c r="D43" i="36"/>
  <c r="C48" i="36"/>
  <c r="C47" i="36"/>
  <c r="C46" i="36"/>
  <c r="C45" i="36"/>
  <c r="C44" i="36"/>
  <c r="C43" i="36"/>
  <c r="F36" i="36"/>
  <c r="G35" i="36"/>
  <c r="F35" i="36"/>
  <c r="F34" i="36"/>
  <c r="G33" i="36"/>
  <c r="F33" i="36"/>
  <c r="F32" i="36"/>
  <c r="F31" i="36"/>
  <c r="G31" i="36" s="1"/>
  <c r="F30" i="36"/>
  <c r="F29" i="36"/>
  <c r="D36" i="36"/>
  <c r="C36" i="36"/>
  <c r="D35" i="36"/>
  <c r="C35" i="36"/>
  <c r="D34" i="36"/>
  <c r="C34" i="36"/>
  <c r="D33" i="36"/>
  <c r="C33" i="36"/>
  <c r="D32" i="36"/>
  <c r="C32" i="36"/>
  <c r="D31" i="36"/>
  <c r="C31" i="36"/>
  <c r="D30" i="36"/>
  <c r="C30" i="36"/>
  <c r="D29" i="36"/>
  <c r="G29" i="36" s="1"/>
  <c r="C29" i="36"/>
  <c r="C18" i="36"/>
  <c r="C14" i="36"/>
  <c r="C13" i="36"/>
  <c r="D18" i="36"/>
  <c r="D14" i="36"/>
  <c r="D13" i="36"/>
  <c r="D11" i="36"/>
  <c r="D10" i="36"/>
  <c r="D9" i="36"/>
  <c r="D8" i="36"/>
  <c r="D5" i="36"/>
  <c r="F18" i="36"/>
  <c r="F14" i="36"/>
  <c r="F13" i="36"/>
  <c r="F11" i="36"/>
  <c r="F10" i="36"/>
  <c r="F9" i="36"/>
  <c r="F8" i="36"/>
  <c r="F5" i="36"/>
  <c r="C11" i="36"/>
  <c r="C10" i="36"/>
  <c r="C9" i="36"/>
  <c r="C8" i="36"/>
  <c r="C5" i="36"/>
  <c r="G34" i="36" l="1"/>
  <c r="G43" i="36"/>
  <c r="G47" i="36"/>
  <c r="G32" i="36"/>
  <c r="G44" i="36"/>
  <c r="G48" i="36"/>
  <c r="G58" i="36"/>
  <c r="G36" i="36"/>
  <c r="G30" i="36"/>
  <c r="G45" i="36"/>
  <c r="G54" i="36"/>
  <c r="G57" i="36" s="1"/>
  <c r="D50" i="58"/>
  <c r="G36" i="58" s="1"/>
  <c r="G34" i="23" s="1"/>
  <c r="D66" i="59"/>
  <c r="G53" i="59" s="1"/>
  <c r="P15" i="39"/>
  <c r="D72" i="60"/>
  <c r="P62" i="60"/>
  <c r="I62" i="60"/>
  <c r="L62" i="60" s="1"/>
  <c r="N62" i="60" s="1"/>
  <c r="I61" i="60"/>
  <c r="L61" i="60" s="1"/>
  <c r="N61" i="60" s="1"/>
  <c r="I60" i="60"/>
  <c r="L60" i="60" s="1"/>
  <c r="N60" i="60" s="1"/>
  <c r="G58" i="60"/>
  <c r="P57" i="60"/>
  <c r="I57" i="60"/>
  <c r="L57" i="60" s="1"/>
  <c r="N57" i="60" s="1"/>
  <c r="P56" i="60"/>
  <c r="I56" i="60"/>
  <c r="L56" i="60" s="1"/>
  <c r="N56" i="60" s="1"/>
  <c r="P55" i="60"/>
  <c r="I55" i="60"/>
  <c r="L55" i="60" s="1"/>
  <c r="N55" i="60" s="1"/>
  <c r="P54" i="60"/>
  <c r="I54" i="60"/>
  <c r="L54" i="60" s="1"/>
  <c r="N54" i="60" s="1"/>
  <c r="P53" i="60"/>
  <c r="I53" i="60"/>
  <c r="L53" i="60" s="1"/>
  <c r="N53" i="60" s="1"/>
  <c r="P52" i="60"/>
  <c r="I52" i="60"/>
  <c r="L52" i="60" s="1"/>
  <c r="N52" i="60" s="1"/>
  <c r="P51" i="60"/>
  <c r="I51" i="60"/>
  <c r="L51" i="60" s="1"/>
  <c r="N51" i="60" s="1"/>
  <c r="P50" i="60"/>
  <c r="I50" i="60"/>
  <c r="L50" i="60" s="1"/>
  <c r="N50" i="60" s="1"/>
  <c r="P49" i="60"/>
  <c r="I49" i="60"/>
  <c r="L49" i="60" s="1"/>
  <c r="N49" i="60" s="1"/>
  <c r="P48" i="60"/>
  <c r="I48" i="60"/>
  <c r="L48" i="60" s="1"/>
  <c r="N48" i="60" s="1"/>
  <c r="P47" i="60"/>
  <c r="I47" i="60"/>
  <c r="L47" i="60" s="1"/>
  <c r="N47" i="60" s="1"/>
  <c r="P46" i="60"/>
  <c r="I46" i="60"/>
  <c r="L46" i="60" s="1"/>
  <c r="N46" i="60" s="1"/>
  <c r="P45" i="60"/>
  <c r="I45" i="60"/>
  <c r="L45" i="60" s="1"/>
  <c r="N45" i="60" s="1"/>
  <c r="P44" i="60"/>
  <c r="I44" i="60"/>
  <c r="L44" i="60" s="1"/>
  <c r="N44" i="60" s="1"/>
  <c r="P43" i="60"/>
  <c r="I43" i="60"/>
  <c r="L43" i="60" s="1"/>
  <c r="N43" i="60" s="1"/>
  <c r="P42" i="60"/>
  <c r="I42" i="60"/>
  <c r="L42" i="60" s="1"/>
  <c r="N42" i="60" s="1"/>
  <c r="P41" i="60"/>
  <c r="I41" i="60"/>
  <c r="L41" i="60" s="1"/>
  <c r="N41" i="60" s="1"/>
  <c r="P40" i="60"/>
  <c r="I40" i="60"/>
  <c r="L40" i="60" s="1"/>
  <c r="N40" i="60" s="1"/>
  <c r="P39" i="60"/>
  <c r="I39" i="60"/>
  <c r="L39" i="60" s="1"/>
  <c r="N39" i="60" s="1"/>
  <c r="P38" i="60"/>
  <c r="I38" i="60"/>
  <c r="L38" i="60" s="1"/>
  <c r="N38" i="60" s="1"/>
  <c r="P37" i="60"/>
  <c r="I37" i="60"/>
  <c r="L37" i="60" s="1"/>
  <c r="N37" i="60" s="1"/>
  <c r="P36" i="60"/>
  <c r="I36" i="60"/>
  <c r="L36" i="60" s="1"/>
  <c r="N36" i="60" s="1"/>
  <c r="P35" i="60"/>
  <c r="L35" i="60"/>
  <c r="N35" i="60" s="1"/>
  <c r="I35" i="60"/>
  <c r="P34" i="60"/>
  <c r="I34" i="60"/>
  <c r="L34" i="60" s="1"/>
  <c r="N34" i="60" s="1"/>
  <c r="P33" i="60"/>
  <c r="I33" i="60"/>
  <c r="L33" i="60" s="1"/>
  <c r="N33" i="60" s="1"/>
  <c r="P32" i="60"/>
  <c r="I32" i="60"/>
  <c r="L32" i="60" s="1"/>
  <c r="N32" i="60" s="1"/>
  <c r="P31" i="60"/>
  <c r="I31" i="60"/>
  <c r="L31" i="60" s="1"/>
  <c r="N31" i="60" s="1"/>
  <c r="P30" i="60"/>
  <c r="I30" i="60"/>
  <c r="L30" i="60" s="1"/>
  <c r="N30" i="60" s="1"/>
  <c r="P29" i="60"/>
  <c r="I29" i="60"/>
  <c r="L29" i="60" s="1"/>
  <c r="N29" i="60" s="1"/>
  <c r="P28" i="60"/>
  <c r="I28" i="60"/>
  <c r="L28" i="60" s="1"/>
  <c r="N28" i="60" s="1"/>
  <c r="P27" i="60"/>
  <c r="L27" i="60"/>
  <c r="N27" i="60" s="1"/>
  <c r="I27" i="60"/>
  <c r="P26" i="60"/>
  <c r="I26" i="60"/>
  <c r="L26" i="60" s="1"/>
  <c r="N26" i="60" s="1"/>
  <c r="P25" i="60"/>
  <c r="I25" i="60"/>
  <c r="L25" i="60" s="1"/>
  <c r="N25" i="60" s="1"/>
  <c r="P24" i="60"/>
  <c r="I24" i="60"/>
  <c r="L24" i="60" s="1"/>
  <c r="N24" i="60" s="1"/>
  <c r="P23" i="60"/>
  <c r="I23" i="60"/>
  <c r="L23" i="60" s="1"/>
  <c r="N23" i="60" s="1"/>
  <c r="P22" i="60"/>
  <c r="I22" i="60"/>
  <c r="L22" i="60" s="1"/>
  <c r="N22" i="60" s="1"/>
  <c r="I21" i="60"/>
  <c r="L21" i="60" s="1"/>
  <c r="I20" i="60"/>
  <c r="L20" i="60" s="1"/>
  <c r="I19" i="60"/>
  <c r="L19" i="60" s="1"/>
  <c r="I18" i="60"/>
  <c r="L18" i="60" s="1"/>
  <c r="I17" i="60"/>
  <c r="L17" i="60" s="1"/>
  <c r="I16" i="60"/>
  <c r="G15" i="60"/>
  <c r="P14" i="60"/>
  <c r="I14" i="60"/>
  <c r="L14" i="60" s="1"/>
  <c r="N14" i="60" s="1"/>
  <c r="P13" i="60"/>
  <c r="I13" i="60"/>
  <c r="L13" i="60" s="1"/>
  <c r="N13" i="60" s="1"/>
  <c r="P12" i="60"/>
  <c r="I12" i="60"/>
  <c r="L12" i="60" s="1"/>
  <c r="N12" i="60" s="1"/>
  <c r="P11" i="60"/>
  <c r="I11" i="60"/>
  <c r="L11" i="60" s="1"/>
  <c r="N11" i="60" s="1"/>
  <c r="P10" i="60"/>
  <c r="L10" i="60"/>
  <c r="N10" i="60" s="1"/>
  <c r="I10" i="60"/>
  <c r="I9" i="60"/>
  <c r="L9" i="60" s="1"/>
  <c r="P56" i="59"/>
  <c r="G52" i="59"/>
  <c r="P51" i="59"/>
  <c r="I51" i="59"/>
  <c r="L51" i="59" s="1"/>
  <c r="N51" i="59" s="1"/>
  <c r="P50" i="59"/>
  <c r="I50" i="59"/>
  <c r="L50" i="59" s="1"/>
  <c r="N50" i="59" s="1"/>
  <c r="P49" i="59"/>
  <c r="I49" i="59"/>
  <c r="L49" i="59" s="1"/>
  <c r="N49" i="59" s="1"/>
  <c r="P48" i="59"/>
  <c r="I48" i="59"/>
  <c r="L48" i="59" s="1"/>
  <c r="N48" i="59" s="1"/>
  <c r="P47" i="59"/>
  <c r="I47" i="59"/>
  <c r="L47" i="59" s="1"/>
  <c r="N47" i="59" s="1"/>
  <c r="P46" i="59"/>
  <c r="I46" i="59"/>
  <c r="L46" i="59" s="1"/>
  <c r="N46" i="59" s="1"/>
  <c r="P45" i="59"/>
  <c r="I45" i="59"/>
  <c r="L45" i="59" s="1"/>
  <c r="N45" i="59" s="1"/>
  <c r="P44" i="59"/>
  <c r="I44" i="59"/>
  <c r="L44" i="59" s="1"/>
  <c r="N44" i="59" s="1"/>
  <c r="P43" i="59"/>
  <c r="I43" i="59"/>
  <c r="L43" i="59" s="1"/>
  <c r="N43" i="59" s="1"/>
  <c r="P42" i="59"/>
  <c r="I42" i="59"/>
  <c r="L42" i="59" s="1"/>
  <c r="N42" i="59" s="1"/>
  <c r="P41" i="59"/>
  <c r="I41" i="59"/>
  <c r="L41" i="59" s="1"/>
  <c r="N41" i="59" s="1"/>
  <c r="P40" i="59"/>
  <c r="P39" i="59"/>
  <c r="P38" i="59"/>
  <c r="P37" i="59"/>
  <c r="P36" i="59"/>
  <c r="P35" i="59"/>
  <c r="P34" i="59"/>
  <c r="I34" i="59"/>
  <c r="L34" i="59" s="1"/>
  <c r="N34" i="59" s="1"/>
  <c r="P33" i="59"/>
  <c r="I33" i="59"/>
  <c r="L33" i="59" s="1"/>
  <c r="N33" i="59" s="1"/>
  <c r="P32" i="59"/>
  <c r="I32" i="59"/>
  <c r="L32" i="59" s="1"/>
  <c r="N32" i="59" s="1"/>
  <c r="P31" i="59"/>
  <c r="I31" i="59"/>
  <c r="L31" i="59" s="1"/>
  <c r="N31" i="59" s="1"/>
  <c r="P30" i="59"/>
  <c r="I30" i="59"/>
  <c r="L30" i="59" s="1"/>
  <c r="N30" i="59" s="1"/>
  <c r="P29" i="59"/>
  <c r="I29" i="59"/>
  <c r="L29" i="59" s="1"/>
  <c r="N29" i="59" s="1"/>
  <c r="P28" i="59"/>
  <c r="I28" i="59"/>
  <c r="L28" i="59" s="1"/>
  <c r="N28" i="59" s="1"/>
  <c r="P27" i="59"/>
  <c r="I27" i="59"/>
  <c r="L27" i="59" s="1"/>
  <c r="N27" i="59" s="1"/>
  <c r="P26" i="59"/>
  <c r="I26" i="59"/>
  <c r="L26" i="59" s="1"/>
  <c r="N26" i="59" s="1"/>
  <c r="P25" i="59"/>
  <c r="I25" i="59"/>
  <c r="L25" i="59" s="1"/>
  <c r="N25" i="59" s="1"/>
  <c r="P24" i="59"/>
  <c r="I24" i="59"/>
  <c r="L24" i="59" s="1"/>
  <c r="N24" i="59" s="1"/>
  <c r="P23" i="59"/>
  <c r="I23" i="59"/>
  <c r="L23" i="59" s="1"/>
  <c r="N23" i="59" s="1"/>
  <c r="P22" i="59"/>
  <c r="I22" i="59"/>
  <c r="L22" i="59" s="1"/>
  <c r="N22" i="59" s="1"/>
  <c r="I21" i="59"/>
  <c r="L21" i="59" s="1"/>
  <c r="I20" i="59"/>
  <c r="L20" i="59" s="1"/>
  <c r="I19" i="59"/>
  <c r="L19" i="59" s="1"/>
  <c r="I18" i="59"/>
  <c r="L18" i="59" s="1"/>
  <c r="I17" i="59"/>
  <c r="L17" i="59" s="1"/>
  <c r="I16" i="59"/>
  <c r="G15" i="59"/>
  <c r="P14" i="59"/>
  <c r="P13" i="59"/>
  <c r="P12" i="59"/>
  <c r="P11" i="59"/>
  <c r="P10" i="59"/>
  <c r="I8" i="59"/>
  <c r="L8" i="59" s="1"/>
  <c r="I7" i="59"/>
  <c r="L7" i="59" s="1"/>
  <c r="I6" i="59"/>
  <c r="L6" i="59" s="1"/>
  <c r="I5" i="59"/>
  <c r="P39" i="58"/>
  <c r="P38" i="58"/>
  <c r="P37" i="58"/>
  <c r="G35" i="58"/>
  <c r="P34" i="58"/>
  <c r="P33" i="58"/>
  <c r="P32" i="58"/>
  <c r="P31" i="58"/>
  <c r="P30" i="58"/>
  <c r="P29" i="58"/>
  <c r="P28" i="58"/>
  <c r="P27" i="58"/>
  <c r="P26" i="58"/>
  <c r="P25" i="58"/>
  <c r="P24" i="58"/>
  <c r="P23" i="58"/>
  <c r="I22" i="58"/>
  <c r="L22" i="58" s="1"/>
  <c r="P22" i="58" s="1"/>
  <c r="I21" i="58"/>
  <c r="L21" i="58" s="1"/>
  <c r="P21" i="58" s="1"/>
  <c r="I20" i="58"/>
  <c r="L20" i="58" s="1"/>
  <c r="I19" i="58"/>
  <c r="L19" i="58" s="1"/>
  <c r="P19" i="58" s="1"/>
  <c r="I18" i="58"/>
  <c r="L18" i="58" s="1"/>
  <c r="P18" i="58" s="1"/>
  <c r="I17" i="58"/>
  <c r="L17" i="58" s="1"/>
  <c r="P17" i="58" s="1"/>
  <c r="I16" i="58"/>
  <c r="G15" i="58"/>
  <c r="P14" i="58"/>
  <c r="P13" i="58"/>
  <c r="P12" i="58"/>
  <c r="P11" i="58"/>
  <c r="P10" i="58"/>
  <c r="I9" i="58"/>
  <c r="L9" i="58" s="1"/>
  <c r="I8" i="58"/>
  <c r="L8" i="58" s="1"/>
  <c r="P8" i="58" s="1"/>
  <c r="I7" i="58"/>
  <c r="L7" i="58" s="1"/>
  <c r="P7" i="58" s="1"/>
  <c r="I6" i="58"/>
  <c r="L6" i="58" s="1"/>
  <c r="P6" i="58" s="1"/>
  <c r="I5" i="58"/>
  <c r="L5" i="58" s="1"/>
  <c r="I36" i="58" l="1"/>
  <c r="I40" i="58" s="1"/>
  <c r="G40" i="58"/>
  <c r="L16" i="58"/>
  <c r="P16" i="58" s="1"/>
  <c r="G41" i="58"/>
  <c r="I15" i="58"/>
  <c r="P19" i="60"/>
  <c r="P61" i="60"/>
  <c r="I15" i="60"/>
  <c r="P7" i="59"/>
  <c r="P19" i="59"/>
  <c r="P55" i="59"/>
  <c r="I15" i="59"/>
  <c r="P20" i="60"/>
  <c r="P21" i="60"/>
  <c r="N9" i="60"/>
  <c r="P9" i="60" s="1"/>
  <c r="P17" i="60"/>
  <c r="I58" i="60"/>
  <c r="P18" i="60"/>
  <c r="L16" i="60"/>
  <c r="P60" i="60"/>
  <c r="G63" i="60"/>
  <c r="G64" i="60" s="1"/>
  <c r="I59" i="60"/>
  <c r="P20" i="59"/>
  <c r="P8" i="59"/>
  <c r="P21" i="59"/>
  <c r="P9" i="59"/>
  <c r="P17" i="59"/>
  <c r="L5" i="59"/>
  <c r="P6" i="59"/>
  <c r="I52" i="59"/>
  <c r="P18" i="59"/>
  <c r="L16" i="59"/>
  <c r="P54" i="59"/>
  <c r="G57" i="59"/>
  <c r="G58" i="59" s="1"/>
  <c r="I53" i="59"/>
  <c r="P20" i="58"/>
  <c r="L35" i="58"/>
  <c r="L15" i="58"/>
  <c r="P5" i="58"/>
  <c r="P9" i="58"/>
  <c r="I35" i="58"/>
  <c r="L36" i="58"/>
  <c r="P36" i="49"/>
  <c r="P35" i="49"/>
  <c r="P34" i="49"/>
  <c r="P33" i="49"/>
  <c r="P31" i="49"/>
  <c r="P21" i="49"/>
  <c r="O33" i="39"/>
  <c r="O31" i="39"/>
  <c r="O30" i="39"/>
  <c r="P36" i="39"/>
  <c r="P35" i="39"/>
  <c r="P34" i="39"/>
  <c r="P20" i="39"/>
  <c r="P19" i="39"/>
  <c r="P17" i="39"/>
  <c r="P17" i="37"/>
  <c r="F60" i="57"/>
  <c r="F59" i="57"/>
  <c r="D59" i="57"/>
  <c r="V60" i="57"/>
  <c r="N58" i="57"/>
  <c r="N60" i="57" s="1"/>
  <c r="F58" i="57"/>
  <c r="G58" i="57" s="1"/>
  <c r="D58" i="57"/>
  <c r="G56" i="57"/>
  <c r="G55" i="57"/>
  <c r="N54" i="57"/>
  <c r="F54" i="57"/>
  <c r="D54" i="57"/>
  <c r="V52" i="57"/>
  <c r="V54" i="57" s="1"/>
  <c r="G52" i="57"/>
  <c r="G51" i="57"/>
  <c r="N50" i="57"/>
  <c r="G50" i="57"/>
  <c r="G49" i="57"/>
  <c r="V48" i="57"/>
  <c r="F48" i="57"/>
  <c r="D48" i="57"/>
  <c r="G48" i="57" s="1"/>
  <c r="C48" i="57"/>
  <c r="F47" i="57"/>
  <c r="D47" i="57"/>
  <c r="G47" i="57" s="1"/>
  <c r="C47" i="57"/>
  <c r="F46" i="57"/>
  <c r="D46" i="57"/>
  <c r="C46" i="57"/>
  <c r="F45" i="57"/>
  <c r="G45" i="57" s="1"/>
  <c r="D45" i="57"/>
  <c r="C45" i="57"/>
  <c r="F44" i="57"/>
  <c r="G44" i="57" s="1"/>
  <c r="D44" i="57"/>
  <c r="C44" i="57"/>
  <c r="F43" i="57"/>
  <c r="D43" i="57"/>
  <c r="C43" i="57"/>
  <c r="G41" i="57"/>
  <c r="G40" i="57"/>
  <c r="G39" i="57"/>
  <c r="G38" i="57"/>
  <c r="V37" i="57"/>
  <c r="G37" i="57"/>
  <c r="V36" i="57"/>
  <c r="F36" i="57"/>
  <c r="D36" i="57"/>
  <c r="G36" i="57" s="1"/>
  <c r="V35" i="57"/>
  <c r="F35" i="57"/>
  <c r="D35" i="57"/>
  <c r="G35" i="57" s="1"/>
  <c r="V34" i="57"/>
  <c r="F34" i="57"/>
  <c r="D34" i="57"/>
  <c r="G34" i="57" s="1"/>
  <c r="V33" i="57"/>
  <c r="L33" i="57"/>
  <c r="K33" i="57"/>
  <c r="F33" i="57"/>
  <c r="D33" i="57"/>
  <c r="V32" i="57"/>
  <c r="F32" i="57"/>
  <c r="D32" i="57"/>
  <c r="V31" i="57"/>
  <c r="N31" i="57"/>
  <c r="F31" i="57"/>
  <c r="D31" i="57"/>
  <c r="G31" i="57" s="1"/>
  <c r="V30" i="57"/>
  <c r="N30" i="57"/>
  <c r="N33" i="57" s="1"/>
  <c r="F30" i="57"/>
  <c r="D30" i="57"/>
  <c r="G30" i="57" s="1"/>
  <c r="V29" i="57"/>
  <c r="N29" i="57"/>
  <c r="F29" i="57"/>
  <c r="D29" i="57"/>
  <c r="G29" i="57" s="1"/>
  <c r="V28" i="57"/>
  <c r="L28" i="57"/>
  <c r="K28" i="57"/>
  <c r="V27" i="57"/>
  <c r="N27" i="57"/>
  <c r="V26" i="57"/>
  <c r="V38" i="57" s="1"/>
  <c r="F11" i="39" s="1"/>
  <c r="N26" i="57"/>
  <c r="V25" i="57"/>
  <c r="N25" i="57"/>
  <c r="N28" i="57" s="1"/>
  <c r="L24" i="57"/>
  <c r="K24" i="57"/>
  <c r="G24" i="57"/>
  <c r="N23" i="57"/>
  <c r="N24" i="57" s="1"/>
  <c r="G23" i="57"/>
  <c r="N22" i="57"/>
  <c r="G22" i="57"/>
  <c r="G25" i="57" s="1"/>
  <c r="N21" i="57"/>
  <c r="L20" i="57"/>
  <c r="K20" i="57"/>
  <c r="G20" i="57"/>
  <c r="N19" i="57"/>
  <c r="G19" i="57"/>
  <c r="N18" i="57"/>
  <c r="F18" i="57"/>
  <c r="D18" i="57"/>
  <c r="G18" i="57" s="1"/>
  <c r="G21" i="57" s="1"/>
  <c r="N17" i="57"/>
  <c r="L16" i="57"/>
  <c r="K16" i="57"/>
  <c r="G16" i="57"/>
  <c r="N15" i="57"/>
  <c r="G15" i="57"/>
  <c r="N14" i="57"/>
  <c r="F14" i="57"/>
  <c r="D14" i="57"/>
  <c r="G14" i="57" s="1"/>
  <c r="N13" i="57"/>
  <c r="F13" i="57"/>
  <c r="D13" i="57"/>
  <c r="G13" i="57" s="1"/>
  <c r="G17" i="57" s="1"/>
  <c r="N12" i="57"/>
  <c r="L11" i="57"/>
  <c r="K11" i="57"/>
  <c r="D11" i="57"/>
  <c r="C11" i="57"/>
  <c r="V10" i="57"/>
  <c r="D10" i="57"/>
  <c r="C10" i="57"/>
  <c r="V9" i="57"/>
  <c r="V21" i="57" s="1"/>
  <c r="F10" i="39" s="1"/>
  <c r="N9" i="57"/>
  <c r="F9" i="57"/>
  <c r="D9" i="57"/>
  <c r="G9" i="57" s="1"/>
  <c r="C9" i="57"/>
  <c r="V8" i="57"/>
  <c r="N8" i="57"/>
  <c r="F8" i="57"/>
  <c r="G8" i="57" s="1"/>
  <c r="C8" i="57"/>
  <c r="V7" i="57"/>
  <c r="N7" i="57"/>
  <c r="V6" i="57"/>
  <c r="N6" i="57"/>
  <c r="G6" i="57"/>
  <c r="V5" i="57"/>
  <c r="F5" i="57"/>
  <c r="D5" i="57"/>
  <c r="G5" i="57" s="1"/>
  <c r="G7" i="57" s="1"/>
  <c r="N58" i="52"/>
  <c r="V52" i="52"/>
  <c r="V54" i="52" s="1"/>
  <c r="V37" i="52"/>
  <c r="V36" i="52"/>
  <c r="V35" i="52"/>
  <c r="V34" i="52"/>
  <c r="V33" i="52"/>
  <c r="V32" i="52"/>
  <c r="V31" i="52"/>
  <c r="V30" i="52"/>
  <c r="V10" i="52"/>
  <c r="V8" i="52"/>
  <c r="V7" i="52"/>
  <c r="V6" i="52"/>
  <c r="V5" i="52"/>
  <c r="F61" i="52"/>
  <c r="F59" i="52"/>
  <c r="F58" i="52"/>
  <c r="F54" i="52"/>
  <c r="D59" i="52"/>
  <c r="D58" i="52"/>
  <c r="D54" i="52"/>
  <c r="F48" i="52"/>
  <c r="F47" i="52"/>
  <c r="F46" i="52"/>
  <c r="F45" i="52"/>
  <c r="F44" i="52"/>
  <c r="F43" i="52"/>
  <c r="G43" i="52" s="1"/>
  <c r="D48" i="52"/>
  <c r="D47" i="52"/>
  <c r="D46" i="52"/>
  <c r="D45" i="52"/>
  <c r="D44" i="52"/>
  <c r="D43" i="52"/>
  <c r="F36" i="52"/>
  <c r="F35" i="52"/>
  <c r="F34" i="52"/>
  <c r="F33" i="52"/>
  <c r="F32" i="52"/>
  <c r="F31" i="52"/>
  <c r="F30" i="52"/>
  <c r="F29" i="52"/>
  <c r="D36" i="52"/>
  <c r="G36" i="52" s="1"/>
  <c r="D35" i="52"/>
  <c r="G35" i="52" s="1"/>
  <c r="D34" i="52"/>
  <c r="G34" i="52" s="1"/>
  <c r="D33" i="52"/>
  <c r="D32" i="52"/>
  <c r="G32" i="52" s="1"/>
  <c r="D31" i="52"/>
  <c r="D30" i="52"/>
  <c r="G30" i="52" s="1"/>
  <c r="D29" i="52"/>
  <c r="G48" i="52"/>
  <c r="G37" i="52"/>
  <c r="F18" i="52"/>
  <c r="D18" i="52"/>
  <c r="F14" i="52"/>
  <c r="F13" i="52"/>
  <c r="D14" i="52"/>
  <c r="D13" i="52"/>
  <c r="D11" i="52"/>
  <c r="G11" i="52" s="1"/>
  <c r="D10" i="52"/>
  <c r="G10" i="52" s="1"/>
  <c r="D9" i="52"/>
  <c r="G9" i="52" s="1"/>
  <c r="D8" i="52"/>
  <c r="G8" i="52" s="1"/>
  <c r="F5" i="52"/>
  <c r="D5" i="52"/>
  <c r="G5" i="52" s="1"/>
  <c r="F5" i="38"/>
  <c r="D5" i="38"/>
  <c r="L4" i="44"/>
  <c r="L5" i="44"/>
  <c r="K4" i="44"/>
  <c r="D8" i="38"/>
  <c r="AL33" i="54"/>
  <c r="AL42" i="54" s="1"/>
  <c r="AL7" i="61" s="1"/>
  <c r="AK33" i="54"/>
  <c r="AK42" i="54" s="1"/>
  <c r="AK7" i="61" s="1"/>
  <c r="AJ33" i="54"/>
  <c r="AI33" i="54"/>
  <c r="AI42" i="54" s="1"/>
  <c r="AI7" i="61" s="1"/>
  <c r="AH33" i="54"/>
  <c r="AH42" i="54" s="1"/>
  <c r="AH7" i="61" s="1"/>
  <c r="AG33" i="54"/>
  <c r="AG42" i="54" s="1"/>
  <c r="AG7" i="61" s="1"/>
  <c r="AF33" i="54"/>
  <c r="AF42" i="54" s="1"/>
  <c r="AF7" i="61" s="1"/>
  <c r="AE33" i="54"/>
  <c r="AE42" i="54" s="1"/>
  <c r="AE7" i="61" s="1"/>
  <c r="AD33" i="54"/>
  <c r="AD42" i="54" s="1"/>
  <c r="AD7" i="61" s="1"/>
  <c r="AC33" i="54"/>
  <c r="AC42" i="54" s="1"/>
  <c r="AC7" i="61" s="1"/>
  <c r="AB33" i="54"/>
  <c r="AB42" i="54" s="1"/>
  <c r="AB7" i="61" s="1"/>
  <c r="AA33" i="54"/>
  <c r="AA42" i="54" s="1"/>
  <c r="AA7" i="61" s="1"/>
  <c r="Z33" i="54"/>
  <c r="Z42" i="54" s="1"/>
  <c r="Z7" i="61" s="1"/>
  <c r="Y33" i="54"/>
  <c r="X33" i="54"/>
  <c r="X42" i="54" s="1"/>
  <c r="X7" i="61" s="1"/>
  <c r="W33" i="54"/>
  <c r="W42" i="54" s="1"/>
  <c r="W7" i="61" s="1"/>
  <c r="V33" i="54"/>
  <c r="V42" i="54" s="1"/>
  <c r="V7" i="61" s="1"/>
  <c r="U33" i="54"/>
  <c r="U42" i="54" s="1"/>
  <c r="U7" i="61" s="1"/>
  <c r="T33" i="54"/>
  <c r="T42" i="54" s="1"/>
  <c r="T7" i="61" s="1"/>
  <c r="S33" i="54"/>
  <c r="S42" i="54" s="1"/>
  <c r="S7" i="61" s="1"/>
  <c r="R33" i="54"/>
  <c r="R42" i="54" s="1"/>
  <c r="R7" i="61" s="1"/>
  <c r="Q33" i="54"/>
  <c r="Q42" i="54" s="1"/>
  <c r="Q7" i="61" s="1"/>
  <c r="P33" i="54"/>
  <c r="P42" i="54" s="1"/>
  <c r="P7" i="61" s="1"/>
  <c r="O33" i="54"/>
  <c r="O42" i="54" s="1"/>
  <c r="O7" i="61" s="1"/>
  <c r="N33" i="54"/>
  <c r="N42" i="54" s="1"/>
  <c r="N7" i="61" s="1"/>
  <c r="M33" i="54"/>
  <c r="M42" i="54" s="1"/>
  <c r="M7" i="61" s="1"/>
  <c r="L33" i="54"/>
  <c r="L42" i="54" s="1"/>
  <c r="L7" i="61" s="1"/>
  <c r="K33" i="54"/>
  <c r="K42" i="54" s="1"/>
  <c r="K7" i="61" s="1"/>
  <c r="J33" i="54"/>
  <c r="J42" i="54" s="1"/>
  <c r="J7" i="61" s="1"/>
  <c r="I33" i="54"/>
  <c r="I42" i="54" s="1"/>
  <c r="I7" i="61" s="1"/>
  <c r="H33" i="54"/>
  <c r="H42" i="54" s="1"/>
  <c r="H7" i="61" s="1"/>
  <c r="G33" i="54"/>
  <c r="G42" i="54" s="1"/>
  <c r="F33" i="54"/>
  <c r="F42" i="54" s="1"/>
  <c r="F7" i="61" s="1"/>
  <c r="E33" i="54"/>
  <c r="E42" i="54" s="1"/>
  <c r="E7" i="61" s="1"/>
  <c r="D33" i="54"/>
  <c r="C33" i="54"/>
  <c r="C42" i="54" s="1"/>
  <c r="C7" i="61" s="1"/>
  <c r="AM32" i="54"/>
  <c r="AM31" i="54"/>
  <c r="AM30" i="54"/>
  <c r="AM29" i="54"/>
  <c r="AM28" i="54"/>
  <c r="AM27" i="54"/>
  <c r="AM26" i="54"/>
  <c r="AM25" i="54"/>
  <c r="AM24" i="54"/>
  <c r="AM23" i="54"/>
  <c r="AM22" i="54"/>
  <c r="AM21" i="54"/>
  <c r="AM20" i="54"/>
  <c r="AM19" i="54"/>
  <c r="AM18" i="54"/>
  <c r="AM17" i="54"/>
  <c r="AM16" i="54"/>
  <c r="AM15" i="54"/>
  <c r="AM14" i="54"/>
  <c r="AM13" i="54"/>
  <c r="AM12" i="54"/>
  <c r="AM11" i="54"/>
  <c r="AM10" i="54"/>
  <c r="AM9" i="54"/>
  <c r="AM8" i="54"/>
  <c r="AL33" i="53"/>
  <c r="AL42" i="53" s="1"/>
  <c r="AL6" i="61" s="1"/>
  <c r="AK33" i="53"/>
  <c r="AK42" i="53" s="1"/>
  <c r="AK6" i="61" s="1"/>
  <c r="AJ33" i="53"/>
  <c r="AJ42" i="53" s="1"/>
  <c r="AJ6" i="61" s="1"/>
  <c r="AI33" i="53"/>
  <c r="AI42" i="53" s="1"/>
  <c r="AI6" i="61" s="1"/>
  <c r="AH33" i="53"/>
  <c r="AH42" i="53" s="1"/>
  <c r="AH6" i="61" s="1"/>
  <c r="AG33" i="53"/>
  <c r="AG42" i="53" s="1"/>
  <c r="AG6" i="61" s="1"/>
  <c r="AF33" i="53"/>
  <c r="AF42" i="53" s="1"/>
  <c r="AF6" i="61" s="1"/>
  <c r="AE33" i="53"/>
  <c r="AE42" i="53" s="1"/>
  <c r="AE6" i="61" s="1"/>
  <c r="AD33" i="53"/>
  <c r="AD42" i="53" s="1"/>
  <c r="AD6" i="61" s="1"/>
  <c r="AC33" i="53"/>
  <c r="AC42" i="53" s="1"/>
  <c r="AC6" i="61" s="1"/>
  <c r="AB33" i="53"/>
  <c r="AB42" i="53" s="1"/>
  <c r="AB6" i="61" s="1"/>
  <c r="AA33" i="53"/>
  <c r="AA42" i="53" s="1"/>
  <c r="AA6" i="61" s="1"/>
  <c r="Z33" i="53"/>
  <c r="Z42" i="53" s="1"/>
  <c r="Z6" i="61" s="1"/>
  <c r="Y33" i="53"/>
  <c r="Y42" i="53" s="1"/>
  <c r="Y6" i="61" s="1"/>
  <c r="X33" i="53"/>
  <c r="X42" i="53" s="1"/>
  <c r="X6" i="61" s="1"/>
  <c r="W33" i="53"/>
  <c r="W42" i="53" s="1"/>
  <c r="W6" i="61" s="1"/>
  <c r="V33" i="53"/>
  <c r="V42" i="53" s="1"/>
  <c r="V6" i="61" s="1"/>
  <c r="U33" i="53"/>
  <c r="U42" i="53" s="1"/>
  <c r="U6" i="61" s="1"/>
  <c r="T33" i="53"/>
  <c r="T42" i="53" s="1"/>
  <c r="T6" i="61" s="1"/>
  <c r="S33" i="53"/>
  <c r="S42" i="53" s="1"/>
  <c r="S6" i="61" s="1"/>
  <c r="R33" i="53"/>
  <c r="R42" i="53" s="1"/>
  <c r="R6" i="61" s="1"/>
  <c r="Q33" i="53"/>
  <c r="Q42" i="53" s="1"/>
  <c r="Q6" i="61" s="1"/>
  <c r="P33" i="53"/>
  <c r="P42" i="53" s="1"/>
  <c r="P6" i="61" s="1"/>
  <c r="O33" i="53"/>
  <c r="O42" i="53" s="1"/>
  <c r="O6" i="61" s="1"/>
  <c r="N33" i="53"/>
  <c r="N42" i="53" s="1"/>
  <c r="N6" i="61" s="1"/>
  <c r="M33" i="53"/>
  <c r="M42" i="53" s="1"/>
  <c r="M6" i="61" s="1"/>
  <c r="L33" i="53"/>
  <c r="L42" i="53" s="1"/>
  <c r="L6" i="61" s="1"/>
  <c r="K33" i="53"/>
  <c r="K42" i="53" s="1"/>
  <c r="K6" i="61" s="1"/>
  <c r="J33" i="53"/>
  <c r="J42" i="53" s="1"/>
  <c r="J6" i="61" s="1"/>
  <c r="I33" i="53"/>
  <c r="I42" i="53" s="1"/>
  <c r="H33" i="53"/>
  <c r="H42" i="53" s="1"/>
  <c r="H6" i="61" s="1"/>
  <c r="G33" i="53"/>
  <c r="G42" i="53" s="1"/>
  <c r="G6" i="61" s="1"/>
  <c r="F33" i="53"/>
  <c r="F42" i="53" s="1"/>
  <c r="F6" i="61" s="1"/>
  <c r="E33" i="53"/>
  <c r="E42" i="53" s="1"/>
  <c r="E6" i="61" s="1"/>
  <c r="D33" i="53"/>
  <c r="D42" i="53" s="1"/>
  <c r="D6" i="61" s="1"/>
  <c r="C33" i="53"/>
  <c r="C42" i="53" s="1"/>
  <c r="C6" i="61" s="1"/>
  <c r="AM32" i="53"/>
  <c r="AM31" i="53"/>
  <c r="AM30" i="53"/>
  <c r="AM29" i="53"/>
  <c r="AM28" i="53"/>
  <c r="AM27" i="53"/>
  <c r="AM26" i="53"/>
  <c r="AM25" i="53"/>
  <c r="AM24" i="53"/>
  <c r="AM23" i="53"/>
  <c r="AM22" i="53"/>
  <c r="AM21" i="53"/>
  <c r="AM20" i="53"/>
  <c r="AM19" i="53"/>
  <c r="AM18" i="53"/>
  <c r="AM17" i="53"/>
  <c r="AM16" i="53"/>
  <c r="AM15" i="53"/>
  <c r="AM14" i="53"/>
  <c r="AM13" i="53"/>
  <c r="AM12" i="53"/>
  <c r="AM11" i="53"/>
  <c r="AM10" i="53"/>
  <c r="AM9" i="53"/>
  <c r="AM8" i="53"/>
  <c r="V58" i="52"/>
  <c r="V61" i="52" s="1"/>
  <c r="N61" i="52"/>
  <c r="G56" i="52"/>
  <c r="G55" i="52"/>
  <c r="G52" i="52"/>
  <c r="N54" i="52"/>
  <c r="G51" i="52"/>
  <c r="G50" i="52"/>
  <c r="G49" i="52"/>
  <c r="N50" i="52"/>
  <c r="G47" i="52"/>
  <c r="V48" i="52"/>
  <c r="G41" i="52"/>
  <c r="G40" i="52"/>
  <c r="G39" i="52"/>
  <c r="G38" i="52"/>
  <c r="L33" i="52"/>
  <c r="K33" i="52"/>
  <c r="N31" i="52"/>
  <c r="G31" i="52"/>
  <c r="N30" i="52"/>
  <c r="V29" i="52"/>
  <c r="N29" i="52"/>
  <c r="N33" i="52" s="1"/>
  <c r="V28" i="52"/>
  <c r="L28" i="52"/>
  <c r="K28" i="52"/>
  <c r="V27" i="52"/>
  <c r="N27" i="52"/>
  <c r="V26" i="52"/>
  <c r="N26" i="52"/>
  <c r="V25" i="52"/>
  <c r="N25" i="52"/>
  <c r="N28" i="52" s="1"/>
  <c r="L24" i="52"/>
  <c r="K24" i="52"/>
  <c r="G24" i="52"/>
  <c r="N23" i="52"/>
  <c r="G23" i="52"/>
  <c r="N22" i="52"/>
  <c r="N24" i="52" s="1"/>
  <c r="G22" i="52"/>
  <c r="G25" i="52" s="1"/>
  <c r="N21" i="52"/>
  <c r="L20" i="52"/>
  <c r="K20" i="52"/>
  <c r="G20" i="52"/>
  <c r="N19" i="52"/>
  <c r="G19" i="52"/>
  <c r="N18" i="52"/>
  <c r="N17" i="52"/>
  <c r="N20" i="52" s="1"/>
  <c r="L16" i="52"/>
  <c r="K16" i="52"/>
  <c r="G16" i="52"/>
  <c r="N15" i="52"/>
  <c r="G15" i="52"/>
  <c r="N14" i="52"/>
  <c r="N13" i="52"/>
  <c r="N12" i="52"/>
  <c r="L11" i="52"/>
  <c r="K11" i="52"/>
  <c r="N9" i="52"/>
  <c r="N8" i="52"/>
  <c r="N7" i="52"/>
  <c r="N6" i="52"/>
  <c r="G6" i="52"/>
  <c r="G61" i="51"/>
  <c r="G59" i="51"/>
  <c r="V58" i="51"/>
  <c r="N58" i="51"/>
  <c r="G58" i="51"/>
  <c r="G56" i="51"/>
  <c r="G55" i="51"/>
  <c r="G54" i="51"/>
  <c r="V52" i="51"/>
  <c r="G52" i="51"/>
  <c r="G51" i="51"/>
  <c r="G50" i="51"/>
  <c r="G49" i="51"/>
  <c r="G48" i="51"/>
  <c r="G47" i="51"/>
  <c r="G46" i="51"/>
  <c r="G45" i="51"/>
  <c r="G44" i="51"/>
  <c r="G43" i="51"/>
  <c r="G41" i="51"/>
  <c r="G40" i="51"/>
  <c r="G39" i="51"/>
  <c r="G38" i="51"/>
  <c r="G37" i="51"/>
  <c r="G36" i="51"/>
  <c r="L32" i="51"/>
  <c r="K32" i="51"/>
  <c r="G32" i="51"/>
  <c r="N31" i="51"/>
  <c r="G31" i="51"/>
  <c r="N30" i="51"/>
  <c r="G30" i="51"/>
  <c r="V29" i="51"/>
  <c r="N29" i="51"/>
  <c r="N32" i="51" s="1"/>
  <c r="P36" i="50" s="1"/>
  <c r="G29" i="51"/>
  <c r="V28" i="51"/>
  <c r="L28" i="51"/>
  <c r="K28" i="51"/>
  <c r="V27" i="51"/>
  <c r="N27" i="51"/>
  <c r="V26" i="51"/>
  <c r="N26" i="51"/>
  <c r="V25" i="51"/>
  <c r="N28" i="51"/>
  <c r="P35" i="50" s="1"/>
  <c r="L24" i="51"/>
  <c r="K24" i="51"/>
  <c r="G24" i="51"/>
  <c r="N23" i="51"/>
  <c r="G23" i="51"/>
  <c r="N22" i="51"/>
  <c r="G22" i="51"/>
  <c r="G25" i="51" s="1"/>
  <c r="P21" i="50" s="1"/>
  <c r="N21" i="51"/>
  <c r="L20" i="51"/>
  <c r="K20" i="51"/>
  <c r="G20" i="51"/>
  <c r="N19" i="51"/>
  <c r="G19" i="51"/>
  <c r="N18" i="51"/>
  <c r="G18" i="51"/>
  <c r="G21" i="51" s="1"/>
  <c r="P20" i="50" s="1"/>
  <c r="N17" i="51"/>
  <c r="N20" i="51" s="1"/>
  <c r="P33" i="50" s="1"/>
  <c r="L16" i="51"/>
  <c r="K16" i="51"/>
  <c r="G16" i="51"/>
  <c r="N15" i="51"/>
  <c r="G15" i="51"/>
  <c r="N14" i="51"/>
  <c r="G14" i="51"/>
  <c r="N13" i="51"/>
  <c r="G13" i="51"/>
  <c r="N12" i="51"/>
  <c r="L11" i="51"/>
  <c r="K11" i="51"/>
  <c r="V9" i="51"/>
  <c r="N9" i="51"/>
  <c r="G9" i="51"/>
  <c r="V8" i="51"/>
  <c r="N8" i="51"/>
  <c r="G8" i="51"/>
  <c r="V7" i="51"/>
  <c r="N7" i="51"/>
  <c r="V6" i="51"/>
  <c r="N6" i="51"/>
  <c r="G6" i="51"/>
  <c r="V5" i="51"/>
  <c r="G5" i="51"/>
  <c r="I48" i="22"/>
  <c r="I47" i="22"/>
  <c r="I46" i="22"/>
  <c r="I45" i="22"/>
  <c r="I44" i="22"/>
  <c r="J48" i="22"/>
  <c r="J47" i="22"/>
  <c r="J46" i="22"/>
  <c r="J45" i="22"/>
  <c r="J44" i="22"/>
  <c r="I39" i="22"/>
  <c r="J39" i="22"/>
  <c r="I26" i="22"/>
  <c r="I25" i="22"/>
  <c r="I24" i="22"/>
  <c r="I21" i="22"/>
  <c r="I14" i="22"/>
  <c r="J26" i="22"/>
  <c r="J25" i="22"/>
  <c r="J24" i="22"/>
  <c r="J21" i="22"/>
  <c r="J14" i="22"/>
  <c r="J6" i="22"/>
  <c r="I6" i="22"/>
  <c r="F45" i="50"/>
  <c r="P14" i="50"/>
  <c r="P13" i="50"/>
  <c r="F6" i="50" s="1"/>
  <c r="P11" i="50"/>
  <c r="N11" i="50"/>
  <c r="N10" i="50"/>
  <c r="R9" i="50"/>
  <c r="N9" i="50"/>
  <c r="R8" i="50"/>
  <c r="N8" i="50"/>
  <c r="R7" i="50"/>
  <c r="N7" i="50"/>
  <c r="R6" i="50"/>
  <c r="N6" i="50"/>
  <c r="R5" i="50"/>
  <c r="N5" i="50"/>
  <c r="R11" i="50" s="1"/>
  <c r="F29" i="50" s="1"/>
  <c r="I32" i="22" s="1"/>
  <c r="F45" i="49"/>
  <c r="P14" i="49"/>
  <c r="P13" i="49"/>
  <c r="P11" i="49"/>
  <c r="N11" i="49"/>
  <c r="N10" i="49"/>
  <c r="R9" i="49"/>
  <c r="N9" i="49"/>
  <c r="R8" i="49"/>
  <c r="N8" i="49"/>
  <c r="R7" i="49"/>
  <c r="N7" i="49"/>
  <c r="R6" i="49"/>
  <c r="N6" i="49"/>
  <c r="R5" i="49"/>
  <c r="N5" i="49"/>
  <c r="R11" i="49" s="1"/>
  <c r="F29" i="49" s="1"/>
  <c r="J32" i="22" s="1"/>
  <c r="D36" i="38"/>
  <c r="D45" i="38"/>
  <c r="F45" i="38"/>
  <c r="F48" i="38"/>
  <c r="F18" i="45"/>
  <c r="G18" i="45"/>
  <c r="I18" i="45"/>
  <c r="F6" i="49" l="1"/>
  <c r="N36" i="58"/>
  <c r="P36" i="58" s="1"/>
  <c r="P40" i="58" s="1"/>
  <c r="F17" i="50" s="1"/>
  <c r="I19" i="22" s="1"/>
  <c r="D34" i="54"/>
  <c r="D42" i="54"/>
  <c r="D7" i="61" s="1"/>
  <c r="AK34" i="54"/>
  <c r="AJ42" i="54"/>
  <c r="AJ7" i="61" s="1"/>
  <c r="G7" i="61"/>
  <c r="I6" i="61"/>
  <c r="AM42" i="53"/>
  <c r="AM6" i="61" s="1"/>
  <c r="D34" i="53"/>
  <c r="G34" i="53"/>
  <c r="AB34" i="53"/>
  <c r="AE34" i="53"/>
  <c r="P34" i="53"/>
  <c r="M34" i="54"/>
  <c r="S34" i="54"/>
  <c r="Y34" i="54"/>
  <c r="G34" i="54"/>
  <c r="N20" i="57"/>
  <c r="P33" i="39" s="1"/>
  <c r="N16" i="57"/>
  <c r="P31" i="39" s="1"/>
  <c r="N11" i="57"/>
  <c r="P30" i="39" s="1"/>
  <c r="G59" i="52"/>
  <c r="G18" i="52"/>
  <c r="G21" i="52" s="1"/>
  <c r="P20" i="49" s="1"/>
  <c r="G44" i="52"/>
  <c r="G13" i="52"/>
  <c r="N54" i="51"/>
  <c r="V38" i="51"/>
  <c r="F11" i="50" s="1"/>
  <c r="I13" i="22" s="1"/>
  <c r="V48" i="51"/>
  <c r="G57" i="51"/>
  <c r="P26" i="50" s="1"/>
  <c r="Y34" i="53"/>
  <c r="S34" i="53"/>
  <c r="AK34" i="53"/>
  <c r="J34" i="53"/>
  <c r="V34" i="53"/>
  <c r="AH34" i="53"/>
  <c r="AM34" i="53"/>
  <c r="AM33" i="53"/>
  <c r="M34" i="53"/>
  <c r="AE34" i="54"/>
  <c r="AM33" i="54"/>
  <c r="AB34" i="54"/>
  <c r="J34" i="54"/>
  <c r="V34" i="54"/>
  <c r="AH34" i="54"/>
  <c r="P34" i="54"/>
  <c r="AM34" i="54"/>
  <c r="F27" i="50"/>
  <c r="F28" i="50"/>
  <c r="I31" i="22" s="1"/>
  <c r="F28" i="49"/>
  <c r="J31" i="22" s="1"/>
  <c r="F27" i="49"/>
  <c r="G29" i="52"/>
  <c r="G61" i="52"/>
  <c r="G33" i="57"/>
  <c r="G43" i="57"/>
  <c r="G53" i="57" s="1"/>
  <c r="P25" i="39" s="1"/>
  <c r="G60" i="57"/>
  <c r="G61" i="57" s="1"/>
  <c r="P27" i="39" s="1"/>
  <c r="G45" i="52"/>
  <c r="G54" i="52"/>
  <c r="G57" i="52" s="1"/>
  <c r="P26" i="49" s="1"/>
  <c r="G32" i="57"/>
  <c r="G46" i="57"/>
  <c r="G54" i="57"/>
  <c r="G57" i="57" s="1"/>
  <c r="P26" i="39" s="1"/>
  <c r="G59" i="57"/>
  <c r="G33" i="52"/>
  <c r="G58" i="52"/>
  <c r="I41" i="58"/>
  <c r="P15" i="58"/>
  <c r="N24" i="51"/>
  <c r="P34" i="50" s="1"/>
  <c r="V61" i="51"/>
  <c r="V54" i="51"/>
  <c r="V62" i="51" s="1"/>
  <c r="F35" i="50" s="1"/>
  <c r="I38" i="22" s="1"/>
  <c r="N50" i="51"/>
  <c r="N61" i="51"/>
  <c r="G42" i="51"/>
  <c r="P24" i="50" s="1"/>
  <c r="G62" i="51"/>
  <c r="P27" i="50" s="1"/>
  <c r="G53" i="51"/>
  <c r="P25" i="50" s="1"/>
  <c r="N16" i="51"/>
  <c r="P31" i="50" s="1"/>
  <c r="N11" i="51"/>
  <c r="P30" i="50" s="1"/>
  <c r="P32" i="50" s="1"/>
  <c r="G17" i="51"/>
  <c r="P19" i="50" s="1"/>
  <c r="G12" i="51"/>
  <c r="P18" i="50" s="1"/>
  <c r="V21" i="51"/>
  <c r="F10" i="50" s="1"/>
  <c r="I12" i="22" s="1"/>
  <c r="G7" i="51"/>
  <c r="P17" i="50" s="1"/>
  <c r="I63" i="60"/>
  <c r="I64" i="60" s="1"/>
  <c r="L59" i="60"/>
  <c r="L15" i="60"/>
  <c r="P15" i="60"/>
  <c r="F15" i="39" s="1"/>
  <c r="L58" i="60"/>
  <c r="P16" i="60"/>
  <c r="P58" i="60" s="1"/>
  <c r="F16" i="39" s="1"/>
  <c r="I57" i="59"/>
  <c r="I58" i="59" s="1"/>
  <c r="L53" i="59"/>
  <c r="L15" i="59"/>
  <c r="P5" i="59"/>
  <c r="P15" i="59" s="1"/>
  <c r="F15" i="49" s="1"/>
  <c r="L52" i="59"/>
  <c r="P16" i="59"/>
  <c r="P52" i="59" s="1"/>
  <c r="F16" i="49" s="1"/>
  <c r="P35" i="58"/>
  <c r="L40" i="58"/>
  <c r="L41" i="58" s="1"/>
  <c r="G12" i="57"/>
  <c r="P18" i="39" s="1"/>
  <c r="G42" i="57"/>
  <c r="P24" i="39" s="1"/>
  <c r="V61" i="57"/>
  <c r="F35" i="39" s="1"/>
  <c r="V62" i="52"/>
  <c r="F35" i="49" s="1"/>
  <c r="J38" i="22" s="1"/>
  <c r="V38" i="52"/>
  <c r="F11" i="49" s="1"/>
  <c r="J13" i="22" s="1"/>
  <c r="G46" i="52"/>
  <c r="N16" i="52"/>
  <c r="G12" i="52"/>
  <c r="P18" i="49" s="1"/>
  <c r="N11" i="52"/>
  <c r="P30" i="49" s="1"/>
  <c r="P32" i="49" s="1"/>
  <c r="G14" i="52"/>
  <c r="G53" i="52"/>
  <c r="P25" i="49" s="1"/>
  <c r="G42" i="52"/>
  <c r="P24" i="49" s="1"/>
  <c r="V21" i="52"/>
  <c r="F10" i="49" s="1"/>
  <c r="J12" i="22" s="1"/>
  <c r="G7" i="52"/>
  <c r="P17" i="49" s="1"/>
  <c r="I49" i="22"/>
  <c r="F4" i="50"/>
  <c r="I5" i="22" s="1"/>
  <c r="Q11" i="50"/>
  <c r="Q11" i="49"/>
  <c r="F4" i="49"/>
  <c r="J5" i="22" s="1"/>
  <c r="J7" i="22" s="1"/>
  <c r="P37" i="49"/>
  <c r="F9" i="49" s="1"/>
  <c r="J49" i="22"/>
  <c r="O33" i="37"/>
  <c r="O31" i="37"/>
  <c r="O30" i="37"/>
  <c r="D54" i="38"/>
  <c r="N6" i="38"/>
  <c r="V10" i="38"/>
  <c r="V9" i="38"/>
  <c r="G18" i="23"/>
  <c r="I18" i="23" s="1"/>
  <c r="L18" i="23" s="1"/>
  <c r="N18" i="23" s="1"/>
  <c r="G17" i="23"/>
  <c r="G16" i="23"/>
  <c r="G15" i="23"/>
  <c r="I20" i="23"/>
  <c r="L20" i="23" s="1"/>
  <c r="C18" i="23"/>
  <c r="D18" i="23"/>
  <c r="D17" i="23"/>
  <c r="D16" i="23"/>
  <c r="D15" i="23"/>
  <c r="D14" i="23"/>
  <c r="C17" i="23"/>
  <c r="C16" i="23"/>
  <c r="C15" i="23"/>
  <c r="C14" i="23"/>
  <c r="D33" i="23"/>
  <c r="C33" i="23"/>
  <c r="D43" i="33"/>
  <c r="G30" i="33" s="1"/>
  <c r="G33" i="23" s="1"/>
  <c r="AM42" i="54" l="1"/>
  <c r="AM7" i="61" s="1"/>
  <c r="C21" i="61" s="1"/>
  <c r="C20" i="61"/>
  <c r="I7" i="22"/>
  <c r="P32" i="39"/>
  <c r="G17" i="52"/>
  <c r="P19" i="49" s="1"/>
  <c r="P22" i="49" s="1"/>
  <c r="F7" i="49" s="1"/>
  <c r="J9" i="22" s="1"/>
  <c r="P37" i="50"/>
  <c r="F9" i="50" s="1"/>
  <c r="I11" i="22" s="1"/>
  <c r="P22" i="50"/>
  <c r="F7" i="50" s="1"/>
  <c r="I9" i="22" s="1"/>
  <c r="I30" i="22"/>
  <c r="J30" i="22"/>
  <c r="G62" i="52"/>
  <c r="P27" i="49" s="1"/>
  <c r="P28" i="49" s="1"/>
  <c r="F8" i="49" s="1"/>
  <c r="J10" i="22" s="1"/>
  <c r="P28" i="50"/>
  <c r="F8" i="50" s="1"/>
  <c r="I10" i="22" s="1"/>
  <c r="F16" i="50"/>
  <c r="I18" i="22" s="1"/>
  <c r="F14" i="50"/>
  <c r="I16" i="22" s="1"/>
  <c r="F13" i="50"/>
  <c r="F15" i="50"/>
  <c r="P41" i="58"/>
  <c r="P18" i="23"/>
  <c r="L63" i="60"/>
  <c r="L64" i="60" s="1"/>
  <c r="P63" i="60"/>
  <c r="L57" i="59"/>
  <c r="L58" i="59" s="1"/>
  <c r="P53" i="59"/>
  <c r="P57" i="59" s="1"/>
  <c r="P58" i="59" s="1"/>
  <c r="F17" i="49" s="1"/>
  <c r="J11" i="22"/>
  <c r="N20" i="23"/>
  <c r="P20" i="23" s="1"/>
  <c r="V33" i="38"/>
  <c r="V35" i="38"/>
  <c r="V34" i="38"/>
  <c r="V37" i="38"/>
  <c r="V36" i="38"/>
  <c r="V32" i="38"/>
  <c r="V31" i="38"/>
  <c r="F25" i="50" l="1"/>
  <c r="I27" i="22" s="1"/>
  <c r="I15" i="22"/>
  <c r="P64" i="60"/>
  <c r="F17" i="39"/>
  <c r="F26" i="50" l="1"/>
  <c r="AM32" i="28" l="1"/>
  <c r="AM31" i="28"/>
  <c r="AM30" i="28"/>
  <c r="AM29" i="28"/>
  <c r="AM28" i="28"/>
  <c r="AM27" i="28"/>
  <c r="AM26" i="28"/>
  <c r="AM25" i="28"/>
  <c r="AM24" i="28"/>
  <c r="AM23" i="28"/>
  <c r="AM22" i="28"/>
  <c r="AM21" i="28"/>
  <c r="AM20" i="28"/>
  <c r="AM19" i="28"/>
  <c r="AM18" i="28"/>
  <c r="AM17" i="28"/>
  <c r="AM16" i="28"/>
  <c r="AM15" i="28"/>
  <c r="AM14" i="28"/>
  <c r="AM13" i="28"/>
  <c r="AM12" i="28"/>
  <c r="AM11" i="28"/>
  <c r="AM10" i="28"/>
  <c r="AM9" i="28"/>
  <c r="AM8" i="28"/>
  <c r="AM34" i="28" l="1"/>
  <c r="V30" i="38"/>
  <c r="S31" i="38"/>
  <c r="S30" i="38"/>
  <c r="S29" i="38"/>
  <c r="Q31" i="38"/>
  <c r="S28" i="38" l="1"/>
  <c r="S26" i="38"/>
  <c r="S25" i="38"/>
  <c r="V25" i="38"/>
  <c r="Q30" i="38"/>
  <c r="Q28" i="38"/>
  <c r="Q27" i="38"/>
  <c r="Q26" i="38"/>
  <c r="Q25" i="38"/>
  <c r="S9" i="38"/>
  <c r="S8" i="38"/>
  <c r="S7" i="38"/>
  <c r="V7" i="38" s="1"/>
  <c r="S6" i="38"/>
  <c r="S5" i="38"/>
  <c r="D59" i="38"/>
  <c r="D58" i="38"/>
  <c r="D60" i="38" l="1"/>
  <c r="F59" i="38"/>
  <c r="F60" i="38"/>
  <c r="F58" i="38"/>
  <c r="F54" i="38"/>
  <c r="G54" i="38" s="1"/>
  <c r="D48" i="38"/>
  <c r="G48" i="38" s="1"/>
  <c r="F47" i="38"/>
  <c r="D47" i="38"/>
  <c r="F46" i="38"/>
  <c r="D46" i="38"/>
  <c r="F44" i="38"/>
  <c r="D44" i="38"/>
  <c r="F43" i="38"/>
  <c r="D43" i="38"/>
  <c r="D35" i="38"/>
  <c r="G46" i="38" l="1"/>
  <c r="G47" i="38"/>
  <c r="G45" i="38"/>
  <c r="G44" i="38"/>
  <c r="D34" i="38"/>
  <c r="G10" i="45"/>
  <c r="D33" i="38"/>
  <c r="D32" i="38"/>
  <c r="D31" i="38"/>
  <c r="D30" i="38"/>
  <c r="D29" i="38"/>
  <c r="G3" i="45"/>
  <c r="F36" i="38"/>
  <c r="F35" i="38"/>
  <c r="F34" i="38"/>
  <c r="F33" i="38"/>
  <c r="F32" i="38"/>
  <c r="F31" i="38"/>
  <c r="F30" i="38"/>
  <c r="F29" i="38"/>
  <c r="F18" i="38"/>
  <c r="F14" i="38"/>
  <c r="D18" i="38"/>
  <c r="D14" i="38"/>
  <c r="F13" i="38"/>
  <c r="D13" i="38"/>
  <c r="D11" i="38"/>
  <c r="D10" i="38"/>
  <c r="D9" i="38"/>
  <c r="G9" i="38" s="1"/>
  <c r="F10" i="38"/>
  <c r="F11" i="38"/>
  <c r="G11" i="38" s="1"/>
  <c r="F9" i="38"/>
  <c r="I26" i="45"/>
  <c r="G26" i="45"/>
  <c r="F26" i="45"/>
  <c r="F25" i="45"/>
  <c r="I25" i="45" s="1"/>
  <c r="F24" i="45"/>
  <c r="I24" i="45" s="1"/>
  <c r="I28" i="45" s="1"/>
  <c r="I20" i="45"/>
  <c r="I23" i="45" s="1"/>
  <c r="G20" i="45"/>
  <c r="F20" i="45"/>
  <c r="I17" i="45"/>
  <c r="G17" i="45"/>
  <c r="F17" i="45"/>
  <c r="G16" i="45"/>
  <c r="I16" i="45" s="1"/>
  <c r="F16" i="45"/>
  <c r="G15" i="45"/>
  <c r="F15" i="45"/>
  <c r="I15" i="45" s="1"/>
  <c r="G14" i="45"/>
  <c r="F14" i="45"/>
  <c r="I14" i="45" s="1"/>
  <c r="I13" i="45"/>
  <c r="G13" i="45"/>
  <c r="F13" i="45"/>
  <c r="G12" i="45"/>
  <c r="I12" i="45" s="1"/>
  <c r="F12" i="45"/>
  <c r="I10" i="45"/>
  <c r="F10" i="45"/>
  <c r="G9" i="45"/>
  <c r="F9" i="45"/>
  <c r="I9" i="45" s="1"/>
  <c r="G8" i="45"/>
  <c r="F8" i="45"/>
  <c r="I8" i="45" s="1"/>
  <c r="I7" i="45"/>
  <c r="G7" i="45"/>
  <c r="F7" i="45"/>
  <c r="G6" i="45"/>
  <c r="I6" i="45" s="1"/>
  <c r="F6" i="45"/>
  <c r="G5" i="45"/>
  <c r="F5" i="45"/>
  <c r="I5" i="45" s="1"/>
  <c r="G4" i="45"/>
  <c r="F4" i="45"/>
  <c r="I4" i="45" s="1"/>
  <c r="I3" i="45"/>
  <c r="F3" i="45"/>
  <c r="K11" i="44"/>
  <c r="L11" i="44" s="1"/>
  <c r="I11" i="44"/>
  <c r="H11" i="44"/>
  <c r="G11" i="44"/>
  <c r="K10" i="44"/>
  <c r="L10" i="44" s="1"/>
  <c r="I10" i="44"/>
  <c r="H10" i="44"/>
  <c r="G10" i="44"/>
  <c r="K9" i="44"/>
  <c r="L9" i="44" s="1"/>
  <c r="I9" i="44"/>
  <c r="H9" i="44"/>
  <c r="G9" i="44"/>
  <c r="L8" i="44"/>
  <c r="K8" i="44"/>
  <c r="I8" i="44"/>
  <c r="H8" i="44"/>
  <c r="G8" i="44"/>
  <c r="G12" i="44" s="1"/>
  <c r="K7" i="44"/>
  <c r="L7" i="44" s="1"/>
  <c r="I7" i="44"/>
  <c r="H7" i="44"/>
  <c r="H12" i="44" s="1"/>
  <c r="G7" i="44"/>
  <c r="K6" i="44"/>
  <c r="L6" i="44" s="1"/>
  <c r="I6" i="44"/>
  <c r="H6" i="44"/>
  <c r="G6" i="44"/>
  <c r="K5" i="44"/>
  <c r="I5" i="44"/>
  <c r="I12" i="44" s="1"/>
  <c r="H5" i="44"/>
  <c r="G5" i="44"/>
  <c r="L12" i="44"/>
  <c r="G5" i="38" l="1"/>
  <c r="I11" i="45"/>
  <c r="I19" i="45"/>
  <c r="I29" i="45"/>
  <c r="G49" i="38" l="1"/>
  <c r="G50" i="38"/>
  <c r="G32" i="38"/>
  <c r="G33" i="38"/>
  <c r="G34" i="38"/>
  <c r="G35" i="38"/>
  <c r="G36" i="38"/>
  <c r="L28" i="38"/>
  <c r="K28" i="38"/>
  <c r="N27" i="38"/>
  <c r="N26" i="38"/>
  <c r="N25" i="38"/>
  <c r="G49" i="36"/>
  <c r="G50" i="36"/>
  <c r="G51" i="36"/>
  <c r="G37" i="36"/>
  <c r="G38" i="36"/>
  <c r="G39" i="36"/>
  <c r="L28" i="36"/>
  <c r="K28" i="36"/>
  <c r="N27" i="36"/>
  <c r="N26" i="36"/>
  <c r="N25" i="36"/>
  <c r="N30" i="36"/>
  <c r="N18" i="36"/>
  <c r="N28" i="38" l="1"/>
  <c r="P35" i="37" s="1"/>
  <c r="N28" i="36"/>
  <c r="P35" i="35" s="1"/>
  <c r="K45" i="22"/>
  <c r="K46" i="22"/>
  <c r="K47" i="22"/>
  <c r="K48" i="22"/>
  <c r="K44" i="22"/>
  <c r="K39" i="22"/>
  <c r="K14" i="22"/>
  <c r="K21" i="22"/>
  <c r="K24" i="22"/>
  <c r="K25" i="22"/>
  <c r="K26" i="22"/>
  <c r="K6" i="22"/>
  <c r="H6" i="22"/>
  <c r="G6" i="22"/>
  <c r="P14" i="39"/>
  <c r="P13" i="39"/>
  <c r="F6" i="39" s="1"/>
  <c r="P11" i="39"/>
  <c r="N11" i="39"/>
  <c r="N10" i="39"/>
  <c r="R9" i="39"/>
  <c r="N9" i="39"/>
  <c r="R8" i="39"/>
  <c r="N8" i="39"/>
  <c r="R7" i="39"/>
  <c r="N7" i="39"/>
  <c r="R6" i="39"/>
  <c r="N6" i="39"/>
  <c r="R5" i="39"/>
  <c r="N5" i="39"/>
  <c r="H39" i="22"/>
  <c r="H48" i="22"/>
  <c r="H47" i="22"/>
  <c r="H46" i="22"/>
  <c r="H44" i="22"/>
  <c r="G45" i="22"/>
  <c r="G46" i="22"/>
  <c r="G47" i="22"/>
  <c r="G48" i="22"/>
  <c r="G44" i="22"/>
  <c r="G39" i="22"/>
  <c r="H14" i="22"/>
  <c r="H21" i="22"/>
  <c r="H24" i="22"/>
  <c r="H25" i="22"/>
  <c r="H26" i="22"/>
  <c r="G14" i="22"/>
  <c r="G21" i="22"/>
  <c r="G24" i="22"/>
  <c r="G25" i="22"/>
  <c r="G26" i="22"/>
  <c r="G60" i="38"/>
  <c r="G59" i="38"/>
  <c r="V58" i="38"/>
  <c r="N58" i="38"/>
  <c r="N60" i="38" s="1"/>
  <c r="G58" i="38"/>
  <c r="G56" i="38"/>
  <c r="G55" i="38"/>
  <c r="V52" i="38"/>
  <c r="G52" i="38"/>
  <c r="G51" i="38"/>
  <c r="G43" i="38"/>
  <c r="G41" i="38"/>
  <c r="G40" i="38"/>
  <c r="G31" i="38"/>
  <c r="G30" i="38"/>
  <c r="G29" i="38"/>
  <c r="L32" i="38"/>
  <c r="K32" i="38"/>
  <c r="V29" i="38"/>
  <c r="N31" i="38"/>
  <c r="V28" i="38"/>
  <c r="N30" i="38"/>
  <c r="V27" i="38"/>
  <c r="N29" i="38"/>
  <c r="V26" i="38"/>
  <c r="L24" i="38"/>
  <c r="K24" i="38"/>
  <c r="G24" i="38"/>
  <c r="N23" i="38"/>
  <c r="G23" i="38"/>
  <c r="N22" i="38"/>
  <c r="G22" i="38"/>
  <c r="N21" i="38"/>
  <c r="L20" i="38"/>
  <c r="K20" i="38"/>
  <c r="G20" i="38"/>
  <c r="N19" i="38"/>
  <c r="G19" i="38"/>
  <c r="N18" i="38"/>
  <c r="G18" i="38"/>
  <c r="N17" i="38"/>
  <c r="L16" i="38"/>
  <c r="K16" i="38"/>
  <c r="G16" i="38"/>
  <c r="N15" i="38"/>
  <c r="G15" i="38"/>
  <c r="N14" i="38"/>
  <c r="G14" i="38"/>
  <c r="N13" i="38"/>
  <c r="G13" i="38"/>
  <c r="N12" i="38"/>
  <c r="L11" i="38"/>
  <c r="K11" i="38"/>
  <c r="N10" i="38"/>
  <c r="G10" i="38"/>
  <c r="V8" i="38"/>
  <c r="N8" i="38"/>
  <c r="G8" i="38"/>
  <c r="N7" i="38"/>
  <c r="V6" i="38"/>
  <c r="G6" i="38"/>
  <c r="V5" i="38"/>
  <c r="P14" i="37"/>
  <c r="P13" i="37"/>
  <c r="F6" i="37" s="1"/>
  <c r="P11" i="37"/>
  <c r="N11" i="37"/>
  <c r="N10" i="37"/>
  <c r="R9" i="37"/>
  <c r="N9" i="37"/>
  <c r="R8" i="37"/>
  <c r="N8" i="37"/>
  <c r="R7" i="37"/>
  <c r="N7" i="37"/>
  <c r="R6" i="37"/>
  <c r="N6" i="37"/>
  <c r="R5" i="37"/>
  <c r="N5" i="37"/>
  <c r="V58" i="36"/>
  <c r="V52" i="36"/>
  <c r="G20" i="36"/>
  <c r="G19" i="36"/>
  <c r="N58" i="36"/>
  <c r="F45" i="35"/>
  <c r="V26" i="36"/>
  <c r="V27" i="36"/>
  <c r="V28" i="36"/>
  <c r="V29" i="36"/>
  <c r="V25" i="36"/>
  <c r="L32" i="36"/>
  <c r="K32" i="36"/>
  <c r="L24" i="36"/>
  <c r="K24" i="36"/>
  <c r="L20" i="36"/>
  <c r="K20" i="36"/>
  <c r="N31" i="36"/>
  <c r="N29" i="36"/>
  <c r="N23" i="36"/>
  <c r="N22" i="36"/>
  <c r="N21" i="36"/>
  <c r="N19" i="36"/>
  <c r="N17" i="36"/>
  <c r="L16" i="36"/>
  <c r="K16" i="36"/>
  <c r="L11" i="36"/>
  <c r="N15" i="36"/>
  <c r="N14" i="36"/>
  <c r="N13" i="36"/>
  <c r="N12" i="36"/>
  <c r="N7" i="36"/>
  <c r="N8" i="36"/>
  <c r="N9" i="36"/>
  <c r="N6" i="36"/>
  <c r="G24" i="36"/>
  <c r="G23" i="36"/>
  <c r="G22" i="36"/>
  <c r="G18" i="36"/>
  <c r="G16" i="36"/>
  <c r="G15" i="36"/>
  <c r="G14" i="36"/>
  <c r="G13" i="36"/>
  <c r="G11" i="36"/>
  <c r="G9" i="36"/>
  <c r="G8" i="36"/>
  <c r="G6" i="36"/>
  <c r="G5" i="36"/>
  <c r="P11" i="35"/>
  <c r="P14" i="35"/>
  <c r="V9" i="36"/>
  <c r="V8" i="36"/>
  <c r="V5" i="36"/>
  <c r="G52" i="36"/>
  <c r="G41" i="36"/>
  <c r="G40" i="36"/>
  <c r="N7" i="35"/>
  <c r="N8" i="35"/>
  <c r="N9" i="35"/>
  <c r="N10" i="35"/>
  <c r="N11" i="35"/>
  <c r="R6" i="35"/>
  <c r="R7" i="35"/>
  <c r="R8" i="35"/>
  <c r="R9" i="35"/>
  <c r="N6" i="35"/>
  <c r="P13" i="35"/>
  <c r="F6" i="35" s="1"/>
  <c r="R5" i="35"/>
  <c r="N5" i="35"/>
  <c r="G34" i="33"/>
  <c r="P33" i="33"/>
  <c r="P32" i="33"/>
  <c r="P31" i="33"/>
  <c r="I30" i="33"/>
  <c r="G29" i="33"/>
  <c r="P28" i="33"/>
  <c r="P27" i="33"/>
  <c r="P25" i="33"/>
  <c r="P24" i="33"/>
  <c r="P23" i="33"/>
  <c r="P22" i="33"/>
  <c r="I21" i="33"/>
  <c r="L21" i="33" s="1"/>
  <c r="I20" i="33"/>
  <c r="L20" i="33" s="1"/>
  <c r="I19" i="33"/>
  <c r="L19" i="33" s="1"/>
  <c r="I18" i="33"/>
  <c r="L18" i="33" s="1"/>
  <c r="I17" i="33"/>
  <c r="I16" i="33"/>
  <c r="G15" i="33"/>
  <c r="P14" i="33"/>
  <c r="P13" i="33"/>
  <c r="P11" i="33"/>
  <c r="P10" i="33"/>
  <c r="I8" i="33"/>
  <c r="L8" i="33" s="1"/>
  <c r="I7" i="33"/>
  <c r="I6" i="33"/>
  <c r="L6" i="33" s="1"/>
  <c r="P6" i="33" s="1"/>
  <c r="L17" i="30"/>
  <c r="L45" i="30"/>
  <c r="L49" i="30"/>
  <c r="N49" i="30" s="1"/>
  <c r="L52" i="30"/>
  <c r="L53" i="30"/>
  <c r="N53" i="30" s="1"/>
  <c r="I57" i="30"/>
  <c r="L57" i="30" s="1"/>
  <c r="I56" i="30"/>
  <c r="L56" i="30" s="1"/>
  <c r="I26" i="30"/>
  <c r="L26" i="30" s="1"/>
  <c r="I21" i="30"/>
  <c r="L21" i="30" s="1"/>
  <c r="I17" i="30"/>
  <c r="P30" i="30"/>
  <c r="I30" i="30"/>
  <c r="L30" i="30" s="1"/>
  <c r="P29" i="30"/>
  <c r="I29" i="30"/>
  <c r="L29" i="30" s="1"/>
  <c r="P23" i="30"/>
  <c r="I23" i="30"/>
  <c r="L23" i="30" s="1"/>
  <c r="N23" i="30" s="1"/>
  <c r="P22" i="30"/>
  <c r="I22" i="30"/>
  <c r="L22" i="30" s="1"/>
  <c r="N22" i="30" s="1"/>
  <c r="I19" i="30"/>
  <c r="I18" i="30"/>
  <c r="L18" i="30" s="1"/>
  <c r="P54" i="30"/>
  <c r="I54" i="30"/>
  <c r="L54" i="30" s="1"/>
  <c r="N54" i="30" s="1"/>
  <c r="P53" i="30"/>
  <c r="I53" i="30"/>
  <c r="P52" i="30"/>
  <c r="I52" i="30"/>
  <c r="P51" i="30"/>
  <c r="I51" i="30"/>
  <c r="P50" i="30"/>
  <c r="I50" i="30"/>
  <c r="L50" i="30" s="1"/>
  <c r="N50" i="30" s="1"/>
  <c r="P49" i="30"/>
  <c r="I49" i="30"/>
  <c r="P48" i="30"/>
  <c r="I48" i="30"/>
  <c r="L48" i="30" s="1"/>
  <c r="P47" i="30"/>
  <c r="I47" i="30"/>
  <c r="P46" i="30"/>
  <c r="I46" i="30"/>
  <c r="P45" i="30"/>
  <c r="I45" i="30"/>
  <c r="I7" i="30"/>
  <c r="L7" i="30" s="1"/>
  <c r="I6" i="30"/>
  <c r="G63" i="30"/>
  <c r="P62" i="30"/>
  <c r="L62" i="30"/>
  <c r="N62" i="30" s="1"/>
  <c r="I62" i="30"/>
  <c r="P61" i="30"/>
  <c r="I61" i="30"/>
  <c r="L61" i="30" s="1"/>
  <c r="N61" i="30" s="1"/>
  <c r="P60" i="30"/>
  <c r="L60" i="30"/>
  <c r="N60" i="30" s="1"/>
  <c r="I60" i="30"/>
  <c r="I59" i="30"/>
  <c r="I63" i="30" s="1"/>
  <c r="G58" i="30"/>
  <c r="I55" i="30"/>
  <c r="L55" i="30" s="1"/>
  <c r="P44" i="30"/>
  <c r="I44" i="30"/>
  <c r="P43" i="30"/>
  <c r="I43" i="30"/>
  <c r="P42" i="30"/>
  <c r="I42" i="30"/>
  <c r="L42" i="30" s="1"/>
  <c r="I41" i="30"/>
  <c r="L41" i="30" s="1"/>
  <c r="I40" i="30"/>
  <c r="L40" i="30" s="1"/>
  <c r="N40" i="30" s="1"/>
  <c r="P39" i="30"/>
  <c r="I39" i="30"/>
  <c r="P38" i="30"/>
  <c r="I38" i="30"/>
  <c r="L38" i="30" s="1"/>
  <c r="I37" i="30"/>
  <c r="L37" i="30" s="1"/>
  <c r="P36" i="30"/>
  <c r="I36" i="30"/>
  <c r="L36" i="30" s="1"/>
  <c r="N36" i="30" s="1"/>
  <c r="P35" i="30"/>
  <c r="I35" i="30"/>
  <c r="L35" i="30" s="1"/>
  <c r="N35" i="30" s="1"/>
  <c r="P34" i="30"/>
  <c r="I34" i="30"/>
  <c r="L34" i="30" s="1"/>
  <c r="N34" i="30" s="1"/>
  <c r="P33" i="30"/>
  <c r="I33" i="30"/>
  <c r="L33" i="30" s="1"/>
  <c r="N33" i="30" s="1"/>
  <c r="P32" i="30"/>
  <c r="I32" i="30"/>
  <c r="L32" i="30" s="1"/>
  <c r="N32" i="30" s="1"/>
  <c r="P31" i="30"/>
  <c r="I31" i="30"/>
  <c r="L31" i="30" s="1"/>
  <c r="N31" i="30" s="1"/>
  <c r="P28" i="30"/>
  <c r="I28" i="30"/>
  <c r="I27" i="30"/>
  <c r="L27" i="30" s="1"/>
  <c r="I25" i="30"/>
  <c r="P24" i="30"/>
  <c r="I24" i="30"/>
  <c r="L24" i="30" s="1"/>
  <c r="I20" i="30"/>
  <c r="I16" i="30"/>
  <c r="G15" i="30"/>
  <c r="P14" i="30"/>
  <c r="I14" i="30"/>
  <c r="L14" i="30" s="1"/>
  <c r="N14" i="30" s="1"/>
  <c r="P13" i="30"/>
  <c r="I13" i="30"/>
  <c r="L13" i="30" s="1"/>
  <c r="N13" i="30" s="1"/>
  <c r="I12" i="30"/>
  <c r="L12" i="30" s="1"/>
  <c r="P11" i="30"/>
  <c r="I11" i="30"/>
  <c r="L11" i="30" s="1"/>
  <c r="N11" i="30" s="1"/>
  <c r="P10" i="30"/>
  <c r="I10" i="30"/>
  <c r="L10" i="30" s="1"/>
  <c r="N10" i="30" s="1"/>
  <c r="L9" i="30"/>
  <c r="I9" i="30"/>
  <c r="I8" i="30"/>
  <c r="L8" i="30" s="1"/>
  <c r="P8" i="30" s="1"/>
  <c r="I5" i="30"/>
  <c r="L5" i="30" s="1"/>
  <c r="P5" i="30" s="1"/>
  <c r="P22" i="23"/>
  <c r="P23" i="23"/>
  <c r="P25" i="23"/>
  <c r="P26" i="23"/>
  <c r="P29" i="23"/>
  <c r="P30" i="23"/>
  <c r="P31" i="23"/>
  <c r="P21" i="23"/>
  <c r="P11" i="23"/>
  <c r="P12" i="23"/>
  <c r="G37" i="23"/>
  <c r="I34" i="23"/>
  <c r="L34" i="23" s="1"/>
  <c r="I33" i="23"/>
  <c r="G32" i="23"/>
  <c r="I17" i="23"/>
  <c r="I15" i="23"/>
  <c r="G13" i="23"/>
  <c r="I19" i="23"/>
  <c r="I16" i="23"/>
  <c r="I14" i="23"/>
  <c r="I10" i="23"/>
  <c r="L10" i="23" s="1"/>
  <c r="I9" i="23"/>
  <c r="L9" i="23" s="1"/>
  <c r="I8" i="23"/>
  <c r="L8" i="23" s="1"/>
  <c r="I7" i="23"/>
  <c r="L7" i="23" s="1"/>
  <c r="I6" i="23"/>
  <c r="I5" i="23"/>
  <c r="L5" i="23" s="1"/>
  <c r="AL33" i="29"/>
  <c r="AK33" i="29"/>
  <c r="AK42" i="29" s="1"/>
  <c r="AK8" i="61" s="1"/>
  <c r="AJ33" i="29"/>
  <c r="AJ42" i="29" s="1"/>
  <c r="AJ8" i="61" s="1"/>
  <c r="AI33" i="29"/>
  <c r="AI42" i="29" s="1"/>
  <c r="AI8" i="61" s="1"/>
  <c r="AH33" i="29"/>
  <c r="AH42" i="29" s="1"/>
  <c r="AH8" i="61" s="1"/>
  <c r="AG33" i="29"/>
  <c r="AG42" i="29" s="1"/>
  <c r="AG8" i="61" s="1"/>
  <c r="AF33" i="29"/>
  <c r="AF42" i="29" s="1"/>
  <c r="AF8" i="61" s="1"/>
  <c r="AE33" i="29"/>
  <c r="AE42" i="29" s="1"/>
  <c r="AE8" i="61" s="1"/>
  <c r="AD33" i="29"/>
  <c r="AC33" i="29"/>
  <c r="AB33" i="29"/>
  <c r="AB42" i="29" s="1"/>
  <c r="AB8" i="61" s="1"/>
  <c r="AA33" i="29"/>
  <c r="AA42" i="29" s="1"/>
  <c r="AA8" i="61" s="1"/>
  <c r="Z33" i="29"/>
  <c r="Z42" i="29" s="1"/>
  <c r="Z8" i="61" s="1"/>
  <c r="Y33" i="29"/>
  <c r="Y42" i="29" s="1"/>
  <c r="Y8" i="61" s="1"/>
  <c r="X33" i="29"/>
  <c r="X42" i="29" s="1"/>
  <c r="X8" i="61" s="1"/>
  <c r="W33" i="29"/>
  <c r="W42" i="29" s="1"/>
  <c r="W8" i="61" s="1"/>
  <c r="V33" i="29"/>
  <c r="V42" i="29" s="1"/>
  <c r="V8" i="61" s="1"/>
  <c r="U33" i="29"/>
  <c r="U42" i="29" s="1"/>
  <c r="U8" i="61" s="1"/>
  <c r="T33" i="29"/>
  <c r="T42" i="29" s="1"/>
  <c r="T8" i="61" s="1"/>
  <c r="S33" i="29"/>
  <c r="S42" i="29" s="1"/>
  <c r="S8" i="61" s="1"/>
  <c r="R33" i="29"/>
  <c r="R42" i="29" s="1"/>
  <c r="R8" i="61" s="1"/>
  <c r="Q33" i="29"/>
  <c r="Q42" i="29" s="1"/>
  <c r="Q8" i="61" s="1"/>
  <c r="P33" i="29"/>
  <c r="P42" i="29" s="1"/>
  <c r="P8" i="61" s="1"/>
  <c r="O33" i="29"/>
  <c r="O42" i="29" s="1"/>
  <c r="O8" i="61" s="1"/>
  <c r="N33" i="29"/>
  <c r="N42" i="29" s="1"/>
  <c r="N8" i="61" s="1"/>
  <c r="M33" i="29"/>
  <c r="M42" i="29" s="1"/>
  <c r="M8" i="61" s="1"/>
  <c r="L33" i="29"/>
  <c r="L42" i="29" s="1"/>
  <c r="L8" i="61" s="1"/>
  <c r="K33" i="29"/>
  <c r="K42" i="29" s="1"/>
  <c r="K8" i="61" s="1"/>
  <c r="J33" i="29"/>
  <c r="J42" i="29" s="1"/>
  <c r="J8" i="61" s="1"/>
  <c r="I33" i="29"/>
  <c r="I42" i="29" s="1"/>
  <c r="I8" i="61" s="1"/>
  <c r="H33" i="29"/>
  <c r="H42" i="29" s="1"/>
  <c r="H8" i="61" s="1"/>
  <c r="G33" i="29"/>
  <c r="G42" i="29" s="1"/>
  <c r="F33" i="29"/>
  <c r="F42" i="29" s="1"/>
  <c r="F8" i="61" s="1"/>
  <c r="E33" i="29"/>
  <c r="E42" i="29" s="1"/>
  <c r="E8" i="61" s="1"/>
  <c r="D33" i="29"/>
  <c r="D42" i="29" s="1"/>
  <c r="D8" i="61" s="1"/>
  <c r="C33" i="29"/>
  <c r="C42" i="29" s="1"/>
  <c r="C8" i="61" s="1"/>
  <c r="AM32" i="29"/>
  <c r="AM31" i="29"/>
  <c r="AM30" i="29"/>
  <c r="AM29" i="29"/>
  <c r="AM28" i="29"/>
  <c r="AM27" i="29"/>
  <c r="AM26" i="29"/>
  <c r="AM25" i="29"/>
  <c r="AM24" i="29"/>
  <c r="AM23" i="29"/>
  <c r="AM22" i="29"/>
  <c r="AM21" i="29"/>
  <c r="AM20" i="29"/>
  <c r="AM19" i="29"/>
  <c r="AM18" i="29"/>
  <c r="AM17" i="29"/>
  <c r="AM16" i="29"/>
  <c r="AM15" i="29"/>
  <c r="AM14" i="29"/>
  <c r="AM13" i="29"/>
  <c r="AM12" i="29"/>
  <c r="AM11" i="29"/>
  <c r="AM10" i="29"/>
  <c r="AM9" i="29"/>
  <c r="AM8" i="29"/>
  <c r="AL33" i="28"/>
  <c r="AL42" i="28" s="1"/>
  <c r="AL5" i="61" s="1"/>
  <c r="AK33" i="28"/>
  <c r="AK42" i="28" s="1"/>
  <c r="AK5" i="61" s="1"/>
  <c r="AJ33" i="28"/>
  <c r="AJ42" i="28" s="1"/>
  <c r="AJ5" i="61" s="1"/>
  <c r="AI33" i="28"/>
  <c r="AI42" i="28" s="1"/>
  <c r="AI5" i="61" s="1"/>
  <c r="AH33" i="28"/>
  <c r="AH42" i="28" s="1"/>
  <c r="AH5" i="61" s="1"/>
  <c r="AG33" i="28"/>
  <c r="AG42" i="28" s="1"/>
  <c r="AG5" i="61" s="1"/>
  <c r="AF33" i="28"/>
  <c r="AF42" i="28" s="1"/>
  <c r="AF5" i="61" s="1"/>
  <c r="AE33" i="28"/>
  <c r="AE42" i="28" s="1"/>
  <c r="AE5" i="61" s="1"/>
  <c r="AD33" i="28"/>
  <c r="AD42" i="28" s="1"/>
  <c r="AD5" i="61" s="1"/>
  <c r="AC33" i="28"/>
  <c r="AC42" i="28" s="1"/>
  <c r="AC5" i="61" s="1"/>
  <c r="AB33" i="28"/>
  <c r="AB42" i="28" s="1"/>
  <c r="AB5" i="61" s="1"/>
  <c r="AA33" i="28"/>
  <c r="AA42" i="28" s="1"/>
  <c r="AA5" i="61" s="1"/>
  <c r="Z33" i="28"/>
  <c r="Z42" i="28" s="1"/>
  <c r="Z5" i="61" s="1"/>
  <c r="Z9" i="61" s="1"/>
  <c r="Z13" i="61" s="1"/>
  <c r="Z14" i="61" s="1"/>
  <c r="Y33" i="28"/>
  <c r="Y42" i="28" s="1"/>
  <c r="Y5" i="61" s="1"/>
  <c r="X33" i="28"/>
  <c r="X42" i="28" s="1"/>
  <c r="X5" i="61" s="1"/>
  <c r="W33" i="28"/>
  <c r="W42" i="28" s="1"/>
  <c r="W5" i="61" s="1"/>
  <c r="V33" i="28"/>
  <c r="V42" i="28" s="1"/>
  <c r="V5" i="61" s="1"/>
  <c r="U33" i="28"/>
  <c r="U42" i="28" s="1"/>
  <c r="U5" i="61" s="1"/>
  <c r="T33" i="28"/>
  <c r="T42" i="28" s="1"/>
  <c r="T5" i="61" s="1"/>
  <c r="S33" i="28"/>
  <c r="S42" i="28" s="1"/>
  <c r="S5" i="61" s="1"/>
  <c r="R33" i="28"/>
  <c r="R42" i="28" s="1"/>
  <c r="R5" i="61" s="1"/>
  <c r="Q33" i="28"/>
  <c r="Q42" i="28" s="1"/>
  <c r="Q5" i="61" s="1"/>
  <c r="P33" i="28"/>
  <c r="P42" i="28" s="1"/>
  <c r="P5" i="61" s="1"/>
  <c r="O33" i="28"/>
  <c r="O42" i="28" s="1"/>
  <c r="O5" i="61" s="1"/>
  <c r="N33" i="28"/>
  <c r="N42" i="28" s="1"/>
  <c r="N5" i="61" s="1"/>
  <c r="M33" i="28"/>
  <c r="M42" i="28" s="1"/>
  <c r="M5" i="61" s="1"/>
  <c r="L33" i="28"/>
  <c r="L42" i="28" s="1"/>
  <c r="L5" i="61" s="1"/>
  <c r="K33" i="28"/>
  <c r="K42" i="28" s="1"/>
  <c r="K5" i="61" s="1"/>
  <c r="J33" i="28"/>
  <c r="J42" i="28" s="1"/>
  <c r="J5" i="61" s="1"/>
  <c r="I33" i="28"/>
  <c r="I42" i="28" s="1"/>
  <c r="H33" i="28"/>
  <c r="H42" i="28" s="1"/>
  <c r="H5" i="61" s="1"/>
  <c r="G33" i="28"/>
  <c r="G42" i="28" s="1"/>
  <c r="G5" i="61" s="1"/>
  <c r="F33" i="28"/>
  <c r="F42" i="28" s="1"/>
  <c r="F5" i="61" s="1"/>
  <c r="E33" i="28"/>
  <c r="E42" i="28" s="1"/>
  <c r="E5" i="61" s="1"/>
  <c r="D33" i="28"/>
  <c r="D42" i="28" s="1"/>
  <c r="D5" i="61" s="1"/>
  <c r="C33" i="28"/>
  <c r="C42" i="28" s="1"/>
  <c r="C5" i="61" s="1"/>
  <c r="AM30" i="27"/>
  <c r="AM31" i="27"/>
  <c r="AM32" i="27"/>
  <c r="AM23" i="27"/>
  <c r="AM24" i="27"/>
  <c r="AM25" i="27"/>
  <c r="AM26" i="27"/>
  <c r="AM27" i="27"/>
  <c r="AM28" i="27"/>
  <c r="AM29" i="27"/>
  <c r="AM8" i="27"/>
  <c r="AL33" i="27"/>
  <c r="AL42" i="27" s="1"/>
  <c r="AL4" i="61" s="1"/>
  <c r="AK33" i="27"/>
  <c r="AK42" i="27" s="1"/>
  <c r="AK4" i="61" s="1"/>
  <c r="AJ33" i="27"/>
  <c r="AJ42" i="27" s="1"/>
  <c r="AJ4" i="61" s="1"/>
  <c r="AI33" i="27"/>
  <c r="AI42" i="27" s="1"/>
  <c r="AI4" i="61" s="1"/>
  <c r="AH33" i="27"/>
  <c r="AH42" i="27" s="1"/>
  <c r="AH4" i="61" s="1"/>
  <c r="AG33" i="27"/>
  <c r="AG42" i="27" s="1"/>
  <c r="AG4" i="61" s="1"/>
  <c r="AF33" i="27"/>
  <c r="AF42" i="27" s="1"/>
  <c r="AF4" i="61" s="1"/>
  <c r="AE33" i="27"/>
  <c r="AE42" i="27" s="1"/>
  <c r="AE4" i="61" s="1"/>
  <c r="AD33" i="27"/>
  <c r="AD42" i="27" s="1"/>
  <c r="AD4" i="61" s="1"/>
  <c r="AC33" i="27"/>
  <c r="AC42" i="27" s="1"/>
  <c r="AC4" i="61" s="1"/>
  <c r="AB33" i="27"/>
  <c r="AB42" i="27" s="1"/>
  <c r="AB4" i="61" s="1"/>
  <c r="AA33" i="27"/>
  <c r="AA42" i="27" s="1"/>
  <c r="AA4" i="61" s="1"/>
  <c r="Z33" i="27"/>
  <c r="Z42" i="27" s="1"/>
  <c r="Z4" i="61" s="1"/>
  <c r="Y33" i="27"/>
  <c r="Y42" i="27" s="1"/>
  <c r="Y4" i="61" s="1"/>
  <c r="X33" i="27"/>
  <c r="X42" i="27" s="1"/>
  <c r="X4" i="61" s="1"/>
  <c r="W33" i="27"/>
  <c r="W42" i="27" s="1"/>
  <c r="W4" i="61" s="1"/>
  <c r="V33" i="27"/>
  <c r="V42" i="27" s="1"/>
  <c r="V4" i="61" s="1"/>
  <c r="U33" i="27"/>
  <c r="U42" i="27" s="1"/>
  <c r="U4" i="61" s="1"/>
  <c r="T33" i="27"/>
  <c r="T42" i="27" s="1"/>
  <c r="T4" i="61" s="1"/>
  <c r="S33" i="27"/>
  <c r="S42" i="27" s="1"/>
  <c r="S4" i="61" s="1"/>
  <c r="R33" i="27"/>
  <c r="R42" i="27" s="1"/>
  <c r="R4" i="61" s="1"/>
  <c r="Q33" i="27"/>
  <c r="Q42" i="27" s="1"/>
  <c r="Q4" i="61" s="1"/>
  <c r="P33" i="27"/>
  <c r="P42" i="27" s="1"/>
  <c r="P4" i="61" s="1"/>
  <c r="O33" i="27"/>
  <c r="O42" i="27" s="1"/>
  <c r="O4" i="61" s="1"/>
  <c r="N33" i="27"/>
  <c r="N42" i="27" s="1"/>
  <c r="N4" i="61" s="1"/>
  <c r="M33" i="27"/>
  <c r="M42" i="27" s="1"/>
  <c r="M4" i="61" s="1"/>
  <c r="L33" i="27"/>
  <c r="L42" i="27" s="1"/>
  <c r="L4" i="61" s="1"/>
  <c r="K33" i="27"/>
  <c r="K42" i="27" s="1"/>
  <c r="K4" i="61" s="1"/>
  <c r="J33" i="27"/>
  <c r="J42" i="27" s="1"/>
  <c r="J4" i="61" s="1"/>
  <c r="I33" i="27"/>
  <c r="I42" i="27" s="1"/>
  <c r="I4" i="61" s="1"/>
  <c r="H33" i="27"/>
  <c r="H42" i="27" s="1"/>
  <c r="H4" i="61" s="1"/>
  <c r="G33" i="27"/>
  <c r="G42" i="27" s="1"/>
  <c r="G4" i="61" s="1"/>
  <c r="F33" i="27"/>
  <c r="F42" i="27" s="1"/>
  <c r="F4" i="61" s="1"/>
  <c r="E33" i="27"/>
  <c r="E42" i="27" s="1"/>
  <c r="E4" i="61" s="1"/>
  <c r="D33" i="27"/>
  <c r="D42" i="27" s="1"/>
  <c r="D4" i="61" s="1"/>
  <c r="C33" i="27"/>
  <c r="C42" i="27" s="1"/>
  <c r="AM22" i="27"/>
  <c r="AM21" i="27"/>
  <c r="AM20" i="27"/>
  <c r="AM19" i="27"/>
  <c r="AM18" i="27"/>
  <c r="AM17" i="27"/>
  <c r="AM16" i="27"/>
  <c r="AM15" i="27"/>
  <c r="AM14" i="27"/>
  <c r="AM13" i="27"/>
  <c r="AM12" i="27"/>
  <c r="AM11" i="27"/>
  <c r="AM10" i="27"/>
  <c r="AM9" i="27"/>
  <c r="L6" i="23" l="1"/>
  <c r="K39" i="38"/>
  <c r="N46" i="38" s="1"/>
  <c r="K39" i="52"/>
  <c r="N46" i="52" s="1"/>
  <c r="N62" i="52" s="1"/>
  <c r="F37" i="49" s="1"/>
  <c r="K39" i="36"/>
  <c r="N39" i="36" s="1"/>
  <c r="N46" i="36" s="1"/>
  <c r="K39" i="57"/>
  <c r="N39" i="57" s="1"/>
  <c r="N46" i="57" s="1"/>
  <c r="N61" i="57" s="1"/>
  <c r="F37" i="39" s="1"/>
  <c r="K39" i="51"/>
  <c r="N46" i="51" s="1"/>
  <c r="N62" i="51" s="1"/>
  <c r="F37" i="50" s="1"/>
  <c r="AC9" i="61"/>
  <c r="AC13" i="61" s="1"/>
  <c r="AC14" i="61" s="1"/>
  <c r="AL9" i="61"/>
  <c r="AL13" i="61" s="1"/>
  <c r="AL14" i="61" s="1"/>
  <c r="AD9" i="61"/>
  <c r="AD13" i="61" s="1"/>
  <c r="AD14" i="61" s="1"/>
  <c r="J9" i="61"/>
  <c r="J13" i="61" s="1"/>
  <c r="J14" i="61" s="1"/>
  <c r="D9" i="61"/>
  <c r="D13" i="61" s="1"/>
  <c r="D14" i="61" s="1"/>
  <c r="H9" i="61"/>
  <c r="H13" i="61" s="1"/>
  <c r="H14" i="61" s="1"/>
  <c r="AK9" i="61"/>
  <c r="AK13" i="61" s="1"/>
  <c r="AK14" i="61" s="1"/>
  <c r="E9" i="61"/>
  <c r="E13" i="61" s="1"/>
  <c r="E14" i="61" s="1"/>
  <c r="AG9" i="61"/>
  <c r="AG13" i="61" s="1"/>
  <c r="AG14" i="61" s="1"/>
  <c r="X9" i="61"/>
  <c r="X13" i="61" s="1"/>
  <c r="X14" i="61" s="1"/>
  <c r="AH9" i="61"/>
  <c r="AH13" i="61" s="1"/>
  <c r="AH14" i="61" s="1"/>
  <c r="AB9" i="61"/>
  <c r="AB13" i="61" s="1"/>
  <c r="AB14" i="61" s="1"/>
  <c r="Y9" i="61"/>
  <c r="Y13" i="61" s="1"/>
  <c r="Y14" i="61" s="1"/>
  <c r="V9" i="61"/>
  <c r="V13" i="61" s="1"/>
  <c r="V14" i="61" s="1"/>
  <c r="F9" i="61"/>
  <c r="F13" i="61" s="1"/>
  <c r="F14" i="61" s="1"/>
  <c r="AF9" i="61"/>
  <c r="AF13" i="61" s="1"/>
  <c r="AF14" i="61" s="1"/>
  <c r="AE9" i="61"/>
  <c r="AE13" i="61" s="1"/>
  <c r="AE14" i="61" s="1"/>
  <c r="P9" i="61"/>
  <c r="P13" i="61" s="1"/>
  <c r="P14" i="61" s="1"/>
  <c r="M9" i="61"/>
  <c r="M13" i="61" s="1"/>
  <c r="M14" i="61" s="1"/>
  <c r="K9" i="61"/>
  <c r="K13" i="61" s="1"/>
  <c r="K14" i="61" s="1"/>
  <c r="AJ9" i="61"/>
  <c r="AJ13" i="61" s="1"/>
  <c r="AJ14" i="61" s="1"/>
  <c r="AI9" i="61"/>
  <c r="AI13" i="61" s="1"/>
  <c r="AI14" i="61" s="1"/>
  <c r="S9" i="61"/>
  <c r="S13" i="61" s="1"/>
  <c r="S14" i="61" s="1"/>
  <c r="N9" i="61"/>
  <c r="N13" i="61" s="1"/>
  <c r="N14" i="61" s="1"/>
  <c r="AA9" i="61"/>
  <c r="AA13" i="61" s="1"/>
  <c r="AA14" i="61" s="1"/>
  <c r="W9" i="61"/>
  <c r="W13" i="61" s="1"/>
  <c r="W14" i="61" s="1"/>
  <c r="U9" i="61"/>
  <c r="U13" i="61" s="1"/>
  <c r="U14" i="61" s="1"/>
  <c r="Q9" i="61"/>
  <c r="Q13" i="61" s="1"/>
  <c r="Q14" i="61" s="1"/>
  <c r="G8" i="61"/>
  <c r="G9" i="61" s="1"/>
  <c r="G13" i="61" s="1"/>
  <c r="G14" i="61" s="1"/>
  <c r="AM42" i="29"/>
  <c r="AM8" i="61" s="1"/>
  <c r="C22" i="61" s="1"/>
  <c r="T9" i="61"/>
  <c r="T13" i="61" s="1"/>
  <c r="T14" i="61" s="1"/>
  <c r="R9" i="61"/>
  <c r="R13" i="61" s="1"/>
  <c r="R14" i="61" s="1"/>
  <c r="O9" i="61"/>
  <c r="O13" i="61" s="1"/>
  <c r="O14" i="61" s="1"/>
  <c r="L9" i="61"/>
  <c r="L13" i="61" s="1"/>
  <c r="L14" i="61" s="1"/>
  <c r="I5" i="61"/>
  <c r="I9" i="61" s="1"/>
  <c r="I13" i="61" s="1"/>
  <c r="I14" i="61" s="1"/>
  <c r="AM42" i="28"/>
  <c r="AM5" i="61" s="1"/>
  <c r="C19" i="61" s="1"/>
  <c r="C4" i="61"/>
  <c r="C9" i="61" s="1"/>
  <c r="C13" i="61" s="1"/>
  <c r="C14" i="61" s="1"/>
  <c r="AM42" i="27"/>
  <c r="AM4" i="61" s="1"/>
  <c r="F25" i="22"/>
  <c r="F46" i="22"/>
  <c r="F47" i="22"/>
  <c r="F39" i="22"/>
  <c r="F24" i="22"/>
  <c r="F44" i="22"/>
  <c r="F6" i="22"/>
  <c r="F21" i="22"/>
  <c r="F48" i="22"/>
  <c r="F26" i="22"/>
  <c r="F14" i="22"/>
  <c r="F28" i="37"/>
  <c r="H31" i="22" s="1"/>
  <c r="F27" i="37"/>
  <c r="H30" i="22" s="1"/>
  <c r="F28" i="35"/>
  <c r="G31" i="22" s="1"/>
  <c r="F27" i="35"/>
  <c r="G30" i="22" s="1"/>
  <c r="F28" i="39"/>
  <c r="K31" i="22" s="1"/>
  <c r="F27" i="39"/>
  <c r="K30" i="22" s="1"/>
  <c r="L20" i="30"/>
  <c r="P19" i="33"/>
  <c r="L17" i="23"/>
  <c r="N17" i="23" s="1"/>
  <c r="P17" i="23" s="1"/>
  <c r="L19" i="23"/>
  <c r="N19" i="23" s="1"/>
  <c r="L16" i="23"/>
  <c r="N16" i="23" s="1"/>
  <c r="P16" i="23" s="1"/>
  <c r="L15" i="23"/>
  <c r="N15" i="23" s="1"/>
  <c r="P15" i="23" s="1"/>
  <c r="L14" i="23"/>
  <c r="N14" i="23" s="1"/>
  <c r="P24" i="23"/>
  <c r="P28" i="23"/>
  <c r="I13" i="23"/>
  <c r="P18" i="33"/>
  <c r="P8" i="33"/>
  <c r="K12" i="22"/>
  <c r="K13" i="22"/>
  <c r="R11" i="37"/>
  <c r="N16" i="38"/>
  <c r="P31" i="37" s="1"/>
  <c r="G17" i="38"/>
  <c r="P19" i="37" s="1"/>
  <c r="G7" i="38"/>
  <c r="N20" i="38"/>
  <c r="P33" i="37" s="1"/>
  <c r="N24" i="38"/>
  <c r="P34" i="37" s="1"/>
  <c r="N32" i="38"/>
  <c r="P36" i="37" s="1"/>
  <c r="V60" i="38"/>
  <c r="G25" i="38"/>
  <c r="P21" i="37" s="1"/>
  <c r="V54" i="38"/>
  <c r="N54" i="38"/>
  <c r="V21" i="38"/>
  <c r="F10" i="37" s="1"/>
  <c r="H12" i="22" s="1"/>
  <c r="G12" i="38"/>
  <c r="P18" i="37" s="1"/>
  <c r="N60" i="36"/>
  <c r="F45" i="37"/>
  <c r="H45" i="22"/>
  <c r="H49" i="22" s="1"/>
  <c r="I37" i="23"/>
  <c r="L33" i="23"/>
  <c r="I34" i="33"/>
  <c r="G34" i="27"/>
  <c r="AM34" i="29"/>
  <c r="G35" i="33"/>
  <c r="R11" i="39"/>
  <c r="L44" i="30"/>
  <c r="N44" i="30" s="1"/>
  <c r="G34" i="28"/>
  <c r="L25" i="30"/>
  <c r="N46" i="30"/>
  <c r="L46" i="30"/>
  <c r="N48" i="30"/>
  <c r="N52" i="30"/>
  <c r="G42" i="38"/>
  <c r="P24" i="37" s="1"/>
  <c r="G53" i="38"/>
  <c r="P25" i="37" s="1"/>
  <c r="N47" i="30"/>
  <c r="N51" i="30"/>
  <c r="L51" i="30"/>
  <c r="L47" i="30"/>
  <c r="L43" i="30"/>
  <c r="N43" i="30" s="1"/>
  <c r="G38" i="23"/>
  <c r="L17" i="33"/>
  <c r="P17" i="33" s="1"/>
  <c r="N11" i="38"/>
  <c r="P30" i="37" s="1"/>
  <c r="G21" i="38"/>
  <c r="P20" i="37" s="1"/>
  <c r="V38" i="38"/>
  <c r="F11" i="37" s="1"/>
  <c r="H13" i="22" s="1"/>
  <c r="N50" i="38"/>
  <c r="G57" i="38"/>
  <c r="P26" i="37" s="1"/>
  <c r="G61" i="38"/>
  <c r="P27" i="37" s="1"/>
  <c r="J34" i="27"/>
  <c r="D34" i="28"/>
  <c r="M34" i="28"/>
  <c r="P34" i="28"/>
  <c r="S34" i="28"/>
  <c r="Y34" i="28"/>
  <c r="AB34" i="28"/>
  <c r="AK34" i="28"/>
  <c r="AE34" i="28"/>
  <c r="AE34" i="29"/>
  <c r="G34" i="29"/>
  <c r="S34" i="29"/>
  <c r="J34" i="29"/>
  <c r="V34" i="29"/>
  <c r="D34" i="29"/>
  <c r="M34" i="29"/>
  <c r="P34" i="29"/>
  <c r="Y34" i="29"/>
  <c r="AB34" i="29"/>
  <c r="AK34" i="29"/>
  <c r="AH34" i="29"/>
  <c r="AM33" i="29"/>
  <c r="J34" i="28"/>
  <c r="V34" i="28"/>
  <c r="AH34" i="28"/>
  <c r="AM33" i="28"/>
  <c r="V48" i="38"/>
  <c r="F45" i="39"/>
  <c r="G49" i="22"/>
  <c r="V54" i="36"/>
  <c r="G21" i="36"/>
  <c r="P20" i="35" s="1"/>
  <c r="V60" i="36"/>
  <c r="V48" i="36"/>
  <c r="N54" i="36"/>
  <c r="N50" i="36"/>
  <c r="R11" i="35"/>
  <c r="N16" i="36"/>
  <c r="P31" i="35" s="1"/>
  <c r="V38" i="36"/>
  <c r="F11" i="35" s="1"/>
  <c r="G13" i="22" s="1"/>
  <c r="N32" i="36"/>
  <c r="P36" i="35" s="1"/>
  <c r="N20" i="36"/>
  <c r="P33" i="35" s="1"/>
  <c r="N24" i="36"/>
  <c r="P34" i="35" s="1"/>
  <c r="N11" i="36"/>
  <c r="P30" i="35" s="1"/>
  <c r="G7" i="36"/>
  <c r="P17" i="35" s="1"/>
  <c r="G12" i="36"/>
  <c r="P18" i="35" s="1"/>
  <c r="G17" i="36"/>
  <c r="P19" i="35" s="1"/>
  <c r="G25" i="36"/>
  <c r="P21" i="35" s="1"/>
  <c r="P26" i="35"/>
  <c r="V21" i="36"/>
  <c r="F10" i="35" s="1"/>
  <c r="G12" i="22" s="1"/>
  <c r="G61" i="36"/>
  <c r="P27" i="35" s="1"/>
  <c r="P15" i="35"/>
  <c r="G53" i="36"/>
  <c r="P25" i="35" s="1"/>
  <c r="G42" i="36"/>
  <c r="P24" i="35" s="1"/>
  <c r="P20" i="33"/>
  <c r="I29" i="33"/>
  <c r="P9" i="33"/>
  <c r="I15" i="33"/>
  <c r="N24" i="30"/>
  <c r="L19" i="30"/>
  <c r="L28" i="30"/>
  <c r="N28" i="30" s="1"/>
  <c r="L39" i="30"/>
  <c r="N39" i="30" s="1"/>
  <c r="L7" i="33"/>
  <c r="P12" i="33"/>
  <c r="P21" i="33"/>
  <c r="P26" i="33"/>
  <c r="L30" i="33"/>
  <c r="P30" i="33" s="1"/>
  <c r="L16" i="33"/>
  <c r="N42" i="30"/>
  <c r="N29" i="30"/>
  <c r="N38" i="30"/>
  <c r="N45" i="30"/>
  <c r="P18" i="30"/>
  <c r="N30" i="30"/>
  <c r="I58" i="30"/>
  <c r="G64" i="30"/>
  <c r="I15" i="30"/>
  <c r="N57" i="30"/>
  <c r="P57" i="30" s="1"/>
  <c r="P7" i="30"/>
  <c r="N12" i="30"/>
  <c r="P12" i="30" s="1"/>
  <c r="N37" i="30"/>
  <c r="P37" i="30" s="1"/>
  <c r="N41" i="30"/>
  <c r="P41" i="30" s="1"/>
  <c r="P6" i="30"/>
  <c r="N26" i="30"/>
  <c r="P26" i="30" s="1"/>
  <c r="N27" i="30"/>
  <c r="P27" i="30" s="1"/>
  <c r="L15" i="30"/>
  <c r="F13" i="35" s="1"/>
  <c r="G15" i="22" s="1"/>
  <c r="P21" i="30"/>
  <c r="P9" i="30"/>
  <c r="L16" i="30"/>
  <c r="P40" i="30"/>
  <c r="L59" i="30"/>
  <c r="P36" i="23"/>
  <c r="P35" i="23"/>
  <c r="N34" i="23"/>
  <c r="P34" i="23" s="1"/>
  <c r="I32" i="23"/>
  <c r="AM33" i="27"/>
  <c r="S34" i="27"/>
  <c r="AE34" i="27"/>
  <c r="V34" i="27"/>
  <c r="AH34" i="27"/>
  <c r="AK34" i="27"/>
  <c r="AM34" i="27"/>
  <c r="D34" i="27"/>
  <c r="P34" i="27"/>
  <c r="AB34" i="27"/>
  <c r="M34" i="27"/>
  <c r="Y34" i="27"/>
  <c r="J40" i="22" l="1"/>
  <c r="F39" i="49"/>
  <c r="I40" i="22"/>
  <c r="F39" i="50"/>
  <c r="AM14" i="61"/>
  <c r="F22" i="22" s="1"/>
  <c r="F23" i="22" s="1"/>
  <c r="C18" i="61"/>
  <c r="AM9" i="61"/>
  <c r="C23" i="61" s="1"/>
  <c r="F12" i="22"/>
  <c r="F31" i="22"/>
  <c r="F45" i="22"/>
  <c r="F49" i="22" s="1"/>
  <c r="F13" i="22"/>
  <c r="F30" i="22"/>
  <c r="Q11" i="37"/>
  <c r="F29" i="37"/>
  <c r="F4" i="35"/>
  <c r="G5" i="22" s="1"/>
  <c r="F29" i="35"/>
  <c r="G32" i="22" s="1"/>
  <c r="Q11" i="39"/>
  <c r="F29" i="39"/>
  <c r="K32" i="22" s="1"/>
  <c r="F4" i="37"/>
  <c r="H5" i="22" s="1"/>
  <c r="H7" i="22" s="1"/>
  <c r="P19" i="30"/>
  <c r="P27" i="23"/>
  <c r="P19" i="23"/>
  <c r="I38" i="23"/>
  <c r="L15" i="33"/>
  <c r="P22" i="39"/>
  <c r="F7" i="39" s="1"/>
  <c r="K9" i="22" s="1"/>
  <c r="P28" i="39"/>
  <c r="F8" i="39" s="1"/>
  <c r="K10" i="22" s="1"/>
  <c r="P37" i="39"/>
  <c r="F9" i="39" s="1"/>
  <c r="K11" i="22" s="1"/>
  <c r="F4" i="39"/>
  <c r="P32" i="37"/>
  <c r="P37" i="37" s="1"/>
  <c r="F9" i="37" s="1"/>
  <c r="H11" i="22" s="1"/>
  <c r="P22" i="37"/>
  <c r="F7" i="37" s="1"/>
  <c r="H9" i="22" s="1"/>
  <c r="V61" i="38"/>
  <c r="F35" i="37" s="1"/>
  <c r="H38" i="22" s="1"/>
  <c r="N61" i="38"/>
  <c r="F37" i="37" s="1"/>
  <c r="H40" i="22" s="1"/>
  <c r="P28" i="37"/>
  <c r="F8" i="37" s="1"/>
  <c r="H10" i="22" s="1"/>
  <c r="N33" i="23"/>
  <c r="L37" i="23"/>
  <c r="V61" i="36"/>
  <c r="F35" i="35" s="1"/>
  <c r="G38" i="22" s="1"/>
  <c r="K40" i="22"/>
  <c r="K38" i="22"/>
  <c r="N61" i="36"/>
  <c r="P32" i="35"/>
  <c r="P37" i="35" s="1"/>
  <c r="F9" i="35" s="1"/>
  <c r="G11" i="22" s="1"/>
  <c r="P22" i="35"/>
  <c r="F7" i="35" s="1"/>
  <c r="G9" i="22" s="1"/>
  <c r="P28" i="35"/>
  <c r="F8" i="35" s="1"/>
  <c r="G10" i="22" s="1"/>
  <c r="Q11" i="35"/>
  <c r="I35" i="33"/>
  <c r="L29" i="33"/>
  <c r="F14" i="37" s="1"/>
  <c r="H16" i="22" s="1"/>
  <c r="P16" i="33"/>
  <c r="P29" i="33" s="1"/>
  <c r="L34" i="33"/>
  <c r="P34" i="33"/>
  <c r="P7" i="33"/>
  <c r="I64" i="30"/>
  <c r="P15" i="30"/>
  <c r="F15" i="35" s="1"/>
  <c r="G17" i="22" s="1"/>
  <c r="N56" i="30"/>
  <c r="P56" i="30" s="1"/>
  <c r="N25" i="30"/>
  <c r="P25" i="30" s="1"/>
  <c r="N55" i="30"/>
  <c r="P55" i="30" s="1"/>
  <c r="P20" i="30"/>
  <c r="L58" i="30"/>
  <c r="P16" i="30"/>
  <c r="L63" i="30"/>
  <c r="P59" i="30"/>
  <c r="P63" i="30" s="1"/>
  <c r="F17" i="35" s="1"/>
  <c r="G19" i="22" s="1"/>
  <c r="P17" i="30"/>
  <c r="P14" i="23"/>
  <c r="N5" i="23"/>
  <c r="P5" i="23" s="1"/>
  <c r="N10" i="23"/>
  <c r="P10" i="23" s="1"/>
  <c r="N9" i="23"/>
  <c r="P9" i="23" s="1"/>
  <c r="N8" i="23"/>
  <c r="P8" i="23" s="1"/>
  <c r="N7" i="23"/>
  <c r="P7" i="23" s="1"/>
  <c r="N6" i="23"/>
  <c r="P6" i="23" s="1"/>
  <c r="L32" i="23"/>
  <c r="L13" i="23"/>
  <c r="F10" i="22" l="1"/>
  <c r="C28" i="61"/>
  <c r="E21" i="61" s="1"/>
  <c r="J22" i="22" s="1"/>
  <c r="D18" i="61"/>
  <c r="G20" i="22" s="1"/>
  <c r="D22" i="61"/>
  <c r="K20" i="22" s="1"/>
  <c r="D21" i="61"/>
  <c r="J20" i="22" s="1"/>
  <c r="D19" i="61"/>
  <c r="H20" i="22" s="1"/>
  <c r="D20" i="61"/>
  <c r="I20" i="22" s="1"/>
  <c r="F11" i="22"/>
  <c r="F38" i="22"/>
  <c r="F9" i="22"/>
  <c r="K5" i="22"/>
  <c r="K7" i="22" s="1"/>
  <c r="H32" i="22"/>
  <c r="F32" i="22" s="1"/>
  <c r="F17" i="37"/>
  <c r="H19" i="22" s="1"/>
  <c r="J19" i="22"/>
  <c r="K19" i="22"/>
  <c r="F13" i="37"/>
  <c r="H15" i="22" s="1"/>
  <c r="F16" i="37"/>
  <c r="H18" i="22" s="1"/>
  <c r="K18" i="22"/>
  <c r="F14" i="49"/>
  <c r="J16" i="22" s="1"/>
  <c r="F14" i="39"/>
  <c r="K16" i="22" s="1"/>
  <c r="J18" i="22"/>
  <c r="P15" i="33"/>
  <c r="F39" i="39"/>
  <c r="L64" i="30"/>
  <c r="F14" i="35"/>
  <c r="G16" i="22" s="1"/>
  <c r="L38" i="23"/>
  <c r="F37" i="35"/>
  <c r="G40" i="22" s="1"/>
  <c r="F40" i="22" s="1"/>
  <c r="L35" i="33"/>
  <c r="P58" i="30"/>
  <c r="P33" i="23"/>
  <c r="P37" i="23" s="1"/>
  <c r="E22" i="61" l="1"/>
  <c r="K22" i="22" s="1"/>
  <c r="K23" i="22" s="1"/>
  <c r="E18" i="61"/>
  <c r="G22" i="22" s="1"/>
  <c r="E20" i="61"/>
  <c r="I22" i="22" s="1"/>
  <c r="I23" i="22" s="1"/>
  <c r="I28" i="22" s="1"/>
  <c r="I29" i="22" s="1"/>
  <c r="E19" i="61"/>
  <c r="H22" i="22" s="1"/>
  <c r="H23" i="22" s="1"/>
  <c r="J23" i="22"/>
  <c r="N20" i="22"/>
  <c r="F16" i="22"/>
  <c r="F19" i="22"/>
  <c r="F5" i="22"/>
  <c r="F39" i="37"/>
  <c r="F15" i="37"/>
  <c r="J17" i="22"/>
  <c r="K17" i="22"/>
  <c r="F13" i="49"/>
  <c r="F13" i="39"/>
  <c r="P35" i="33"/>
  <c r="P64" i="30"/>
  <c r="F16" i="35"/>
  <c r="F39" i="35"/>
  <c r="P13" i="23"/>
  <c r="P32" i="23"/>
  <c r="G7" i="22"/>
  <c r="N22" i="22" l="1"/>
  <c r="E23" i="61"/>
  <c r="G23" i="22"/>
  <c r="N23" i="22" s="1"/>
  <c r="F7" i="22"/>
  <c r="K15" i="22"/>
  <c r="F25" i="39"/>
  <c r="H17" i="22"/>
  <c r="F17" i="22" s="1"/>
  <c r="F25" i="37"/>
  <c r="J15" i="22"/>
  <c r="F15" i="22" s="1"/>
  <c r="F25" i="49"/>
  <c r="J27" i="22" s="1"/>
  <c r="G18" i="22"/>
  <c r="F18" i="22" s="1"/>
  <c r="F25" i="35"/>
  <c r="P38" i="23"/>
  <c r="J28" i="22" l="1"/>
  <c r="J29" i="22" s="1"/>
  <c r="F26" i="37"/>
  <c r="H27" i="22"/>
  <c r="F26" i="49"/>
  <c r="F26" i="39"/>
  <c r="K27" i="22"/>
  <c r="K28" i="22" s="1"/>
  <c r="K29" i="22" s="1"/>
  <c r="F26" i="35"/>
  <c r="G27" i="22"/>
  <c r="G28" i="22" l="1"/>
  <c r="F27" i="22"/>
  <c r="H28" i="22"/>
  <c r="F28" i="22" l="1"/>
  <c r="F29" i="22" s="1"/>
  <c r="G29" i="22"/>
  <c r="H29" i="22"/>
  <c r="K49" i="22"/>
  <c r="I34" i="22" l="1"/>
  <c r="J34" i="22"/>
  <c r="H34" i="22"/>
  <c r="K34" i="22"/>
  <c r="J35" i="22"/>
  <c r="K35" i="22"/>
  <c r="I35" i="22"/>
  <c r="H35" i="22"/>
  <c r="H36" i="22"/>
  <c r="J36" i="22"/>
  <c r="K36" i="22"/>
  <c r="I36" i="22"/>
  <c r="J37" i="22"/>
  <c r="H37" i="22"/>
  <c r="I37" i="22"/>
  <c r="K37" i="22"/>
  <c r="G34" i="22"/>
  <c r="G35" i="22"/>
  <c r="G37" i="22"/>
  <c r="G36" i="22"/>
  <c r="F42" i="22"/>
  <c r="F43" i="22" s="1"/>
  <c r="F50" i="22" s="1"/>
  <c r="K41" i="22"/>
  <c r="H41" i="22"/>
  <c r="I41" i="22"/>
  <c r="G41" i="22"/>
  <c r="J41" i="22"/>
  <c r="I42" i="22" l="1"/>
  <c r="I43" i="22" s="1"/>
  <c r="I50" i="22" s="1"/>
  <c r="K42" i="22"/>
  <c r="K43" i="22" s="1"/>
  <c r="K50" i="22" s="1"/>
  <c r="H42" i="22"/>
  <c r="H43" i="22" s="1"/>
  <c r="H50" i="22" s="1"/>
  <c r="J42" i="22"/>
  <c r="J43" i="22" s="1"/>
  <c r="J50" i="22" s="1"/>
  <c r="G42" i="22"/>
  <c r="G43" i="22" s="1"/>
  <c r="G50" i="22" s="1"/>
</calcChain>
</file>

<file path=xl/comments1.xml><?xml version="1.0" encoding="utf-8"?>
<comments xmlns="http://schemas.openxmlformats.org/spreadsheetml/2006/main">
  <authors>
    <author>広島県</author>
  </authors>
  <commentList>
    <comment ref="S4" authorId="0">
      <text>
        <r>
          <rPr>
            <sz val="9"/>
            <color indexed="81"/>
            <rFont val="ＭＳ Ｐゴシック"/>
            <family val="3"/>
            <charset val="128"/>
          </rPr>
          <t>予約価格×1.1
1の位切捨て</t>
        </r>
      </text>
    </comment>
    <comment ref="Q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収量　2000kg/10a
600g/房とすると3330房/10a
</t>
        </r>
      </text>
    </comment>
    <comment ref="Q1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1つのハウスを30aとする
</t>
        </r>
      </text>
    </comment>
  </commentList>
</comments>
</file>

<file path=xl/comments2.xml><?xml version="1.0" encoding="utf-8"?>
<comments xmlns="http://schemas.openxmlformats.org/spreadsheetml/2006/main">
  <authors>
    <author>広島県</author>
  </authors>
  <commentList>
    <comment ref="Q9" authorId="0">
      <text>
        <r>
          <rPr>
            <sz val="9"/>
            <color indexed="81"/>
            <rFont val="ＭＳ Ｐゴシック"/>
            <family val="3"/>
            <charset val="128"/>
          </rPr>
          <t>収量　1800kg/10a
600ｇ/房とすると3000房/10a</t>
        </r>
      </text>
    </comment>
    <comment ref="Q11" authorId="0">
      <text>
        <r>
          <rPr>
            <sz val="9"/>
            <color indexed="81"/>
            <rFont val="ＭＳ Ｐゴシック"/>
            <family val="3"/>
            <charset val="128"/>
          </rPr>
          <t>1つのぶどう棚を50aとする
50m×100m</t>
        </r>
      </text>
    </comment>
  </commentList>
</comments>
</file>

<file path=xl/comments3.xml><?xml version="1.0" encoding="utf-8"?>
<comments xmlns="http://schemas.openxmlformats.org/spreadsheetml/2006/main">
  <authors>
    <author>広島県</author>
  </authors>
  <commentList>
    <comment ref="Q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収量　1800kg/10a
600g/房とすると3000房/10a
</t>
        </r>
      </text>
    </comment>
    <comment ref="Q10" authorId="0">
      <text>
        <r>
          <rPr>
            <sz val="9"/>
            <color indexed="81"/>
            <rFont val="ＭＳ Ｐゴシック"/>
            <family val="3"/>
            <charset val="128"/>
          </rPr>
          <t>1つのハウスを30aとする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広島県</author>
  </authors>
  <commentList>
    <comment ref="Q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収量　1800kg/10a
600g/房とすると3000房/10a
</t>
        </r>
      </text>
    </comment>
    <comment ref="Q1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1つのぶどう棚を50aとする
</t>
        </r>
      </text>
    </comment>
  </commentList>
</comments>
</file>

<file path=xl/comments5.xml><?xml version="1.0" encoding="utf-8"?>
<comments xmlns="http://schemas.openxmlformats.org/spreadsheetml/2006/main">
  <authors>
    <author>広島県</author>
  </authors>
  <commentList>
    <comment ref="Q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収量　1500kg/10a
400g/房とすると3750房/10a
</t>
        </r>
      </text>
    </comment>
    <comment ref="Q11" authorId="0">
      <text>
        <r>
          <rPr>
            <sz val="9"/>
            <color indexed="81"/>
            <rFont val="ＭＳ Ｐゴシック"/>
            <family val="3"/>
            <charset val="128"/>
          </rPr>
          <t>1つのぶどう棚を50aとする</t>
        </r>
      </text>
    </comment>
  </commentList>
</comments>
</file>

<file path=xl/comments6.xml><?xml version="1.0" encoding="utf-8"?>
<comments xmlns="http://schemas.openxmlformats.org/spreadsheetml/2006/main">
  <authors>
    <author>広島県</author>
  </authors>
  <commentList>
    <comment ref="K2" authorId="0">
      <text>
        <r>
          <rPr>
            <sz val="9"/>
            <color indexed="81"/>
            <rFont val="ＭＳ Ｐゴシック"/>
            <family val="3"/>
            <charset val="128"/>
          </rPr>
          <t>予約価格*1.1の1円切捨て</t>
        </r>
      </text>
    </comment>
  </commentList>
</comments>
</file>

<file path=xl/comments7.xml><?xml version="1.0" encoding="utf-8"?>
<comments xmlns="http://schemas.openxmlformats.org/spreadsheetml/2006/main">
  <authors>
    <author>広島県</author>
  </authors>
  <commentList>
    <comment ref="F2" authorId="0">
      <text>
        <r>
          <rPr>
            <sz val="9"/>
            <color indexed="81"/>
            <rFont val="ＭＳ Ｐゴシック"/>
            <family val="3"/>
            <charset val="128"/>
          </rPr>
          <t>予約価格*1.1の1円切捨て</t>
        </r>
      </text>
    </comment>
  </commentList>
</comments>
</file>

<file path=xl/sharedStrings.xml><?xml version="1.0" encoding="utf-8"?>
<sst xmlns="http://schemas.openxmlformats.org/spreadsheetml/2006/main" count="3581" uniqueCount="779">
  <si>
    <t>交際費等 雑費</t>
    <rPh sb="0" eb="3">
      <t>コウサイヒ</t>
    </rPh>
    <rPh sb="3" eb="4">
      <t>トウ</t>
    </rPh>
    <rPh sb="5" eb="7">
      <t>ザッピ</t>
    </rPh>
    <phoneticPr fontId="5"/>
  </si>
  <si>
    <t>雑損失</t>
    <rPh sb="0" eb="2">
      <t>ザッソン</t>
    </rPh>
    <rPh sb="2" eb="3">
      <t>シツ</t>
    </rPh>
    <phoneticPr fontId="5"/>
  </si>
  <si>
    <t>固定資産税</t>
    <rPh sb="0" eb="2">
      <t>コテイ</t>
    </rPh>
    <rPh sb="2" eb="5">
      <t>シサンゼイ</t>
    </rPh>
    <phoneticPr fontId="7"/>
  </si>
  <si>
    <t>出荷資材費</t>
    <rPh sb="0" eb="2">
      <t>シュッカ</t>
    </rPh>
    <rPh sb="2" eb="5">
      <t>シザイヒ</t>
    </rPh>
    <phoneticPr fontId="5"/>
  </si>
  <si>
    <t>運賃</t>
    <rPh sb="0" eb="2">
      <t>ウンチン</t>
    </rPh>
    <phoneticPr fontId="5"/>
  </si>
  <si>
    <t>内容</t>
    <rPh sb="0" eb="2">
      <t>ナイヨウ</t>
    </rPh>
    <phoneticPr fontId="7"/>
  </si>
  <si>
    <t>小農具費</t>
    <rPh sb="0" eb="1">
      <t>ショウ</t>
    </rPh>
    <rPh sb="1" eb="3">
      <t>ノウグ</t>
    </rPh>
    <rPh sb="3" eb="4">
      <t>ヒ</t>
    </rPh>
    <phoneticPr fontId="5"/>
  </si>
  <si>
    <t>賃料料金</t>
    <rPh sb="0" eb="2">
      <t>チンリョウ</t>
    </rPh>
    <rPh sb="2" eb="4">
      <t>リョウキン</t>
    </rPh>
    <phoneticPr fontId="5"/>
  </si>
  <si>
    <t>販売手数料</t>
    <rPh sb="0" eb="2">
      <t>ハンバイ</t>
    </rPh>
    <rPh sb="2" eb="5">
      <t>テスウリョウ</t>
    </rPh>
    <phoneticPr fontId="5"/>
  </si>
  <si>
    <t>（単位）</t>
    <rPh sb="1" eb="3">
      <t>タンイ</t>
    </rPh>
    <phoneticPr fontId="5"/>
  </si>
  <si>
    <t>品   種</t>
  </si>
  <si>
    <t>栽培方法</t>
  </si>
  <si>
    <t>栽培のﾎﾟｲﾝﾄ</t>
  </si>
  <si>
    <t>土地条件，利用</t>
  </si>
  <si>
    <t>労働力利用</t>
  </si>
  <si>
    <t>機械･施設装備</t>
  </si>
  <si>
    <t>販売方法</t>
  </si>
  <si>
    <t>技   　術　   的　　条   　件</t>
  </si>
  <si>
    <t>経　営　的　条　件</t>
  </si>
  <si>
    <t>項　　　　目　</t>
  </si>
  <si>
    <t>金　　額</t>
  </si>
  <si>
    <t>算　　出　　基　　礎</t>
  </si>
  <si>
    <t>粗収益</t>
  </si>
  <si>
    <t>単価</t>
  </si>
  <si>
    <t>合計</t>
    <rPh sb="0" eb="2">
      <t>ゴウケイ</t>
    </rPh>
    <phoneticPr fontId="5"/>
  </si>
  <si>
    <t>数　　量</t>
  </si>
  <si>
    <t>金　額</t>
  </si>
  <si>
    <t>備　考</t>
  </si>
  <si>
    <t>　計</t>
  </si>
  <si>
    <t>殺菌剤</t>
    <rPh sb="0" eb="3">
      <t>サッキンザイ</t>
    </rPh>
    <phoneticPr fontId="5"/>
  </si>
  <si>
    <t>殺虫剤</t>
    <rPh sb="0" eb="2">
      <t>サッチュウ</t>
    </rPh>
    <rPh sb="2" eb="3">
      <t>ザイ</t>
    </rPh>
    <phoneticPr fontId="5"/>
  </si>
  <si>
    <t>除草剤</t>
    <rPh sb="0" eb="3">
      <t>ジョソウザイ</t>
    </rPh>
    <phoneticPr fontId="5"/>
  </si>
  <si>
    <t>燃料費の</t>
    <phoneticPr fontId="5"/>
  </si>
  <si>
    <t>計</t>
  </si>
  <si>
    <t>上</t>
  </si>
  <si>
    <t>中</t>
  </si>
  <si>
    <t>下</t>
  </si>
  <si>
    <t>種　　　類</t>
  </si>
  <si>
    <t>規　模</t>
  </si>
  <si>
    <t>新調価格</t>
  </si>
  <si>
    <t>負担価格</t>
  </si>
  <si>
    <t>残存価格</t>
  </si>
  <si>
    <t>耐用年数</t>
  </si>
  <si>
    <t>年償却額</t>
  </si>
  <si>
    <t>小　　計</t>
  </si>
  <si>
    <t>　　小　　計</t>
  </si>
  <si>
    <t>ガソリン</t>
    <phoneticPr fontId="5"/>
  </si>
  <si>
    <t>軽油</t>
    <phoneticPr fontId="5"/>
  </si>
  <si>
    <t>潤滑油</t>
    <phoneticPr fontId="5"/>
  </si>
  <si>
    <t>混合</t>
    <phoneticPr fontId="5"/>
  </si>
  <si>
    <t>灯油</t>
    <phoneticPr fontId="5"/>
  </si>
  <si>
    <t>電気</t>
    <phoneticPr fontId="5"/>
  </si>
  <si>
    <t>品種</t>
    <rPh sb="0" eb="2">
      <t>ヒンシュ</t>
    </rPh>
    <phoneticPr fontId="5"/>
  </si>
  <si>
    <t>台</t>
  </si>
  <si>
    <t>m</t>
  </si>
  <si>
    <t>売上高</t>
    <rPh sb="0" eb="2">
      <t>ウリアゲ</t>
    </rPh>
    <rPh sb="2" eb="3">
      <t>ダカ</t>
    </rPh>
    <phoneticPr fontId="5"/>
  </si>
  <si>
    <t>種苗費</t>
    <rPh sb="0" eb="2">
      <t>シュビョウ</t>
    </rPh>
    <rPh sb="2" eb="3">
      <t>ヒ</t>
    </rPh>
    <phoneticPr fontId="5"/>
  </si>
  <si>
    <t>肥料費</t>
    <rPh sb="0" eb="3">
      <t>ヒリョウヒ</t>
    </rPh>
    <phoneticPr fontId="5"/>
  </si>
  <si>
    <t>農薬費</t>
    <rPh sb="0" eb="2">
      <t>ノウヤク</t>
    </rPh>
    <rPh sb="2" eb="3">
      <t>ヒ</t>
    </rPh>
    <phoneticPr fontId="5"/>
  </si>
  <si>
    <t>諸材料費</t>
    <rPh sb="0" eb="1">
      <t>ショ</t>
    </rPh>
    <rPh sb="1" eb="4">
      <t>ザイリョウヒ</t>
    </rPh>
    <phoneticPr fontId="5"/>
  </si>
  <si>
    <t>修繕費</t>
    <rPh sb="0" eb="2">
      <t>シュウゼン</t>
    </rPh>
    <rPh sb="2" eb="3">
      <t>ヒ</t>
    </rPh>
    <phoneticPr fontId="5"/>
  </si>
  <si>
    <t>大動植物</t>
    <rPh sb="0" eb="1">
      <t>ダイ</t>
    </rPh>
    <rPh sb="1" eb="2">
      <t>ドウ</t>
    </rPh>
    <rPh sb="2" eb="4">
      <t>ショクブツ</t>
    </rPh>
    <phoneticPr fontId="5"/>
  </si>
  <si>
    <t>管理
委託料</t>
    <rPh sb="0" eb="2">
      <t>カンリ</t>
    </rPh>
    <rPh sb="3" eb="6">
      <t>イタクリョウ</t>
    </rPh>
    <phoneticPr fontId="5"/>
  </si>
  <si>
    <t>水管理</t>
    <rPh sb="0" eb="1">
      <t>ミズ</t>
    </rPh>
    <rPh sb="1" eb="3">
      <t>カンリ</t>
    </rPh>
    <phoneticPr fontId="5"/>
  </si>
  <si>
    <t>支払地代</t>
    <rPh sb="0" eb="2">
      <t>シハラ</t>
    </rPh>
    <rPh sb="2" eb="4">
      <t>チダイ</t>
    </rPh>
    <phoneticPr fontId="5"/>
  </si>
  <si>
    <t>販売費</t>
    <rPh sb="0" eb="3">
      <t>ハンバイヒ</t>
    </rPh>
    <phoneticPr fontId="5"/>
  </si>
  <si>
    <t>役員報酬</t>
    <rPh sb="0" eb="2">
      <t>ヤクイン</t>
    </rPh>
    <rPh sb="2" eb="4">
      <t>ホウシュウ</t>
    </rPh>
    <phoneticPr fontId="5"/>
  </si>
  <si>
    <t>会議費・旅費・研修費</t>
    <rPh sb="0" eb="3">
      <t>カイギヒ</t>
    </rPh>
    <rPh sb="4" eb="6">
      <t>リョヒ</t>
    </rPh>
    <rPh sb="7" eb="10">
      <t>ケンシュウヒ</t>
    </rPh>
    <phoneticPr fontId="5"/>
  </si>
  <si>
    <t>租税公課</t>
    <rPh sb="0" eb="2">
      <t>ソゼイ</t>
    </rPh>
    <rPh sb="2" eb="4">
      <t>コウカ</t>
    </rPh>
    <phoneticPr fontId="5"/>
  </si>
  <si>
    <t>雑収入</t>
    <rPh sb="0" eb="3">
      <t>ザッシュウニュウ</t>
    </rPh>
    <phoneticPr fontId="5"/>
  </si>
  <si>
    <t>営業外
収益</t>
    <rPh sb="0" eb="3">
      <t>エイギョウガイ</t>
    </rPh>
    <rPh sb="4" eb="6">
      <t>シュウエキ</t>
    </rPh>
    <phoneticPr fontId="5"/>
  </si>
  <si>
    <t>経営類型</t>
    <rPh sb="0" eb="2">
      <t>ケイエイ</t>
    </rPh>
    <rPh sb="2" eb="4">
      <t>ルイケイ</t>
    </rPh>
    <phoneticPr fontId="5"/>
  </si>
  <si>
    <t>作型</t>
    <rPh sb="0" eb="2">
      <t>サクガタ</t>
    </rPh>
    <phoneticPr fontId="5"/>
  </si>
  <si>
    <t>対象地域</t>
    <rPh sb="0" eb="2">
      <t>タイショウ</t>
    </rPh>
    <rPh sb="2" eb="4">
      <t>チイキ</t>
    </rPh>
    <phoneticPr fontId="5"/>
  </si>
  <si>
    <t>区分</t>
    <rPh sb="0" eb="2">
      <t>クブン</t>
    </rPh>
    <phoneticPr fontId="5"/>
  </si>
  <si>
    <t>営業損益</t>
    <rPh sb="0" eb="2">
      <t>エイギョウ</t>
    </rPh>
    <rPh sb="2" eb="4">
      <t>ソンエキ</t>
    </rPh>
    <phoneticPr fontId="5"/>
  </si>
  <si>
    <t>作業受託収入</t>
    <rPh sb="0" eb="2">
      <t>サギョウ</t>
    </rPh>
    <rPh sb="2" eb="4">
      <t>ジュタク</t>
    </rPh>
    <rPh sb="4" eb="6">
      <t>シュウニュウ</t>
    </rPh>
    <phoneticPr fontId="5"/>
  </si>
  <si>
    <t>動力光熱費</t>
    <rPh sb="0" eb="2">
      <t>ドウリョク</t>
    </rPh>
    <rPh sb="2" eb="5">
      <t>コウネツヒ</t>
    </rPh>
    <phoneticPr fontId="5"/>
  </si>
  <si>
    <t>減価
償却費</t>
    <rPh sb="0" eb="2">
      <t>ゲンカ</t>
    </rPh>
    <rPh sb="3" eb="5">
      <t>ショウキャク</t>
    </rPh>
    <rPh sb="5" eb="6">
      <t>ヒ</t>
    </rPh>
    <phoneticPr fontId="5"/>
  </si>
  <si>
    <t>畦畔管理</t>
    <rPh sb="0" eb="1">
      <t>ケイ</t>
    </rPh>
    <rPh sb="1" eb="2">
      <t>ハン</t>
    </rPh>
    <rPh sb="2" eb="4">
      <t>カンリ</t>
    </rPh>
    <phoneticPr fontId="5"/>
  </si>
  <si>
    <t>事務通信費</t>
    <rPh sb="0" eb="2">
      <t>ジム</t>
    </rPh>
    <rPh sb="2" eb="5">
      <t>ツウシンヒ</t>
    </rPh>
    <phoneticPr fontId="5"/>
  </si>
  <si>
    <t>土地改良費・水利費</t>
    <rPh sb="0" eb="2">
      <t>トチ</t>
    </rPh>
    <rPh sb="2" eb="5">
      <t>カイリョウヒ</t>
    </rPh>
    <rPh sb="6" eb="8">
      <t>スイリ</t>
    </rPh>
    <rPh sb="8" eb="9">
      <t>ヒ</t>
    </rPh>
    <phoneticPr fontId="5"/>
  </si>
  <si>
    <t>営業外損益</t>
    <rPh sb="0" eb="3">
      <t>エイギョウガイ</t>
    </rPh>
    <rPh sb="3" eb="5">
      <t>ソンエキ</t>
    </rPh>
    <phoneticPr fontId="5"/>
  </si>
  <si>
    <t>営業外損益　計</t>
    <rPh sb="0" eb="3">
      <t>エイギョウガイ</t>
    </rPh>
    <rPh sb="3" eb="5">
      <t>ソンエキ</t>
    </rPh>
    <rPh sb="6" eb="7">
      <t>ケイ</t>
    </rPh>
    <phoneticPr fontId="5"/>
  </si>
  <si>
    <t>負担根拠</t>
    <rPh sb="0" eb="2">
      <t>フタン</t>
    </rPh>
    <rPh sb="2" eb="4">
      <t>コンキョ</t>
    </rPh>
    <phoneticPr fontId="5"/>
  </si>
  <si>
    <t>本作目
負担割合</t>
    <phoneticPr fontId="5"/>
  </si>
  <si>
    <t>（数値）</t>
    <rPh sb="1" eb="3">
      <t>スウチ</t>
    </rPh>
    <phoneticPr fontId="5"/>
  </si>
  <si>
    <t>　　合　　計</t>
    <phoneticPr fontId="5"/>
  </si>
  <si>
    <t>台</t>
    <rPh sb="0" eb="1">
      <t>ダイ</t>
    </rPh>
    <phoneticPr fontId="5"/>
  </si>
  <si>
    <t>㎡</t>
    <phoneticPr fontId="5"/>
  </si>
  <si>
    <t>ha</t>
    <phoneticPr fontId="5"/>
  </si>
  <si>
    <t>４　経営収支</t>
    <rPh sb="2" eb="4">
      <t>ケイエイ</t>
    </rPh>
    <rPh sb="4" eb="6">
      <t>シュウシ</t>
    </rPh>
    <phoneticPr fontId="5"/>
  </si>
  <si>
    <t>栽培様式</t>
    <rPh sb="0" eb="2">
      <t>サイバイ</t>
    </rPh>
    <rPh sb="2" eb="4">
      <t>ヨウシキ</t>
    </rPh>
    <phoneticPr fontId="5"/>
  </si>
  <si>
    <t>技術内容</t>
    <rPh sb="0" eb="2">
      <t>ギジュツ</t>
    </rPh>
    <rPh sb="2" eb="4">
      <t>ナイヨウ</t>
    </rPh>
    <phoneticPr fontId="5"/>
  </si>
  <si>
    <t>作業時期</t>
    <rPh sb="0" eb="2">
      <t>サギョウ</t>
    </rPh>
    <rPh sb="2" eb="4">
      <t>ジキ</t>
    </rPh>
    <phoneticPr fontId="5"/>
  </si>
  <si>
    <t>使用資材
（10a当たり）</t>
    <rPh sb="0" eb="2">
      <t>シヨウ</t>
    </rPh>
    <rPh sb="2" eb="4">
      <t>シザイ</t>
    </rPh>
    <rPh sb="9" eb="10">
      <t>ア</t>
    </rPh>
    <phoneticPr fontId="5"/>
  </si>
  <si>
    <t>技術上の
留意事項</t>
    <rPh sb="0" eb="2">
      <t>ギジュツ</t>
    </rPh>
    <rPh sb="2" eb="3">
      <t>ジョウ</t>
    </rPh>
    <rPh sb="5" eb="7">
      <t>リュウイ</t>
    </rPh>
    <rPh sb="7" eb="9">
      <t>ジコウ</t>
    </rPh>
    <phoneticPr fontId="5"/>
  </si>
  <si>
    <t>機械時間（10 a当たり）</t>
    <rPh sb="0" eb="2">
      <t>キカイ</t>
    </rPh>
    <rPh sb="2" eb="4">
      <t>ジカン</t>
    </rPh>
    <phoneticPr fontId="5"/>
  </si>
  <si>
    <t>人力時間（10 a当たり）</t>
    <rPh sb="0" eb="2">
      <t>ジンリキ</t>
    </rPh>
    <rPh sb="2" eb="4">
      <t>ジカン</t>
    </rPh>
    <phoneticPr fontId="5"/>
  </si>
  <si>
    <t>組作業人員(人）</t>
    <rPh sb="0" eb="1">
      <t>クミ</t>
    </rPh>
    <rPh sb="1" eb="3">
      <t>サギョウ</t>
    </rPh>
    <rPh sb="3" eb="5">
      <t>ジンイン</t>
    </rPh>
    <phoneticPr fontId="5"/>
  </si>
  <si>
    <t>使用施設・機械</t>
    <rPh sb="0" eb="2">
      <t>シヨウ</t>
    </rPh>
    <rPh sb="2" eb="4">
      <t>シセツ</t>
    </rPh>
    <rPh sb="5" eb="7">
      <t>キカイ</t>
    </rPh>
    <phoneticPr fontId="5"/>
  </si>
  <si>
    <t>作業・項目</t>
    <rPh sb="0" eb="2">
      <t>サギョウ</t>
    </rPh>
    <rPh sb="3" eb="5">
      <t>コウモク</t>
    </rPh>
    <phoneticPr fontId="5"/>
  </si>
  <si>
    <t>土地利用体系</t>
    <rPh sb="0" eb="2">
      <t>トチ</t>
    </rPh>
    <rPh sb="2" eb="4">
      <t>リヨウ</t>
    </rPh>
    <rPh sb="4" eb="6">
      <t>タイケイ</t>
    </rPh>
    <phoneticPr fontId="5"/>
  </si>
  <si>
    <t>保有労働力</t>
    <phoneticPr fontId="5"/>
  </si>
  <si>
    <t>オペレーター賃金</t>
    <rPh sb="6" eb="8">
      <t>チンギン</t>
    </rPh>
    <phoneticPr fontId="5"/>
  </si>
  <si>
    <t>補助労務賃金</t>
    <rPh sb="0" eb="2">
      <t>ホジョ</t>
    </rPh>
    <rPh sb="2" eb="4">
      <t>ロウム</t>
    </rPh>
    <rPh sb="4" eb="6">
      <t>チンギン</t>
    </rPh>
    <phoneticPr fontId="5"/>
  </si>
  <si>
    <t>法定福利費　等</t>
  </si>
  <si>
    <t>法定福利費　等</t>
    <phoneticPr fontId="5"/>
  </si>
  <si>
    <t>給料手当</t>
    <rPh sb="0" eb="2">
      <t>キュウリョウ</t>
    </rPh>
    <rPh sb="2" eb="4">
      <t>テアテ</t>
    </rPh>
    <phoneticPr fontId="5"/>
  </si>
  <si>
    <t>価格補てん金</t>
    <rPh sb="0" eb="2">
      <t>カカク</t>
    </rPh>
    <rPh sb="2" eb="3">
      <t>ホ</t>
    </rPh>
    <rPh sb="5" eb="6">
      <t>キン</t>
    </rPh>
    <phoneticPr fontId="5"/>
  </si>
  <si>
    <t>助成金・補助金・交付金</t>
    <rPh sb="0" eb="3">
      <t>ジョセイキン</t>
    </rPh>
    <rPh sb="4" eb="7">
      <t>ホジョキン</t>
    </rPh>
    <rPh sb="8" eb="11">
      <t>コウフキン</t>
    </rPh>
    <phoneticPr fontId="5"/>
  </si>
  <si>
    <t>共済掛金　等</t>
    <rPh sb="0" eb="2">
      <t>キョウサイ</t>
    </rPh>
    <rPh sb="2" eb="4">
      <t>カケキン</t>
    </rPh>
    <rPh sb="5" eb="6">
      <t>ナド</t>
    </rPh>
    <phoneticPr fontId="5"/>
  </si>
  <si>
    <t>作　業　別</t>
    <phoneticPr fontId="5"/>
  </si>
  <si>
    <t>作　　　型</t>
    <phoneticPr fontId="5"/>
  </si>
  <si>
    <t>旬　別　計</t>
    <phoneticPr fontId="5"/>
  </si>
  <si>
    <t>月　  　計</t>
    <phoneticPr fontId="5"/>
  </si>
  <si>
    <t>形式・構造　等</t>
    <rPh sb="6" eb="7">
      <t>ナド</t>
    </rPh>
    <phoneticPr fontId="5"/>
  </si>
  <si>
    <t>区分</t>
    <rPh sb="0" eb="2">
      <t>クブン</t>
    </rPh>
    <phoneticPr fontId="5"/>
  </si>
  <si>
    <t>取得価格</t>
    <rPh sb="0" eb="2">
      <t>シュトク</t>
    </rPh>
    <rPh sb="2" eb="4">
      <t>カカク</t>
    </rPh>
    <phoneticPr fontId="5"/>
  </si>
  <si>
    <t>補助率</t>
    <rPh sb="0" eb="3">
      <t>ホジョリツ</t>
    </rPh>
    <phoneticPr fontId="5"/>
  </si>
  <si>
    <t>②（％）</t>
    <phoneticPr fontId="5"/>
  </si>
  <si>
    <t>①（円）</t>
    <phoneticPr fontId="5"/>
  </si>
  <si>
    <t>④ （％）</t>
    <phoneticPr fontId="5"/>
  </si>
  <si>
    <t>残存割合</t>
    <rPh sb="0" eb="2">
      <t>ザンゾン</t>
    </rPh>
    <rPh sb="2" eb="4">
      <t>ワリアイ</t>
    </rPh>
    <phoneticPr fontId="5"/>
  </si>
  <si>
    <t>⑥（％）</t>
    <phoneticPr fontId="5"/>
  </si>
  <si>
    <t>⑧（年）</t>
    <phoneticPr fontId="5"/>
  </si>
  <si>
    <t>大動植物</t>
    <rPh sb="0" eb="1">
      <t>ダイ</t>
    </rPh>
    <rPh sb="1" eb="4">
      <t>ドウショクブツ</t>
    </rPh>
    <phoneticPr fontId="5"/>
  </si>
  <si>
    <t>③=①×（100-②）（円）</t>
    <rPh sb="12" eb="13">
      <t>エン</t>
    </rPh>
    <phoneticPr fontId="5"/>
  </si>
  <si>
    <t>⑤=③×④（円/ha）</t>
    <phoneticPr fontId="5"/>
  </si>
  <si>
    <t>⑦＝⑤×⑥（円/ha）</t>
    <rPh sb="6" eb="7">
      <t>エン</t>
    </rPh>
    <phoneticPr fontId="5"/>
  </si>
  <si>
    <t>⑨＝（⑤－⑦）÷⑧（円/ha）</t>
    <phoneticPr fontId="5"/>
  </si>
  <si>
    <t>コシヒカリ</t>
    <phoneticPr fontId="5"/>
  </si>
  <si>
    <t>展着剤・調整剤　等</t>
    <rPh sb="0" eb="3">
      <t>テンチャクザイ</t>
    </rPh>
    <rPh sb="4" eb="7">
      <t>チョウセイザイ</t>
    </rPh>
    <rPh sb="8" eb="9">
      <t>ナド</t>
    </rPh>
    <phoneticPr fontId="5"/>
  </si>
  <si>
    <t>農薬名</t>
  </si>
  <si>
    <t>使用量</t>
    <rPh sb="2" eb="3">
      <t>リョウ</t>
    </rPh>
    <phoneticPr fontId="5"/>
  </si>
  <si>
    <t>単位</t>
  </si>
  <si>
    <t>金額</t>
  </si>
  <si>
    <t xml:space="preserve"> 燃料消費量</t>
  </si>
  <si>
    <t>袋・本</t>
  </si>
  <si>
    <t>利用時間</t>
  </si>
  <si>
    <t>　小　計</t>
  </si>
  <si>
    <t>小　計</t>
  </si>
  <si>
    <t>本</t>
    <rPh sb="0" eb="1">
      <t>ホン</t>
    </rPh>
    <phoneticPr fontId="5"/>
  </si>
  <si>
    <t>本</t>
  </si>
  <si>
    <t>小計</t>
  </si>
  <si>
    <t>本作目
負担割合</t>
    <phoneticPr fontId="5"/>
  </si>
  <si>
    <t>①（円）</t>
    <phoneticPr fontId="5"/>
  </si>
  <si>
    <t>②（％）</t>
    <phoneticPr fontId="5"/>
  </si>
  <si>
    <t>④ （％）</t>
    <phoneticPr fontId="5"/>
  </si>
  <si>
    <t>⑤=③×④（円/ha）</t>
    <phoneticPr fontId="5"/>
  </si>
  <si>
    <t>⑥（％）</t>
    <phoneticPr fontId="5"/>
  </si>
  <si>
    <t>⑧（年）</t>
    <phoneticPr fontId="5"/>
  </si>
  <si>
    <t>⑨＝（⑤－⑦）÷⑧（円/ha）</t>
    <phoneticPr fontId="5"/>
  </si>
  <si>
    <t>　　合　　計</t>
    <phoneticPr fontId="5"/>
  </si>
  <si>
    <t>（kg）</t>
    <phoneticPr fontId="5"/>
  </si>
  <si>
    <t>軽油</t>
    <phoneticPr fontId="5"/>
  </si>
  <si>
    <t>ガソリン</t>
    <phoneticPr fontId="5"/>
  </si>
  <si>
    <t>燃料費の</t>
    <phoneticPr fontId="5"/>
  </si>
  <si>
    <t>潤滑油</t>
    <phoneticPr fontId="5"/>
  </si>
  <si>
    <t>混合</t>
    <phoneticPr fontId="5"/>
  </si>
  <si>
    <t>灯油</t>
    <phoneticPr fontId="5"/>
  </si>
  <si>
    <t>電気</t>
    <phoneticPr fontId="5"/>
  </si>
  <si>
    <t>（ア）種苗名</t>
    <rPh sb="3" eb="5">
      <t>シュビョウ</t>
    </rPh>
    <rPh sb="5" eb="6">
      <t>メイ</t>
    </rPh>
    <phoneticPr fontId="5"/>
  </si>
  <si>
    <t>（イ）肥料名</t>
    <phoneticPr fontId="5"/>
  </si>
  <si>
    <t>（ウ）農薬名</t>
    <phoneticPr fontId="5"/>
  </si>
  <si>
    <t>（エ）燃料名</t>
    <phoneticPr fontId="5"/>
  </si>
  <si>
    <t>生産雑費</t>
    <rPh sb="0" eb="2">
      <t>セイサン</t>
    </rPh>
    <rPh sb="2" eb="4">
      <t>ザッピ</t>
    </rPh>
    <phoneticPr fontId="5"/>
  </si>
  <si>
    <t>土づくり資材</t>
    <rPh sb="0" eb="1">
      <t>ツチ</t>
    </rPh>
    <rPh sb="4" eb="6">
      <t>シザイ</t>
    </rPh>
    <phoneticPr fontId="5"/>
  </si>
  <si>
    <t>化成肥料</t>
    <rPh sb="0" eb="2">
      <t>カセイ</t>
    </rPh>
    <rPh sb="2" eb="4">
      <t>ヒリョウ</t>
    </rPh>
    <phoneticPr fontId="5"/>
  </si>
  <si>
    <t>●種類</t>
    <phoneticPr fontId="5"/>
  </si>
  <si>
    <t>有機物資材</t>
    <rPh sb="0" eb="3">
      <t>ユウキブツ</t>
    </rPh>
    <rPh sb="3" eb="5">
      <t>シザイ</t>
    </rPh>
    <phoneticPr fontId="5"/>
  </si>
  <si>
    <t>液肥</t>
    <rPh sb="0" eb="2">
      <t>エキヒ</t>
    </rPh>
    <phoneticPr fontId="5"/>
  </si>
  <si>
    <t>その他</t>
    <rPh sb="2" eb="3">
      <t>タ</t>
    </rPh>
    <phoneticPr fontId="5"/>
  </si>
  <si>
    <t>殺虫剤</t>
    <rPh sb="1" eb="2">
      <t>ムシ</t>
    </rPh>
    <rPh sb="2" eb="3">
      <t>ザイ</t>
    </rPh>
    <phoneticPr fontId="5"/>
  </si>
  <si>
    <t>t</t>
    <phoneticPr fontId="5"/>
  </si>
  <si>
    <t>展着剤等</t>
    <rPh sb="0" eb="3">
      <t>テンチャクザイ</t>
    </rPh>
    <rPh sb="3" eb="4">
      <t>トウ</t>
    </rPh>
    <phoneticPr fontId="5"/>
  </si>
  <si>
    <t>肥料名</t>
    <rPh sb="0" eb="2">
      <t>ヒリョウ</t>
    </rPh>
    <rPh sb="2" eb="3">
      <t>メイ</t>
    </rPh>
    <phoneticPr fontId="5"/>
  </si>
  <si>
    <t>1ha機械</t>
    <phoneticPr fontId="5"/>
  </si>
  <si>
    <t>電気</t>
    <rPh sb="0" eb="2">
      <t>デンキ</t>
    </rPh>
    <phoneticPr fontId="5"/>
  </si>
  <si>
    <t>軽油</t>
    <rPh sb="0" eb="2">
      <t>ケイユ</t>
    </rPh>
    <phoneticPr fontId="5"/>
  </si>
  <si>
    <t>作業名（使用機械）</t>
    <rPh sb="0" eb="2">
      <t>サギョウ</t>
    </rPh>
    <rPh sb="2" eb="3">
      <t>メイ</t>
    </rPh>
    <rPh sb="4" eb="6">
      <t>シヨウ</t>
    </rPh>
    <rPh sb="6" eb="8">
      <t>キカイ</t>
    </rPh>
    <phoneticPr fontId="5"/>
  </si>
  <si>
    <t>混合</t>
    <rPh sb="0" eb="2">
      <t>コンゴウ</t>
    </rPh>
    <phoneticPr fontId="5"/>
  </si>
  <si>
    <t>灯油</t>
    <rPh sb="0" eb="2">
      <t>トウユ</t>
    </rPh>
    <phoneticPr fontId="5"/>
  </si>
  <si>
    <t>資材名</t>
    <rPh sb="0" eb="2">
      <t>シザイ</t>
    </rPh>
    <rPh sb="2" eb="3">
      <t>メイ</t>
    </rPh>
    <phoneticPr fontId="5"/>
  </si>
  <si>
    <t>使用量</t>
    <rPh sb="0" eb="3">
      <t>シヨウリョウ</t>
    </rPh>
    <phoneticPr fontId="5"/>
  </si>
  <si>
    <t>単位</t>
    <rPh sb="0" eb="2">
      <t>タンイ</t>
    </rPh>
    <phoneticPr fontId="5"/>
  </si>
  <si>
    <t>単価</t>
    <phoneticPr fontId="5"/>
  </si>
  <si>
    <t>使用期間（年）</t>
    <rPh sb="0" eb="2">
      <t>シヨウ</t>
    </rPh>
    <rPh sb="2" eb="4">
      <t>キカン</t>
    </rPh>
    <rPh sb="5" eb="6">
      <t>ネン</t>
    </rPh>
    <phoneticPr fontId="5"/>
  </si>
  <si>
    <t>金額（1年あたり）</t>
    <rPh sb="4" eb="5">
      <t>ネン</t>
    </rPh>
    <phoneticPr fontId="5"/>
  </si>
  <si>
    <t>農具名</t>
    <rPh sb="0" eb="2">
      <t>ノウグ</t>
    </rPh>
    <rPh sb="2" eb="3">
      <t>メイ</t>
    </rPh>
    <phoneticPr fontId="5"/>
  </si>
  <si>
    <t>負担面積（ha）</t>
    <rPh sb="0" eb="2">
      <t>フタン</t>
    </rPh>
    <rPh sb="2" eb="4">
      <t>メンセキ</t>
    </rPh>
    <phoneticPr fontId="5"/>
  </si>
  <si>
    <t>建物・施設</t>
    <rPh sb="0" eb="2">
      <t>タテモノ</t>
    </rPh>
    <rPh sb="3" eb="5">
      <t>シセツ</t>
    </rPh>
    <phoneticPr fontId="5"/>
  </si>
  <si>
    <t>機械・器具</t>
    <rPh sb="0" eb="2">
      <t>キカイ</t>
    </rPh>
    <rPh sb="3" eb="5">
      <t>キグ</t>
    </rPh>
    <phoneticPr fontId="5"/>
  </si>
  <si>
    <t>建物・施設</t>
    <rPh sb="0" eb="2">
      <t>タテモノ</t>
    </rPh>
    <rPh sb="3" eb="5">
      <t>シセツ</t>
    </rPh>
    <phoneticPr fontId="5"/>
  </si>
  <si>
    <t>機械・器具</t>
    <rPh sb="0" eb="2">
      <t>キカイ</t>
    </rPh>
    <rPh sb="3" eb="5">
      <t>キグ</t>
    </rPh>
    <phoneticPr fontId="5"/>
  </si>
  <si>
    <t>右表（ア）</t>
    <phoneticPr fontId="5"/>
  </si>
  <si>
    <t>※手入力（根拠を記載）</t>
    <rPh sb="1" eb="2">
      <t>テ</t>
    </rPh>
    <rPh sb="2" eb="4">
      <t>ニュウリョク</t>
    </rPh>
    <rPh sb="5" eb="7">
      <t>コンキョ</t>
    </rPh>
    <rPh sb="8" eb="10">
      <t>キサイ</t>
    </rPh>
    <phoneticPr fontId="5"/>
  </si>
  <si>
    <t>負担価格の</t>
    <phoneticPr fontId="5"/>
  </si>
  <si>
    <t>販売費・
一般管理費</t>
    <rPh sb="0" eb="3">
      <t>ハンバイヒ</t>
    </rPh>
    <rPh sb="5" eb="7">
      <t>イッパン</t>
    </rPh>
    <rPh sb="7" eb="10">
      <t>カンリヒ</t>
    </rPh>
    <phoneticPr fontId="5"/>
  </si>
  <si>
    <t>右表（イ）　※８－１　水稲算出基礎シート参照</t>
    <phoneticPr fontId="5"/>
  </si>
  <si>
    <t>右表（ウ）　※８－１　水稲算出基礎シート参照</t>
    <phoneticPr fontId="5"/>
  </si>
  <si>
    <t>右表（エ）　※８－１　水稲算出基礎シート参照</t>
    <phoneticPr fontId="5"/>
  </si>
  <si>
    <t>※８－１　水稲算出基礎シート参照</t>
    <rPh sb="5" eb="7">
      <t>スイトウ</t>
    </rPh>
    <rPh sb="7" eb="9">
      <t>サンシュツ</t>
    </rPh>
    <rPh sb="9" eb="11">
      <t>キソ</t>
    </rPh>
    <rPh sb="14" eb="16">
      <t>サンショウ</t>
    </rPh>
    <phoneticPr fontId="5"/>
  </si>
  <si>
    <t>※６　資本装備・償却費シート参照</t>
    <rPh sb="3" eb="5">
      <t>シホン</t>
    </rPh>
    <rPh sb="5" eb="7">
      <t>ソウビ</t>
    </rPh>
    <rPh sb="8" eb="10">
      <t>ショウキャク</t>
    </rPh>
    <rPh sb="10" eb="11">
      <t>ヒ</t>
    </rPh>
    <rPh sb="14" eb="16">
      <t>サンショウ</t>
    </rPh>
    <phoneticPr fontId="5"/>
  </si>
  <si>
    <t>※４　経営収支に記載</t>
    <rPh sb="3" eb="5">
      <t>ケイエイ</t>
    </rPh>
    <rPh sb="5" eb="7">
      <t>シュウシ</t>
    </rPh>
    <rPh sb="8" eb="10">
      <t>キサイ</t>
    </rPh>
    <phoneticPr fontId="5"/>
  </si>
  <si>
    <t>●●円/10a</t>
    <rPh sb="2" eb="3">
      <t>エン</t>
    </rPh>
    <phoneticPr fontId="5"/>
  </si>
  <si>
    <t>補助労務賃金（●●円/時）</t>
    <phoneticPr fontId="7"/>
  </si>
  <si>
    <t>オペ労賃（●●円/時）</t>
    <phoneticPr fontId="7"/>
  </si>
  <si>
    <t>売上高　計　①</t>
    <rPh sb="0" eb="2">
      <t>ウリアゲ</t>
    </rPh>
    <rPh sb="2" eb="3">
      <t>ダカ</t>
    </rPh>
    <rPh sb="4" eb="5">
      <t>ケイ</t>
    </rPh>
    <phoneticPr fontId="5"/>
  </si>
  <si>
    <t>売上総利益　③=①-②</t>
    <rPh sb="0" eb="2">
      <t>ウリアゲ</t>
    </rPh>
    <rPh sb="2" eb="5">
      <t>ソウリエキ</t>
    </rPh>
    <phoneticPr fontId="5"/>
  </si>
  <si>
    <t>販売費・一般管理費　計　④</t>
    <rPh sb="0" eb="3">
      <t>ハンバイヒ</t>
    </rPh>
    <rPh sb="4" eb="6">
      <t>イッパン</t>
    </rPh>
    <rPh sb="6" eb="9">
      <t>カンリヒ</t>
    </rPh>
    <rPh sb="10" eb="11">
      <t>ケイ</t>
    </rPh>
    <phoneticPr fontId="5"/>
  </si>
  <si>
    <t>売上原価</t>
    <rPh sb="0" eb="2">
      <t>ウリアゲ</t>
    </rPh>
    <rPh sb="2" eb="4">
      <t>ゲンカ</t>
    </rPh>
    <phoneticPr fontId="5"/>
  </si>
  <si>
    <t>売上原価　計　②</t>
    <rPh sb="0" eb="2">
      <t>ウリアゲ</t>
    </rPh>
    <rPh sb="2" eb="4">
      <t>ゲンカ</t>
    </rPh>
    <rPh sb="5" eb="6">
      <t>ケイ</t>
    </rPh>
    <phoneticPr fontId="5"/>
  </si>
  <si>
    <t>営業利益　⑤=③-④　</t>
    <rPh sb="0" eb="2">
      <t>エイギョウ</t>
    </rPh>
    <rPh sb="2" eb="4">
      <t>リエキ</t>
    </rPh>
    <phoneticPr fontId="5"/>
  </si>
  <si>
    <t>営業外収益　⑥</t>
    <rPh sb="0" eb="3">
      <t>エイギョウガイ</t>
    </rPh>
    <rPh sb="3" eb="5">
      <t>シュウエキ</t>
    </rPh>
    <phoneticPr fontId="5"/>
  </si>
  <si>
    <t>営業外費用　⑦</t>
    <phoneticPr fontId="5"/>
  </si>
  <si>
    <t>営業外損益　計　⑧=⑥-⑦</t>
    <rPh sb="0" eb="3">
      <t>エイギョウガイ</t>
    </rPh>
    <rPh sb="3" eb="5">
      <t>ソンエキ</t>
    </rPh>
    <rPh sb="6" eb="7">
      <t>ケイ</t>
    </rPh>
    <phoneticPr fontId="5"/>
  </si>
  <si>
    <t>経常利益　⑨=⑤+⑧</t>
    <rPh sb="0" eb="2">
      <t>ケイジョウ</t>
    </rPh>
    <rPh sb="2" eb="4">
      <t>リエキ</t>
    </rPh>
    <phoneticPr fontId="5"/>
  </si>
  <si>
    <t>販売費・一般管理費　計</t>
    <rPh sb="0" eb="3">
      <t>ハンバイヒ</t>
    </rPh>
    <rPh sb="4" eb="6">
      <t>イッパン</t>
    </rPh>
    <rPh sb="6" eb="9">
      <t>カンリヒ</t>
    </rPh>
    <rPh sb="10" eb="11">
      <t>ケイ</t>
    </rPh>
    <phoneticPr fontId="5"/>
  </si>
  <si>
    <t>売上原価　計</t>
    <phoneticPr fontId="5"/>
  </si>
  <si>
    <t>販売収入</t>
    <rPh sb="0" eb="2">
      <t>ハンバイ</t>
    </rPh>
    <rPh sb="2" eb="4">
      <t>シュウニュウ</t>
    </rPh>
    <phoneticPr fontId="5"/>
  </si>
  <si>
    <t>営業外
費用</t>
    <phoneticPr fontId="5"/>
  </si>
  <si>
    <t>営業外</t>
    <rPh sb="0" eb="3">
      <t>エイギョウガイ</t>
    </rPh>
    <phoneticPr fontId="5"/>
  </si>
  <si>
    <t>（１）肥料費</t>
    <rPh sb="3" eb="5">
      <t>ヒリョウ</t>
    </rPh>
    <rPh sb="5" eb="6">
      <t>ヒ</t>
    </rPh>
    <phoneticPr fontId="5"/>
  </si>
  <si>
    <t>（３）動力光熱費</t>
    <rPh sb="3" eb="5">
      <t>ドウリョク</t>
    </rPh>
    <rPh sb="5" eb="8">
      <t>コウネツヒ</t>
    </rPh>
    <phoneticPr fontId="5"/>
  </si>
  <si>
    <t>農　　　　業　　　　経　　　　営　　　　費</t>
    <rPh sb="0" eb="1">
      <t>ノウ</t>
    </rPh>
    <rPh sb="5" eb="6">
      <t>ギョウ</t>
    </rPh>
    <rPh sb="10" eb="11">
      <t>ヘ</t>
    </rPh>
    <rPh sb="15" eb="16">
      <t>エイ</t>
    </rPh>
    <rPh sb="20" eb="21">
      <t>ヒ</t>
    </rPh>
    <phoneticPr fontId="5"/>
  </si>
  <si>
    <t>費　　　　用　　　　の　　　　算　　　　出</t>
    <rPh sb="0" eb="1">
      <t>ヒ</t>
    </rPh>
    <rPh sb="5" eb="6">
      <t>ヨウ</t>
    </rPh>
    <rPh sb="15" eb="16">
      <t>サン</t>
    </rPh>
    <rPh sb="20" eb="21">
      <t>デ</t>
    </rPh>
    <phoneticPr fontId="5"/>
  </si>
  <si>
    <t>粗　　　収　　　益　　　の　　　算　　　出</t>
    <phoneticPr fontId="5"/>
  </si>
  <si>
    <t>ヒノヒカリ</t>
    <phoneticPr fontId="5"/>
  </si>
  <si>
    <t>●作業</t>
    <rPh sb="1" eb="3">
      <t>サギョウ</t>
    </rPh>
    <phoneticPr fontId="5"/>
  </si>
  <si>
    <t>売上原価の</t>
    <rPh sb="0" eb="2">
      <t>ウリアゲ</t>
    </rPh>
    <rPh sb="2" eb="4">
      <t>ゲンカ</t>
    </rPh>
    <phoneticPr fontId="5"/>
  </si>
  <si>
    <t>水稲共済</t>
    <rPh sb="0" eb="2">
      <t>スイトウ</t>
    </rPh>
    <rPh sb="2" eb="4">
      <t>キョウサイ</t>
    </rPh>
    <phoneticPr fontId="5"/>
  </si>
  <si>
    <t>区　分</t>
    <rPh sb="0" eb="1">
      <t>ク</t>
    </rPh>
    <rPh sb="2" eb="3">
      <t>ブン</t>
    </rPh>
    <phoneticPr fontId="7"/>
  </si>
  <si>
    <t>区分</t>
    <rPh sb="0" eb="1">
      <t>ク</t>
    </rPh>
    <rPh sb="1" eb="2">
      <t>ブン</t>
    </rPh>
    <phoneticPr fontId="7"/>
  </si>
  <si>
    <t>取得価格・評価額・負担額</t>
    <rPh sb="0" eb="2">
      <t>シュトク</t>
    </rPh>
    <rPh sb="2" eb="4">
      <t>カカク</t>
    </rPh>
    <rPh sb="5" eb="7">
      <t>ヒョウカ</t>
    </rPh>
    <rPh sb="7" eb="8">
      <t>ガク</t>
    </rPh>
    <rPh sb="9" eb="11">
      <t>フタン</t>
    </rPh>
    <rPh sb="11" eb="12">
      <t>ガク</t>
    </rPh>
    <phoneticPr fontId="7"/>
  </si>
  <si>
    <t>自動車重量税</t>
    <rPh sb="0" eb="3">
      <t>ジドウシャ</t>
    </rPh>
    <rPh sb="3" eb="6">
      <t>ジュウリョウゼイ</t>
    </rPh>
    <phoneticPr fontId="7"/>
  </si>
  <si>
    <t>自動車税</t>
    <rPh sb="0" eb="3">
      <t>ジドウシャ</t>
    </rPh>
    <rPh sb="3" eb="4">
      <t>ゼイ</t>
    </rPh>
    <phoneticPr fontId="7"/>
  </si>
  <si>
    <t>軽自動車税</t>
    <rPh sb="0" eb="1">
      <t>ケイ</t>
    </rPh>
    <rPh sb="1" eb="5">
      <t>ジドウシャゼイ</t>
    </rPh>
    <phoneticPr fontId="7"/>
  </si>
  <si>
    <t>合　　計</t>
    <rPh sb="0" eb="1">
      <t>ア</t>
    </rPh>
    <rPh sb="3" eb="4">
      <t>ケイ</t>
    </rPh>
    <phoneticPr fontId="5"/>
  </si>
  <si>
    <t>（７）共済掛金　等</t>
    <rPh sb="3" eb="5">
      <t>キョウサイ</t>
    </rPh>
    <rPh sb="5" eb="7">
      <t>カケキン</t>
    </rPh>
    <rPh sb="8" eb="9">
      <t>ナド</t>
    </rPh>
    <phoneticPr fontId="7"/>
  </si>
  <si>
    <t>内　容</t>
    <rPh sb="0" eb="1">
      <t>ウチ</t>
    </rPh>
    <rPh sb="2" eb="3">
      <t>カタチ</t>
    </rPh>
    <phoneticPr fontId="7"/>
  </si>
  <si>
    <t>共済掛金</t>
    <rPh sb="0" eb="2">
      <t>キョウサイ</t>
    </rPh>
    <rPh sb="2" eb="4">
      <t>カケキン</t>
    </rPh>
    <phoneticPr fontId="7"/>
  </si>
  <si>
    <t>●●級</t>
    <rPh sb="2" eb="3">
      <t>キュウ</t>
    </rPh>
    <phoneticPr fontId="5"/>
  </si>
  <si>
    <t>負担率</t>
    <rPh sb="0" eb="2">
      <t>フタン</t>
    </rPh>
    <rPh sb="2" eb="3">
      <t>リツ</t>
    </rPh>
    <phoneticPr fontId="7"/>
  </si>
  <si>
    <t>評価額・負担額</t>
    <rPh sb="0" eb="3">
      <t>ヒョウカガク</t>
    </rPh>
    <rPh sb="4" eb="6">
      <t>フタン</t>
    </rPh>
    <rPh sb="6" eb="7">
      <t>ガク</t>
    </rPh>
    <phoneticPr fontId="7"/>
  </si>
  <si>
    <t>◇◇共済</t>
    <rPh sb="2" eb="4">
      <t>キョウサイ</t>
    </rPh>
    <phoneticPr fontId="5"/>
  </si>
  <si>
    <t>小計</t>
    <rPh sb="0" eb="2">
      <t>ショウケイ</t>
    </rPh>
    <phoneticPr fontId="7"/>
  </si>
  <si>
    <t>園芸施設共済</t>
    <rPh sb="0" eb="2">
      <t>エンゲイ</t>
    </rPh>
    <rPh sb="2" eb="4">
      <t>シセツ</t>
    </rPh>
    <rPh sb="4" eb="6">
      <t>キョウサイ</t>
    </rPh>
    <phoneticPr fontId="5"/>
  </si>
  <si>
    <t>（４）租税公課</t>
    <rPh sb="3" eb="5">
      <t>ソゼイ</t>
    </rPh>
    <rPh sb="5" eb="7">
      <t>コウカ</t>
    </rPh>
    <phoneticPr fontId="7"/>
  </si>
  <si>
    <t>（５）諸材料費（使用可能期間を想定して算出）</t>
    <rPh sb="3" eb="4">
      <t>ショ</t>
    </rPh>
    <rPh sb="4" eb="7">
      <t>ザイリョウヒ</t>
    </rPh>
    <rPh sb="8" eb="10">
      <t>シヨウ</t>
    </rPh>
    <rPh sb="10" eb="12">
      <t>カノウ</t>
    </rPh>
    <rPh sb="12" eb="14">
      <t>キカン</t>
    </rPh>
    <rPh sb="15" eb="17">
      <t>ソウテイ</t>
    </rPh>
    <rPh sb="19" eb="21">
      <t>サンシュツ</t>
    </rPh>
    <phoneticPr fontId="5"/>
  </si>
  <si>
    <t>（６）小農具費（使用可能期間を想定して算出）</t>
    <rPh sb="3" eb="6">
      <t>ショウノウグ</t>
    </rPh>
    <rPh sb="6" eb="7">
      <t>ヒ</t>
    </rPh>
    <phoneticPr fontId="5"/>
  </si>
  <si>
    <t>軽トラック</t>
    <rPh sb="0" eb="1">
      <t>ケイ</t>
    </rPh>
    <phoneticPr fontId="5"/>
  </si>
  <si>
    <t>保険料</t>
    <rPh sb="0" eb="3">
      <t>ホケンリョウ</t>
    </rPh>
    <phoneticPr fontId="5"/>
  </si>
  <si>
    <t>小　計</t>
    <phoneticPr fontId="5"/>
  </si>
  <si>
    <t>ガソリン</t>
    <phoneticPr fontId="5"/>
  </si>
  <si>
    <t>小　計</t>
    <phoneticPr fontId="5"/>
  </si>
  <si>
    <t>単価</t>
    <phoneticPr fontId="5"/>
  </si>
  <si>
    <t>（２）農薬費</t>
    <phoneticPr fontId="5"/>
  </si>
  <si>
    <t>小　計</t>
    <phoneticPr fontId="5"/>
  </si>
  <si>
    <t>金額</t>
    <phoneticPr fontId="5"/>
  </si>
  <si>
    <t>●●</t>
    <phoneticPr fontId="5"/>
  </si>
  <si>
    <t>自賠責保険</t>
    <rPh sb="0" eb="3">
      <t>ジバイセキ</t>
    </rPh>
    <rPh sb="3" eb="5">
      <t>ホケン</t>
    </rPh>
    <phoneticPr fontId="5"/>
  </si>
  <si>
    <t>任意保険</t>
    <rPh sb="0" eb="2">
      <t>ニンイ</t>
    </rPh>
    <rPh sb="2" eb="4">
      <t>ホケン</t>
    </rPh>
    <phoneticPr fontId="5"/>
  </si>
  <si>
    <t>毎年更新</t>
    <rPh sb="0" eb="2">
      <t>マイトシ</t>
    </rPh>
    <rPh sb="2" eb="4">
      <t>コウシン</t>
    </rPh>
    <phoneticPr fontId="5"/>
  </si>
  <si>
    <t>作目：</t>
  </si>
  <si>
    <t>作型：</t>
  </si>
  <si>
    <t>６　固定資本装備と減価償却費（1ha当たり・1年当たり）</t>
    <rPh sb="18" eb="19">
      <t>ア</t>
    </rPh>
    <rPh sb="23" eb="24">
      <t>ネン</t>
    </rPh>
    <rPh sb="24" eb="25">
      <t>ア</t>
    </rPh>
    <phoneticPr fontId="5"/>
  </si>
  <si>
    <t>数量</t>
    <phoneticPr fontId="5"/>
  </si>
  <si>
    <t>販売量</t>
    <phoneticPr fontId="5"/>
  </si>
  <si>
    <t>販売量</t>
    <phoneticPr fontId="5"/>
  </si>
  <si>
    <t>月</t>
    <rPh sb="0" eb="1">
      <t>ツキ</t>
    </rPh>
    <phoneticPr fontId="5"/>
  </si>
  <si>
    <t>重油</t>
    <rPh sb="0" eb="2">
      <t>ジュウユ</t>
    </rPh>
    <phoneticPr fontId="5"/>
  </si>
  <si>
    <t>重油</t>
    <rPh sb="0" eb="2">
      <t>ジュウユ</t>
    </rPh>
    <phoneticPr fontId="5"/>
  </si>
  <si>
    <t>労務費Ⅰ</t>
    <rPh sb="0" eb="3">
      <t>ロウムヒ</t>
    </rPh>
    <phoneticPr fontId="5"/>
  </si>
  <si>
    <t>労務費Ⅱ</t>
    <rPh sb="0" eb="3">
      <t>ロウムヒ</t>
    </rPh>
    <phoneticPr fontId="5"/>
  </si>
  <si>
    <t>営業外費用Ⅰ</t>
    <rPh sb="0" eb="3">
      <t>エイギョウガイ</t>
    </rPh>
    <rPh sb="3" eb="5">
      <t>ヒヨウ</t>
    </rPh>
    <phoneticPr fontId="5"/>
  </si>
  <si>
    <t>備　　　　　　　　　　　　　　　　　　　　考</t>
    <rPh sb="0" eb="1">
      <t>ソナエ</t>
    </rPh>
    <rPh sb="21" eb="22">
      <t>コウ</t>
    </rPh>
    <phoneticPr fontId="5"/>
  </si>
  <si>
    <t>区　　　　　　　　　　　　　　　　　　　　分</t>
    <rPh sb="0" eb="1">
      <t>ク</t>
    </rPh>
    <rPh sb="21" eb="22">
      <t>ブン</t>
    </rPh>
    <phoneticPr fontId="5"/>
  </si>
  <si>
    <t>合　　　　計</t>
    <rPh sb="0" eb="1">
      <t>ア</t>
    </rPh>
    <rPh sb="5" eb="6">
      <t>ケイ</t>
    </rPh>
    <phoneticPr fontId="5"/>
  </si>
  <si>
    <t>月別平均価格の推移</t>
  </si>
  <si>
    <t>　　　　　　　　　　　　　　　　　　　　　月
　　　年</t>
    <rPh sb="21" eb="22">
      <t>ツキ</t>
    </rPh>
    <rPh sb="26" eb="27">
      <t>ネン</t>
    </rPh>
    <phoneticPr fontId="5"/>
  </si>
  <si>
    <t>平均</t>
  </si>
  <si>
    <t>平　　均</t>
  </si>
  <si>
    <t>（広島県産）</t>
    <rPh sb="1" eb="5">
      <t>ヒロシマケンサン</t>
    </rPh>
    <phoneticPr fontId="5"/>
  </si>
  <si>
    <t>ℓ・kw／時</t>
    <rPh sb="5" eb="6">
      <t>ジ</t>
    </rPh>
    <phoneticPr fontId="5"/>
  </si>
  <si>
    <t>平成25年</t>
  </si>
  <si>
    <t>平成24年</t>
  </si>
  <si>
    <t>平成23年</t>
  </si>
  <si>
    <t>（イ）肥料名</t>
  </si>
  <si>
    <t>施用量</t>
    <rPh sb="0" eb="2">
      <t>セヨウ</t>
    </rPh>
    <rPh sb="2" eb="3">
      <t>リョウ</t>
    </rPh>
    <phoneticPr fontId="5"/>
  </si>
  <si>
    <t>成分比率（％）</t>
    <rPh sb="0" eb="2">
      <t>セイブン</t>
    </rPh>
    <rPh sb="2" eb="4">
      <t>ヒリツ</t>
    </rPh>
    <phoneticPr fontId="5"/>
  </si>
  <si>
    <t>成分施用量（ｋｇ）</t>
    <rPh sb="0" eb="2">
      <t>セイブン</t>
    </rPh>
    <rPh sb="2" eb="4">
      <t>セヨウ</t>
    </rPh>
    <rPh sb="4" eb="5">
      <t>リョウ</t>
    </rPh>
    <phoneticPr fontId="5"/>
  </si>
  <si>
    <t>規格(kg)</t>
    <rPh sb="0" eb="2">
      <t>キカク</t>
    </rPh>
    <phoneticPr fontId="5"/>
  </si>
  <si>
    <t>単　価</t>
    <phoneticPr fontId="5"/>
  </si>
  <si>
    <t>予約価格</t>
    <rPh sb="0" eb="2">
      <t>ヨヤク</t>
    </rPh>
    <rPh sb="2" eb="4">
      <t>カカク</t>
    </rPh>
    <phoneticPr fontId="5"/>
  </si>
  <si>
    <t>N</t>
    <phoneticPr fontId="5"/>
  </si>
  <si>
    <t>P</t>
    <phoneticPr fontId="5"/>
  </si>
  <si>
    <t>K</t>
    <phoneticPr fontId="5"/>
  </si>
  <si>
    <t>樹皮堆肥</t>
  </si>
  <si>
    <t>(kg)</t>
    <phoneticPr fontId="5"/>
  </si>
  <si>
    <t>硝酸入り化成肥料S604</t>
    <rPh sb="0" eb="2">
      <t>ショウサン</t>
    </rPh>
    <rPh sb="2" eb="3">
      <t>イ</t>
    </rPh>
    <rPh sb="4" eb="6">
      <t>カセイ</t>
    </rPh>
    <rPh sb="6" eb="8">
      <t>ヒリョウ</t>
    </rPh>
    <phoneticPr fontId="5"/>
  </si>
  <si>
    <t>(kg)</t>
  </si>
  <si>
    <t>ぶどう複合</t>
    <rPh sb="3" eb="5">
      <t>フクゴウ</t>
    </rPh>
    <phoneticPr fontId="5"/>
  </si>
  <si>
    <t>苦土セルカ2号（粉）</t>
    <rPh sb="0" eb="2">
      <t>クド</t>
    </rPh>
    <rPh sb="6" eb="7">
      <t>ゴウ</t>
    </rPh>
    <rPh sb="8" eb="9">
      <t>コナ</t>
    </rPh>
    <phoneticPr fontId="5"/>
  </si>
  <si>
    <t>FTE199</t>
    <phoneticPr fontId="5"/>
  </si>
  <si>
    <t>シンボル</t>
    <phoneticPr fontId="5"/>
  </si>
  <si>
    <t>粒状チャンスＳ</t>
    <rPh sb="0" eb="2">
      <t>リュウジョウ</t>
    </rPh>
    <phoneticPr fontId="5"/>
  </si>
  <si>
    <t>メリット青</t>
    <rPh sb="4" eb="5">
      <t>アオ</t>
    </rPh>
    <phoneticPr fontId="5"/>
  </si>
  <si>
    <t>希釈倍率</t>
    <rPh sb="0" eb="2">
      <t>キシャク</t>
    </rPh>
    <rPh sb="2" eb="4">
      <t>バイリツ</t>
    </rPh>
    <phoneticPr fontId="17"/>
  </si>
  <si>
    <t>散布量</t>
    <rPh sb="0" eb="3">
      <t>サンプリョウ</t>
    </rPh>
    <phoneticPr fontId="17"/>
  </si>
  <si>
    <t>規格</t>
    <rPh sb="0" eb="2">
      <t>キカク</t>
    </rPh>
    <phoneticPr fontId="17"/>
  </si>
  <si>
    <t>価格</t>
    <rPh sb="0" eb="2">
      <t>カカク</t>
    </rPh>
    <phoneticPr fontId="17"/>
  </si>
  <si>
    <t>殺
菌
剤</t>
    <rPh sb="2" eb="3">
      <t>キン</t>
    </rPh>
    <rPh sb="4" eb="5">
      <t>ザイ</t>
    </rPh>
    <phoneticPr fontId="5"/>
  </si>
  <si>
    <t>ベフラン液剤25</t>
    <rPh sb="4" eb="6">
      <t>エキザイ</t>
    </rPh>
    <phoneticPr fontId="5"/>
  </si>
  <si>
    <t>g･cc</t>
  </si>
  <si>
    <t>オーソサイド水和剤80（魚）</t>
    <rPh sb="6" eb="8">
      <t>スイワ</t>
    </rPh>
    <rPh sb="8" eb="9">
      <t>ザイ</t>
    </rPh>
    <rPh sb="12" eb="13">
      <t>サカナ</t>
    </rPh>
    <phoneticPr fontId="5"/>
  </si>
  <si>
    <t>ロブラール500アクア</t>
    <phoneticPr fontId="5"/>
  </si>
  <si>
    <t>ドーシャスフロアブル（魚）</t>
    <rPh sb="11" eb="12">
      <t>サカナ</t>
    </rPh>
    <phoneticPr fontId="5"/>
  </si>
  <si>
    <t>オーシャイン水和剤</t>
    <rPh sb="6" eb="8">
      <t>スイワ</t>
    </rPh>
    <rPh sb="8" eb="9">
      <t>ザイ</t>
    </rPh>
    <phoneticPr fontId="17"/>
  </si>
  <si>
    <t>ストロビードライフロアブル</t>
    <phoneticPr fontId="5"/>
  </si>
  <si>
    <t>スイッチ顆粒水和剤</t>
    <rPh sb="4" eb="6">
      <t>カリュウ</t>
    </rPh>
    <rPh sb="6" eb="8">
      <t>スイワ</t>
    </rPh>
    <rPh sb="8" eb="9">
      <t>ザイ</t>
    </rPh>
    <phoneticPr fontId="5"/>
  </si>
  <si>
    <t>ICボルドー66D</t>
    <phoneticPr fontId="5"/>
  </si>
  <si>
    <t>小　計</t>
    <phoneticPr fontId="5"/>
  </si>
  <si>
    <t>殺
虫
剤</t>
    <rPh sb="0" eb="1">
      <t>サツ</t>
    </rPh>
    <rPh sb="2" eb="3">
      <t>ムシ</t>
    </rPh>
    <rPh sb="4" eb="5">
      <t>ザイ</t>
    </rPh>
    <phoneticPr fontId="5"/>
  </si>
  <si>
    <t>石灰硫黄合剤</t>
    <phoneticPr fontId="5"/>
  </si>
  <si>
    <t>スプラサイド水和剤（蜂）</t>
    <rPh sb="6" eb="8">
      <t>スイワ</t>
    </rPh>
    <rPh sb="8" eb="9">
      <t>ザイ</t>
    </rPh>
    <rPh sb="10" eb="11">
      <t>ハチ</t>
    </rPh>
    <phoneticPr fontId="5"/>
  </si>
  <si>
    <t>モスピラン顆粒水溶剤</t>
    <rPh sb="5" eb="7">
      <t>カリュウ</t>
    </rPh>
    <rPh sb="7" eb="9">
      <t>スイヨウ</t>
    </rPh>
    <rPh sb="9" eb="10">
      <t>ザイ</t>
    </rPh>
    <phoneticPr fontId="5"/>
  </si>
  <si>
    <t>ジェイエース水溶剤（蜂）</t>
    <rPh sb="6" eb="8">
      <t>スイヨウ</t>
    </rPh>
    <rPh sb="8" eb="9">
      <t>ザイ</t>
    </rPh>
    <rPh sb="10" eb="11">
      <t>ハチ</t>
    </rPh>
    <phoneticPr fontId="5"/>
  </si>
  <si>
    <t>アディオンフロアブル</t>
    <phoneticPr fontId="5"/>
  </si>
  <si>
    <t>パダンSG水溶剤</t>
    <rPh sb="5" eb="7">
      <t>スイヨウ</t>
    </rPh>
    <rPh sb="7" eb="8">
      <t>ザイ</t>
    </rPh>
    <phoneticPr fontId="5"/>
  </si>
  <si>
    <t>除</t>
    <rPh sb="0" eb="1">
      <t>ジョソウザイ</t>
    </rPh>
    <phoneticPr fontId="17"/>
  </si>
  <si>
    <t>ラウンドアップマックスロード</t>
    <phoneticPr fontId="5"/>
  </si>
  <si>
    <t>草</t>
    <rPh sb="0" eb="1">
      <t>クサ</t>
    </rPh>
    <phoneticPr fontId="17"/>
  </si>
  <si>
    <t>剤</t>
    <rPh sb="0" eb="1">
      <t>ザイ</t>
    </rPh>
    <phoneticPr fontId="17"/>
  </si>
  <si>
    <t>調</t>
    <rPh sb="0" eb="1">
      <t>チョウ</t>
    </rPh>
    <phoneticPr fontId="17"/>
  </si>
  <si>
    <t>ジベレリン協和粉末</t>
    <rPh sb="5" eb="7">
      <t>キョウワ</t>
    </rPh>
    <rPh sb="7" eb="9">
      <t>フンマツ</t>
    </rPh>
    <phoneticPr fontId="5"/>
  </si>
  <si>
    <t>成</t>
    <rPh sb="0" eb="1">
      <t>セイ</t>
    </rPh>
    <phoneticPr fontId="17"/>
  </si>
  <si>
    <t>フルメット液剤</t>
    <rPh sb="5" eb="7">
      <t>エキザイ</t>
    </rPh>
    <phoneticPr fontId="17"/>
  </si>
  <si>
    <t>剤</t>
  </si>
  <si>
    <t>小　計</t>
    <phoneticPr fontId="5"/>
  </si>
  <si>
    <t>（2）農薬費</t>
    <rPh sb="3" eb="5">
      <t>ノウヤク</t>
    </rPh>
    <rPh sb="5" eb="6">
      <t>ヒ</t>
    </rPh>
    <phoneticPr fontId="5"/>
  </si>
  <si>
    <t>箱</t>
    <rPh sb="0" eb="1">
      <t>ハコ</t>
    </rPh>
    <phoneticPr fontId="5"/>
  </si>
  <si>
    <t>予約価格</t>
    <rPh sb="0" eb="2">
      <t>ヨヤク</t>
    </rPh>
    <rPh sb="2" eb="4">
      <t>カカク</t>
    </rPh>
    <phoneticPr fontId="4"/>
  </si>
  <si>
    <t>規格</t>
    <rPh sb="0" eb="2">
      <t>キカク</t>
    </rPh>
    <phoneticPr fontId="4"/>
  </si>
  <si>
    <t>個</t>
    <rPh sb="0" eb="1">
      <t>コ</t>
    </rPh>
    <phoneticPr fontId="4"/>
  </si>
  <si>
    <t>本</t>
    <rPh sb="0" eb="1">
      <t>ホン</t>
    </rPh>
    <phoneticPr fontId="4"/>
  </si>
  <si>
    <t>枚</t>
    <rPh sb="0" eb="1">
      <t>マイ</t>
    </rPh>
    <phoneticPr fontId="4"/>
  </si>
  <si>
    <t>マイカ線</t>
    <rPh sb="3" eb="4">
      <t>セン</t>
    </rPh>
    <phoneticPr fontId="5"/>
  </si>
  <si>
    <t>ポリフィルム</t>
    <phoneticPr fontId="5"/>
  </si>
  <si>
    <t>クリップ</t>
    <phoneticPr fontId="5"/>
  </si>
  <si>
    <t>誘引テープ</t>
    <rPh sb="0" eb="2">
      <t>ユウイン</t>
    </rPh>
    <phoneticPr fontId="5"/>
  </si>
  <si>
    <t>かけ袋</t>
    <rPh sb="2" eb="3">
      <t>ブクロ</t>
    </rPh>
    <phoneticPr fontId="5"/>
  </si>
  <si>
    <t>巻</t>
    <rPh sb="0" eb="1">
      <t>マキ</t>
    </rPh>
    <phoneticPr fontId="5"/>
  </si>
  <si>
    <t>袋</t>
    <rPh sb="0" eb="1">
      <t>フクロ</t>
    </rPh>
    <phoneticPr fontId="5"/>
  </si>
  <si>
    <t>箱</t>
    <rPh sb="0" eb="1">
      <t>ハコ</t>
    </rPh>
    <phoneticPr fontId="5"/>
  </si>
  <si>
    <t>テープナー</t>
    <phoneticPr fontId="5"/>
  </si>
  <si>
    <t>剪定鋏</t>
    <rPh sb="0" eb="2">
      <t>センテイ</t>
    </rPh>
    <rPh sb="2" eb="3">
      <t>ハサミ</t>
    </rPh>
    <phoneticPr fontId="5"/>
  </si>
  <si>
    <t>剪定鋸</t>
    <rPh sb="0" eb="2">
      <t>センテイ</t>
    </rPh>
    <rPh sb="2" eb="3">
      <t>ノコギリ</t>
    </rPh>
    <phoneticPr fontId="5"/>
  </si>
  <si>
    <t>摘粒鋏</t>
    <rPh sb="0" eb="1">
      <t>テキ</t>
    </rPh>
    <rPh sb="1" eb="2">
      <t>ツブ</t>
    </rPh>
    <rPh sb="2" eb="3">
      <t>ハサミ</t>
    </rPh>
    <phoneticPr fontId="5"/>
  </si>
  <si>
    <t>コンテナ</t>
    <phoneticPr fontId="5"/>
  </si>
  <si>
    <t>秤</t>
    <rPh sb="0" eb="1">
      <t>ハカリ</t>
    </rPh>
    <phoneticPr fontId="5"/>
  </si>
  <si>
    <t>予約価格</t>
    <rPh sb="0" eb="2">
      <t>ヨヤク</t>
    </rPh>
    <rPh sb="2" eb="4">
      <t>カカク</t>
    </rPh>
    <phoneticPr fontId="5"/>
  </si>
  <si>
    <t>10a使用基準</t>
    <rPh sb="3" eb="5">
      <t>シヨウ</t>
    </rPh>
    <rPh sb="5" eb="7">
      <t>キジュン</t>
    </rPh>
    <phoneticPr fontId="5"/>
  </si>
  <si>
    <t>最大10kg</t>
    <rPh sb="0" eb="2">
      <t>サイダイ</t>
    </rPh>
    <phoneticPr fontId="5"/>
  </si>
  <si>
    <t>最大2kg</t>
    <rPh sb="0" eb="2">
      <t>サイダイ</t>
    </rPh>
    <phoneticPr fontId="5"/>
  </si>
  <si>
    <t>デジタルスケール</t>
    <phoneticPr fontId="5"/>
  </si>
  <si>
    <t>台</t>
    <rPh sb="0" eb="1">
      <t>ダイ</t>
    </rPh>
    <phoneticPr fontId="5"/>
  </si>
  <si>
    <t>軽トラック</t>
    <rPh sb="0" eb="1">
      <t>ケイ</t>
    </rPh>
    <phoneticPr fontId="5"/>
  </si>
  <si>
    <r>
      <t>6</t>
    </r>
    <r>
      <rPr>
        <sz val="11"/>
        <rFont val="ＭＳ Ｐゴシック"/>
        <family val="3"/>
        <charset val="128"/>
      </rPr>
      <t>60cc,4wd</t>
    </r>
    <phoneticPr fontId="5"/>
  </si>
  <si>
    <t>ぶどう棚</t>
    <rPh sb="3" eb="4">
      <t>タナ</t>
    </rPh>
    <phoneticPr fontId="5"/>
  </si>
  <si>
    <t>鉄柱鉄線平棚</t>
    <rPh sb="0" eb="2">
      <t>テッチュウ</t>
    </rPh>
    <rPh sb="2" eb="4">
      <t>テッセン</t>
    </rPh>
    <rPh sb="4" eb="5">
      <t>ヒラ</t>
    </rPh>
    <rPh sb="5" eb="6">
      <t>タナ</t>
    </rPh>
    <phoneticPr fontId="5"/>
  </si>
  <si>
    <r>
      <t>h</t>
    </r>
    <r>
      <rPr>
        <sz val="11"/>
        <rFont val="ＭＳ Ｐゴシック"/>
        <family val="3"/>
        <charset val="128"/>
      </rPr>
      <t>a</t>
    </r>
    <phoneticPr fontId="5"/>
  </si>
  <si>
    <t>トンネルメッシュ</t>
    <phoneticPr fontId="5"/>
  </si>
  <si>
    <t>潅水施設</t>
    <rPh sb="0" eb="2">
      <t>カンスイ</t>
    </rPh>
    <rPh sb="2" eb="4">
      <t>シセツ</t>
    </rPh>
    <phoneticPr fontId="5"/>
  </si>
  <si>
    <t>ha</t>
  </si>
  <si>
    <t>整枝・剪定</t>
    <rPh sb="0" eb="2">
      <t>セイシ</t>
    </rPh>
    <rPh sb="3" eb="5">
      <t>センテイ</t>
    </rPh>
    <phoneticPr fontId="4"/>
  </si>
  <si>
    <t>芽かき・新枝管理</t>
    <rPh sb="0" eb="1">
      <t>メ</t>
    </rPh>
    <rPh sb="4" eb="5">
      <t>アタラ</t>
    </rPh>
    <rPh sb="5" eb="6">
      <t>エダ</t>
    </rPh>
    <rPh sb="6" eb="8">
      <t>カンリ</t>
    </rPh>
    <phoneticPr fontId="4"/>
  </si>
  <si>
    <t>施肥</t>
    <rPh sb="0" eb="2">
      <t>セヒ</t>
    </rPh>
    <phoneticPr fontId="4"/>
  </si>
  <si>
    <t>防除</t>
    <rPh sb="0" eb="2">
      <t>ボウジョ</t>
    </rPh>
    <phoneticPr fontId="4"/>
  </si>
  <si>
    <t>着果管理</t>
    <rPh sb="0" eb="2">
      <t>チャッカ</t>
    </rPh>
    <rPh sb="2" eb="4">
      <t>カンリ</t>
    </rPh>
    <phoneticPr fontId="4"/>
  </si>
  <si>
    <t>袋かけ</t>
    <rPh sb="0" eb="1">
      <t>フクロ</t>
    </rPh>
    <phoneticPr fontId="4"/>
  </si>
  <si>
    <t>除草</t>
    <rPh sb="0" eb="2">
      <t>ジョソウ</t>
    </rPh>
    <phoneticPr fontId="4"/>
  </si>
  <si>
    <t>潅水・敷き藁</t>
    <rPh sb="0" eb="2">
      <t>カンスイ</t>
    </rPh>
    <rPh sb="3" eb="4">
      <t>シ</t>
    </rPh>
    <rPh sb="5" eb="6">
      <t>ワラ</t>
    </rPh>
    <phoneticPr fontId="4"/>
  </si>
  <si>
    <t>収穫・出荷</t>
    <rPh sb="0" eb="2">
      <t>シュウカク</t>
    </rPh>
    <rPh sb="3" eb="5">
      <t>シュッカ</t>
    </rPh>
    <phoneticPr fontId="4"/>
  </si>
  <si>
    <t>土壌管理</t>
    <rPh sb="0" eb="2">
      <t>ドジョウ</t>
    </rPh>
    <rPh sb="2" eb="4">
      <t>カンリ</t>
    </rPh>
    <phoneticPr fontId="4"/>
  </si>
  <si>
    <t>被覆・除去</t>
    <rPh sb="0" eb="2">
      <t>ヒフク</t>
    </rPh>
    <rPh sb="3" eb="5">
      <t>ジョキョ</t>
    </rPh>
    <phoneticPr fontId="4"/>
  </si>
  <si>
    <t>園内管理</t>
    <rPh sb="0" eb="2">
      <t>エンナイ</t>
    </rPh>
    <rPh sb="2" eb="4">
      <t>カンリ</t>
    </rPh>
    <phoneticPr fontId="4"/>
  </si>
  <si>
    <t>ピオーネ</t>
    <phoneticPr fontId="5"/>
  </si>
  <si>
    <t>芽かき枝管理</t>
    <rPh sb="0" eb="1">
      <t>メ</t>
    </rPh>
    <rPh sb="3" eb="4">
      <t>エダ</t>
    </rPh>
    <rPh sb="4" eb="6">
      <t>カンリ</t>
    </rPh>
    <phoneticPr fontId="5"/>
  </si>
  <si>
    <t>剪定誘引</t>
    <rPh sb="0" eb="2">
      <t>センテイ</t>
    </rPh>
    <rPh sb="2" eb="4">
      <t>ユウイン</t>
    </rPh>
    <phoneticPr fontId="5"/>
  </si>
  <si>
    <t>施肥</t>
    <rPh sb="0" eb="2">
      <t>セヒ</t>
    </rPh>
    <phoneticPr fontId="5"/>
  </si>
  <si>
    <t>防除</t>
    <rPh sb="0" eb="2">
      <t>ボウジョ</t>
    </rPh>
    <phoneticPr fontId="5"/>
  </si>
  <si>
    <t>着果管理</t>
    <rPh sb="0" eb="2">
      <t>チャッカ</t>
    </rPh>
    <rPh sb="2" eb="4">
      <t>カンリ</t>
    </rPh>
    <phoneticPr fontId="5"/>
  </si>
  <si>
    <t>袋かけ</t>
    <rPh sb="0" eb="1">
      <t>フクロ</t>
    </rPh>
    <phoneticPr fontId="5"/>
  </si>
  <si>
    <t>除草</t>
    <rPh sb="0" eb="2">
      <t>ジョソウ</t>
    </rPh>
    <phoneticPr fontId="5"/>
  </si>
  <si>
    <t>潅水</t>
    <rPh sb="0" eb="2">
      <t>カンスイ</t>
    </rPh>
    <phoneticPr fontId="5"/>
  </si>
  <si>
    <t>収穫荷造り</t>
    <rPh sb="0" eb="2">
      <t>シュウカク</t>
    </rPh>
    <rPh sb="2" eb="4">
      <t>ニヅク</t>
    </rPh>
    <phoneticPr fontId="5"/>
  </si>
  <si>
    <t>土壌管理</t>
    <rPh sb="0" eb="2">
      <t>ドジョウ</t>
    </rPh>
    <rPh sb="2" eb="4">
      <t>カンリ</t>
    </rPh>
    <phoneticPr fontId="5"/>
  </si>
  <si>
    <t>被覆管理</t>
    <rPh sb="0" eb="2">
      <t>ヒフク</t>
    </rPh>
    <rPh sb="2" eb="4">
      <t>カンリ</t>
    </rPh>
    <phoneticPr fontId="5"/>
  </si>
  <si>
    <t>（本）</t>
    <rPh sb="1" eb="2">
      <t>ホン</t>
    </rPh>
    <phoneticPr fontId="5"/>
  </si>
  <si>
    <t>1種類</t>
    <phoneticPr fontId="5"/>
  </si>
  <si>
    <t>4種類</t>
    <phoneticPr fontId="5"/>
  </si>
  <si>
    <t>2種類</t>
    <phoneticPr fontId="5"/>
  </si>
  <si>
    <t>1種類</t>
    <phoneticPr fontId="5"/>
  </si>
  <si>
    <t>3種類</t>
    <phoneticPr fontId="5"/>
  </si>
  <si>
    <t>8種類</t>
    <phoneticPr fontId="5"/>
  </si>
  <si>
    <t>6種類</t>
    <phoneticPr fontId="5"/>
  </si>
  <si>
    <t>丁</t>
    <rPh sb="0" eb="1">
      <t>チョウ</t>
    </rPh>
    <phoneticPr fontId="5"/>
  </si>
  <si>
    <t>個</t>
    <rPh sb="0" eb="1">
      <t>コ</t>
    </rPh>
    <phoneticPr fontId="5"/>
  </si>
  <si>
    <t>鉄骨・ルーフデッキ</t>
    <rPh sb="0" eb="2">
      <t>テッコツ</t>
    </rPh>
    <phoneticPr fontId="5"/>
  </si>
  <si>
    <t>ha</t>
    <phoneticPr fontId="5"/>
  </si>
  <si>
    <t>400ℓタンク</t>
    <phoneticPr fontId="5"/>
  </si>
  <si>
    <t>個</t>
    <rPh sb="0" eb="1">
      <t>コ</t>
    </rPh>
    <phoneticPr fontId="5"/>
  </si>
  <si>
    <t>ガソリン携行缶</t>
    <rPh sb="4" eb="6">
      <t>ケイコウ</t>
    </rPh>
    <rPh sb="6" eb="7">
      <t>カン</t>
    </rPh>
    <phoneticPr fontId="5"/>
  </si>
  <si>
    <t>工具セット</t>
    <rPh sb="0" eb="2">
      <t>コウグ</t>
    </rPh>
    <phoneticPr fontId="5"/>
  </si>
  <si>
    <t>草刈機</t>
    <rPh sb="0" eb="2">
      <t>クサカリ</t>
    </rPh>
    <rPh sb="2" eb="3">
      <t>キ</t>
    </rPh>
    <phoneticPr fontId="5"/>
  </si>
  <si>
    <t>台</t>
    <rPh sb="0" eb="1">
      <t>ダイ</t>
    </rPh>
    <phoneticPr fontId="5"/>
  </si>
  <si>
    <t>ホース30m</t>
    <phoneticPr fontId="5"/>
  </si>
  <si>
    <t>ノズル</t>
    <phoneticPr fontId="5"/>
  </si>
  <si>
    <t>本</t>
    <rPh sb="0" eb="1">
      <t>ホン</t>
    </rPh>
    <phoneticPr fontId="5"/>
  </si>
  <si>
    <t>高圧洗浄機</t>
    <rPh sb="0" eb="2">
      <t>コウアツ</t>
    </rPh>
    <rPh sb="2" eb="4">
      <t>センジョウ</t>
    </rPh>
    <rPh sb="4" eb="5">
      <t>キ</t>
    </rPh>
    <phoneticPr fontId="5"/>
  </si>
  <si>
    <t>3.5ps，移動車輪付</t>
    <rPh sb="6" eb="8">
      <t>イドウ</t>
    </rPh>
    <rPh sb="8" eb="10">
      <t>シャリン</t>
    </rPh>
    <rPh sb="10" eb="11">
      <t>ツ</t>
    </rPh>
    <phoneticPr fontId="5"/>
  </si>
  <si>
    <t>中耕機</t>
    <rPh sb="0" eb="1">
      <t>チュウ</t>
    </rPh>
    <rPh sb="1" eb="2">
      <t>タガヤ</t>
    </rPh>
    <rPh sb="2" eb="3">
      <t>キ</t>
    </rPh>
    <phoneticPr fontId="5"/>
  </si>
  <si>
    <r>
      <t>14</t>
    </r>
    <r>
      <rPr>
        <sz val="11"/>
        <rFont val="ＭＳ Ｐゴシック"/>
        <family val="3"/>
        <charset val="128"/>
      </rPr>
      <t>ps，90ｃｍ</t>
    </r>
    <phoneticPr fontId="5"/>
  </si>
  <si>
    <t>トレンチャー</t>
    <phoneticPr fontId="5"/>
  </si>
  <si>
    <t>7ps，31cm×0.7m</t>
    <phoneticPr fontId="5"/>
  </si>
  <si>
    <t>1年間育成</t>
    <rPh sb="1" eb="2">
      <t>ネン</t>
    </rPh>
    <rPh sb="2" eb="3">
      <t>アイダ</t>
    </rPh>
    <rPh sb="3" eb="5">
      <t>イクセイ</t>
    </rPh>
    <phoneticPr fontId="5"/>
  </si>
  <si>
    <t>ピオーネ育成費　（10a）</t>
    <rPh sb="4" eb="6">
      <t>イクセイ</t>
    </rPh>
    <rPh sb="6" eb="7">
      <t>ヒ</t>
    </rPh>
    <phoneticPr fontId="5"/>
  </si>
  <si>
    <t>種苗費　</t>
    <rPh sb="0" eb="2">
      <t>シュビョウ</t>
    </rPh>
    <rPh sb="2" eb="3">
      <t>ヒ</t>
    </rPh>
    <phoneticPr fontId="5"/>
  </si>
  <si>
    <t>肥料費</t>
    <rPh sb="0" eb="2">
      <t>ヒリョウ</t>
    </rPh>
    <rPh sb="2" eb="3">
      <t>ヒ</t>
    </rPh>
    <phoneticPr fontId="5"/>
  </si>
  <si>
    <t>定植時：堆肥，粒状用リン，苦土セルカ2号　\78765　育成：Ｓ６０４，ぶどう複合　\4744</t>
    <rPh sb="0" eb="2">
      <t>テイショク</t>
    </rPh>
    <rPh sb="2" eb="3">
      <t>ジ</t>
    </rPh>
    <rPh sb="4" eb="6">
      <t>タイヒ</t>
    </rPh>
    <rPh sb="7" eb="9">
      <t>リュウジョウ</t>
    </rPh>
    <rPh sb="9" eb="10">
      <t>ヨウ</t>
    </rPh>
    <rPh sb="13" eb="15">
      <t>クド</t>
    </rPh>
    <rPh sb="19" eb="20">
      <t>ゴウ</t>
    </rPh>
    <rPh sb="28" eb="30">
      <t>イクセイ</t>
    </rPh>
    <rPh sb="39" eb="41">
      <t>フクゴウ</t>
    </rPh>
    <phoneticPr fontId="5"/>
  </si>
  <si>
    <t>殺菌剤：ペンコゼブフロアブル，ドーシャスフロアブル，ＩＣボルドー66Ｄ　殺虫剤：石灰硫黄劫財，スミチオン水溶剤40，モスピラン水溶剤，アディオンフロアブル</t>
    <rPh sb="0" eb="3">
      <t>サッキンザイ</t>
    </rPh>
    <rPh sb="36" eb="39">
      <t>サッチュウザイ</t>
    </rPh>
    <rPh sb="40" eb="42">
      <t>セッカイ</t>
    </rPh>
    <rPh sb="42" eb="44">
      <t>イオウ</t>
    </rPh>
    <rPh sb="44" eb="46">
      <t>ゴウザイ</t>
    </rPh>
    <rPh sb="52" eb="54">
      <t>スイヨウ</t>
    </rPh>
    <rPh sb="54" eb="55">
      <t>ザイ</t>
    </rPh>
    <rPh sb="63" eb="65">
      <t>スイヨウ</t>
    </rPh>
    <rPh sb="65" eb="66">
      <t>ザイ</t>
    </rPh>
    <phoneticPr fontId="5"/>
  </si>
  <si>
    <t>ぶどう1ha</t>
  </si>
  <si>
    <t>ha</t>
    <phoneticPr fontId="5"/>
  </si>
  <si>
    <t>ぶどう1ha</t>
    <phoneticPr fontId="5"/>
  </si>
  <si>
    <t>防鳥ネット</t>
    <rPh sb="0" eb="2">
      <t>ボウチョウ</t>
    </rPh>
    <phoneticPr fontId="5"/>
  </si>
  <si>
    <t>36m×72m</t>
    <phoneticPr fontId="5"/>
  </si>
  <si>
    <t>巻</t>
    <rPh sb="0" eb="1">
      <t>マキ</t>
    </rPh>
    <phoneticPr fontId="5"/>
  </si>
  <si>
    <t>土壌改良（トレンチャー）</t>
    <rPh sb="0" eb="2">
      <t>ドジョウ</t>
    </rPh>
    <rPh sb="2" eb="4">
      <t>カイリョウ</t>
    </rPh>
    <phoneticPr fontId="5"/>
  </si>
  <si>
    <t>土壌改良（中耕機）</t>
    <rPh sb="0" eb="2">
      <t>ドジョウ</t>
    </rPh>
    <rPh sb="2" eb="4">
      <t>カイリョウ</t>
    </rPh>
    <rPh sb="5" eb="7">
      <t>チュウコウ</t>
    </rPh>
    <rPh sb="7" eb="8">
      <t>キ</t>
    </rPh>
    <phoneticPr fontId="5"/>
  </si>
  <si>
    <t>収穫・運搬（軽トラ）</t>
    <rPh sb="0" eb="2">
      <t>シュウカク</t>
    </rPh>
    <rPh sb="3" eb="5">
      <t>ウンパン</t>
    </rPh>
    <rPh sb="6" eb="7">
      <t>ケイ</t>
    </rPh>
    <phoneticPr fontId="5"/>
  </si>
  <si>
    <t>施肥（軽トラ）</t>
    <rPh sb="0" eb="2">
      <t>セヒ</t>
    </rPh>
    <rPh sb="3" eb="4">
      <t>ケイ</t>
    </rPh>
    <phoneticPr fontId="5"/>
  </si>
  <si>
    <t>除草剤散布（動噴）</t>
    <rPh sb="0" eb="3">
      <t>ジョソウザイ</t>
    </rPh>
    <rPh sb="3" eb="5">
      <t>サンプ</t>
    </rPh>
    <rPh sb="6" eb="8">
      <t>ドウフン</t>
    </rPh>
    <phoneticPr fontId="5"/>
  </si>
  <si>
    <t>防除（ＳＳ）</t>
    <rPh sb="0" eb="2">
      <t>ボウジョ</t>
    </rPh>
    <phoneticPr fontId="5"/>
  </si>
  <si>
    <t>草刈（草刈機）</t>
    <rPh sb="0" eb="2">
      <t>クサカリ</t>
    </rPh>
    <rPh sb="3" eb="5">
      <t>クサカ</t>
    </rPh>
    <rPh sb="5" eb="6">
      <t>キ</t>
    </rPh>
    <phoneticPr fontId="5"/>
  </si>
  <si>
    <t>※ラウンドアップマックスロードは2回散布</t>
    <rPh sb="17" eb="18">
      <t>カイ</t>
    </rPh>
    <rPh sb="18" eb="20">
      <t>サンプ</t>
    </rPh>
    <phoneticPr fontId="5"/>
  </si>
  <si>
    <t>粗皮剥ぎ（高圧洗浄機）</t>
    <rPh sb="0" eb="1">
      <t>アラ</t>
    </rPh>
    <rPh sb="1" eb="2">
      <t>カワ</t>
    </rPh>
    <rPh sb="2" eb="3">
      <t>ハ</t>
    </rPh>
    <rPh sb="5" eb="7">
      <t>コウアツ</t>
    </rPh>
    <rPh sb="7" eb="9">
      <t>センジョウ</t>
    </rPh>
    <rPh sb="9" eb="10">
      <t>キ</t>
    </rPh>
    <phoneticPr fontId="5"/>
  </si>
  <si>
    <t>果樹共済</t>
    <rPh sb="0" eb="2">
      <t>カジュ</t>
    </rPh>
    <rPh sb="2" eb="4">
      <t>キョウサイ</t>
    </rPh>
    <phoneticPr fontId="5"/>
  </si>
  <si>
    <t>剪定鋏
剪定鋸</t>
    <phoneticPr fontId="5"/>
  </si>
  <si>
    <t>動力噴霧機</t>
    <rPh sb="0" eb="2">
      <t>ドウリョク</t>
    </rPh>
    <rPh sb="2" eb="4">
      <t>フンム</t>
    </rPh>
    <rPh sb="4" eb="5">
      <t>キ</t>
    </rPh>
    <phoneticPr fontId="5"/>
  </si>
  <si>
    <t>樹勢が落ち着かない場合は，間伐しＨ型仕立てとする</t>
    <rPh sb="0" eb="2">
      <t>ジュセイ</t>
    </rPh>
    <rPh sb="3" eb="4">
      <t>オ</t>
    </rPh>
    <rPh sb="5" eb="6">
      <t>ツ</t>
    </rPh>
    <rPh sb="9" eb="11">
      <t>バアイ</t>
    </rPh>
    <rPh sb="13" eb="15">
      <t>カンバツ</t>
    </rPh>
    <rPh sb="17" eb="18">
      <t>ガタ</t>
    </rPh>
    <rPh sb="18" eb="20">
      <t>シタ</t>
    </rPh>
    <phoneticPr fontId="5"/>
  </si>
  <si>
    <t>5月～7月</t>
    <rPh sb="1" eb="2">
      <t>ガツ</t>
    </rPh>
    <rPh sb="4" eb="5">
      <t>ガツ</t>
    </rPh>
    <phoneticPr fontId="5"/>
  </si>
  <si>
    <t>粗皮剥ぎ
薬剤散布</t>
    <rPh sb="0" eb="1">
      <t>アラ</t>
    </rPh>
    <rPh sb="1" eb="2">
      <t>カワ</t>
    </rPh>
    <rPh sb="2" eb="3">
      <t>ハ</t>
    </rPh>
    <rPh sb="5" eb="7">
      <t>ヤクザイ</t>
    </rPh>
    <rPh sb="7" eb="9">
      <t>サンプ</t>
    </rPh>
    <phoneticPr fontId="5"/>
  </si>
  <si>
    <t>2月～8月</t>
    <rPh sb="1" eb="2">
      <t>ガツ</t>
    </rPh>
    <rPh sb="4" eb="5">
      <t>ガツ</t>
    </rPh>
    <phoneticPr fontId="5"/>
  </si>
  <si>
    <t>ＳＳ
高圧洗浄機</t>
    <rPh sb="3" eb="5">
      <t>コウアツ</t>
    </rPh>
    <rPh sb="5" eb="7">
      <t>センジョウ</t>
    </rPh>
    <rPh sb="7" eb="8">
      <t>キ</t>
    </rPh>
    <phoneticPr fontId="5"/>
  </si>
  <si>
    <t>摘粒鋏
ジベレリン
フルメット</t>
    <rPh sb="0" eb="1">
      <t>テキ</t>
    </rPh>
    <rPh sb="1" eb="2">
      <t>リュウ</t>
    </rPh>
    <rPh sb="2" eb="3">
      <t>ハサミ</t>
    </rPh>
    <phoneticPr fontId="5"/>
  </si>
  <si>
    <t xml:space="preserve">メリット青塗布
芽かき
新梢誘引
フラスター液剤散布
</t>
    <rPh sb="4" eb="5">
      <t>アオ</t>
    </rPh>
    <rPh sb="5" eb="7">
      <t>トフ</t>
    </rPh>
    <rPh sb="8" eb="9">
      <t>メ</t>
    </rPh>
    <rPh sb="12" eb="13">
      <t>アタラ</t>
    </rPh>
    <rPh sb="13" eb="14">
      <t>コズエ</t>
    </rPh>
    <rPh sb="14" eb="16">
      <t>ユウイン</t>
    </rPh>
    <rPh sb="22" eb="24">
      <t>エキザイ</t>
    </rPh>
    <rPh sb="24" eb="26">
      <t>サンプ</t>
    </rPh>
    <phoneticPr fontId="5"/>
  </si>
  <si>
    <t>着果量1800kg/10a</t>
    <rPh sb="0" eb="2">
      <t>チャッカ</t>
    </rPh>
    <rPh sb="2" eb="3">
      <t>リョウ</t>
    </rPh>
    <phoneticPr fontId="5"/>
  </si>
  <si>
    <t>7月</t>
    <rPh sb="1" eb="2">
      <t>ガツ</t>
    </rPh>
    <phoneticPr fontId="5"/>
  </si>
  <si>
    <t>除草剤散布
刈払い</t>
    <rPh sb="0" eb="3">
      <t>ジョソウザイ</t>
    </rPh>
    <rPh sb="3" eb="5">
      <t>サンプ</t>
    </rPh>
    <rPh sb="6" eb="7">
      <t>カ</t>
    </rPh>
    <rPh sb="7" eb="8">
      <t>ハラ</t>
    </rPh>
    <phoneticPr fontId="5"/>
  </si>
  <si>
    <t>4月，5月，7月</t>
    <rPh sb="1" eb="2">
      <t>ガツ</t>
    </rPh>
    <rPh sb="4" eb="5">
      <t>ガツ</t>
    </rPh>
    <rPh sb="7" eb="8">
      <t>ガツ</t>
    </rPh>
    <phoneticPr fontId="5"/>
  </si>
  <si>
    <t>動力噴霧機
草刈り機</t>
    <rPh sb="0" eb="2">
      <t>ドウリョク</t>
    </rPh>
    <rPh sb="2" eb="4">
      <t>フンム</t>
    </rPh>
    <rPh sb="4" eb="5">
      <t>キ</t>
    </rPh>
    <rPh sb="6" eb="8">
      <t>クサカ</t>
    </rPh>
    <rPh sb="9" eb="10">
      <t>キ</t>
    </rPh>
    <phoneticPr fontId="5"/>
  </si>
  <si>
    <t>除草剤</t>
    <rPh sb="0" eb="3">
      <t>ジョソウザイ</t>
    </rPh>
    <phoneticPr fontId="5"/>
  </si>
  <si>
    <t>殺虫剤
殺菌剤</t>
    <rPh sb="0" eb="3">
      <t>サッチュウザイ</t>
    </rPh>
    <rPh sb="4" eb="7">
      <t>サッキンザイ</t>
    </rPh>
    <phoneticPr fontId="5"/>
  </si>
  <si>
    <t>トンネル被覆，除去</t>
    <rPh sb="4" eb="6">
      <t>ヒフク</t>
    </rPh>
    <rPh sb="7" eb="9">
      <t>ジョキョ</t>
    </rPh>
    <phoneticPr fontId="5"/>
  </si>
  <si>
    <t>修理，整備</t>
    <rPh sb="0" eb="2">
      <t>シュウリ</t>
    </rPh>
    <rPh sb="3" eb="5">
      <t>セイビ</t>
    </rPh>
    <phoneticPr fontId="5"/>
  </si>
  <si>
    <t>中耕</t>
    <rPh sb="0" eb="2">
      <t>チュウコウ</t>
    </rPh>
    <phoneticPr fontId="5"/>
  </si>
  <si>
    <t>深耕</t>
    <rPh sb="0" eb="2">
      <t>シンコウ</t>
    </rPh>
    <phoneticPr fontId="5"/>
  </si>
  <si>
    <t>3月，8月</t>
    <rPh sb="1" eb="2">
      <t>ガツ</t>
    </rPh>
    <rPh sb="4" eb="5">
      <t>ガツ</t>
    </rPh>
    <phoneticPr fontId="5"/>
  </si>
  <si>
    <t>9月～10月</t>
    <rPh sb="1" eb="2">
      <t>ガツ</t>
    </rPh>
    <rPh sb="5" eb="6">
      <t>ガツ</t>
    </rPh>
    <phoneticPr fontId="5"/>
  </si>
  <si>
    <t>10月～11月</t>
    <rPh sb="2" eb="3">
      <t>ガツ</t>
    </rPh>
    <rPh sb="6" eb="7">
      <t>ガツ</t>
    </rPh>
    <phoneticPr fontId="5"/>
  </si>
  <si>
    <t>トレンチャー
軽トラック</t>
    <rPh sb="7" eb="8">
      <t>ケイ</t>
    </rPh>
    <phoneticPr fontId="5"/>
  </si>
  <si>
    <t>軽トラック</t>
    <rPh sb="0" eb="1">
      <t>ケイ</t>
    </rPh>
    <phoneticPr fontId="5"/>
  </si>
  <si>
    <t xml:space="preserve">メリット青
テープナー
誘引テープ
フラスター液剤
</t>
    <rPh sb="4" eb="5">
      <t>アオ</t>
    </rPh>
    <rPh sb="12" eb="14">
      <t>ユウイン</t>
    </rPh>
    <rPh sb="23" eb="25">
      <t>エキザイ</t>
    </rPh>
    <phoneticPr fontId="5"/>
  </si>
  <si>
    <t>マイカ線
ポリフィルム
クリップ</t>
    <rPh sb="3" eb="4">
      <t>セン</t>
    </rPh>
    <phoneticPr fontId="5"/>
  </si>
  <si>
    <t>かけ袋</t>
    <rPh sb="2" eb="3">
      <t>フクロ</t>
    </rPh>
    <phoneticPr fontId="5"/>
  </si>
  <si>
    <t xml:space="preserve">コンテナ
秤
デジタルスケール
摘粒鋏
</t>
    <rPh sb="5" eb="6">
      <t>ハカリ</t>
    </rPh>
    <rPh sb="16" eb="17">
      <t>テキ</t>
    </rPh>
    <rPh sb="17" eb="18">
      <t>ツブ</t>
    </rPh>
    <rPh sb="18" eb="19">
      <t>ハサミ</t>
    </rPh>
    <phoneticPr fontId="5"/>
  </si>
  <si>
    <t>中耕機</t>
    <rPh sb="0" eb="2">
      <t>チュウコウ</t>
    </rPh>
    <rPh sb="2" eb="3">
      <t>キ</t>
    </rPh>
    <phoneticPr fontId="5"/>
  </si>
  <si>
    <t>○：播種　△：仮植　×：定植　∩：トンネル被覆</t>
    <rPh sb="21" eb="23">
      <t>ヒフク</t>
    </rPh>
    <phoneticPr fontId="5"/>
  </si>
  <si>
    <t>農業参入企業</t>
    <rPh sb="0" eb="2">
      <t>ノウギョウ</t>
    </rPh>
    <rPh sb="2" eb="4">
      <t>サンニュウ</t>
    </rPh>
    <rPh sb="4" eb="6">
      <t>キギョウ</t>
    </rPh>
    <phoneticPr fontId="4"/>
  </si>
  <si>
    <t>加温ハウス
トンネル被覆</t>
    <rPh sb="0" eb="2">
      <t>カオン</t>
    </rPh>
    <rPh sb="10" eb="12">
      <t>ヒフク</t>
    </rPh>
    <phoneticPr fontId="4"/>
  </si>
  <si>
    <t>ピオーネ（トンネル被覆）</t>
    <rPh sb="9" eb="11">
      <t>ヒフク</t>
    </rPh>
    <phoneticPr fontId="5"/>
  </si>
  <si>
    <t>シャインマスカット（加温ハウス）</t>
    <rPh sb="10" eb="12">
      <t>カオン</t>
    </rPh>
    <phoneticPr fontId="4"/>
  </si>
  <si>
    <t>シャインマスカット（トンネル被覆）</t>
    <rPh sb="14" eb="16">
      <t>ヒフク</t>
    </rPh>
    <phoneticPr fontId="4"/>
  </si>
  <si>
    <t>トンネル被覆</t>
    <rPh sb="4" eb="6">
      <t>ヒフク</t>
    </rPh>
    <phoneticPr fontId="5"/>
  </si>
  <si>
    <t>※ＩＣボルドーは3回散布</t>
    <rPh sb="9" eb="10">
      <t>カイ</t>
    </rPh>
    <rPh sb="10" eb="12">
      <t>サンプ</t>
    </rPh>
    <phoneticPr fontId="5"/>
  </si>
  <si>
    <t>ピオーネトンネル被覆</t>
    <rPh sb="8" eb="10">
      <t>ヒフク</t>
    </rPh>
    <phoneticPr fontId="5"/>
  </si>
  <si>
    <t>ピオーネ加温ハウス</t>
    <rPh sb="4" eb="6">
      <t>カオン</t>
    </rPh>
    <phoneticPr fontId="5"/>
  </si>
  <si>
    <t>シャイン加温ハウス</t>
    <rPh sb="4" eb="6">
      <t>カオン</t>
    </rPh>
    <phoneticPr fontId="5"/>
  </si>
  <si>
    <t>シャイントンネル被覆</t>
    <rPh sb="8" eb="10">
      <t>ヒフク</t>
    </rPh>
    <phoneticPr fontId="5"/>
  </si>
  <si>
    <t>サニールージュ</t>
    <phoneticPr fontId="5"/>
  </si>
  <si>
    <t>７－5　経営収支（サニールージュ部門，1ha当たり）</t>
    <rPh sb="16" eb="18">
      <t>ブモン</t>
    </rPh>
    <rPh sb="22" eb="23">
      <t>ア</t>
    </rPh>
    <phoneticPr fontId="5"/>
  </si>
  <si>
    <t>サニールージュ</t>
    <phoneticPr fontId="5"/>
  </si>
  <si>
    <t>加温ハウス</t>
    <rPh sb="0" eb="2">
      <t>カオン</t>
    </rPh>
    <phoneticPr fontId="5"/>
  </si>
  <si>
    <t>シャインマスカット</t>
    <phoneticPr fontId="5"/>
  </si>
  <si>
    <t>シャインマスカット</t>
    <phoneticPr fontId="5"/>
  </si>
  <si>
    <t>３－５　標準技術（サニールージュ）</t>
    <rPh sb="4" eb="6">
      <t>ヒョウジュン</t>
    </rPh>
    <rPh sb="6" eb="8">
      <t>ギジュツ</t>
    </rPh>
    <phoneticPr fontId="5"/>
  </si>
  <si>
    <t>７－１　経営収支（ピオーネ加温ハウス部門，1ha当たり）</t>
    <rPh sb="13" eb="15">
      <t>カオン</t>
    </rPh>
    <rPh sb="18" eb="20">
      <t>ブモン</t>
    </rPh>
    <rPh sb="24" eb="25">
      <t>ア</t>
    </rPh>
    <phoneticPr fontId="5"/>
  </si>
  <si>
    <t>５－１　作業別・旬別作業時間（ピオーネ加温ハウス，1ha当たり）</t>
    <rPh sb="19" eb="21">
      <t>カオン</t>
    </rPh>
    <phoneticPr fontId="5"/>
  </si>
  <si>
    <t>ピオーネ</t>
    <phoneticPr fontId="5"/>
  </si>
  <si>
    <t>ピオーネ</t>
    <phoneticPr fontId="5"/>
  </si>
  <si>
    <t>シャインマスカット</t>
    <phoneticPr fontId="5"/>
  </si>
  <si>
    <t>５－５　作業別・旬別作業時間（サニールージュ，1ha当たり）</t>
    <phoneticPr fontId="5"/>
  </si>
  <si>
    <t>サニールージュ</t>
    <phoneticPr fontId="5"/>
  </si>
  <si>
    <t>８－５　経費の算出基礎（サニールージュ，1ha当たり）</t>
    <rPh sb="4" eb="6">
      <t>ケイヒ</t>
    </rPh>
    <rPh sb="7" eb="9">
      <t>サンシュツ</t>
    </rPh>
    <rPh sb="9" eb="11">
      <t>キソ</t>
    </rPh>
    <rPh sb="23" eb="24">
      <t>ア</t>
    </rPh>
    <phoneticPr fontId="5"/>
  </si>
  <si>
    <t>硝酸入り化成肥料S604</t>
  </si>
  <si>
    <t>ぶどう複合</t>
  </si>
  <si>
    <t>メリット青</t>
  </si>
  <si>
    <t>ベフラン液剤25</t>
  </si>
  <si>
    <t>オーソサイド水和剤80（魚）</t>
  </si>
  <si>
    <t>ロブラール500アクア</t>
  </si>
  <si>
    <t>ドーシャスフロアブル（魚）</t>
  </si>
  <si>
    <t>オーシャイン水和剤</t>
  </si>
  <si>
    <t>ストロビードライフロアブル</t>
  </si>
  <si>
    <t>スイッチ顆粒水和剤</t>
  </si>
  <si>
    <t>ICボルドー66D</t>
  </si>
  <si>
    <t>ポリフィルム</t>
  </si>
  <si>
    <t>クリップ</t>
  </si>
  <si>
    <t>ラウンドアップマックスロード</t>
  </si>
  <si>
    <t>ジベレリン協和粉末</t>
  </si>
  <si>
    <t>フルメット液剤</t>
  </si>
  <si>
    <t>フラスター液剤</t>
  </si>
  <si>
    <t>36m×72m</t>
  </si>
  <si>
    <t>テープナー</t>
  </si>
  <si>
    <t>コンテナ</t>
  </si>
  <si>
    <t>デジタルスケール</t>
  </si>
  <si>
    <t>400ℓタンク</t>
  </si>
  <si>
    <t>ホース30m</t>
  </si>
  <si>
    <t>ノズル</t>
  </si>
  <si>
    <t>1種類</t>
  </si>
  <si>
    <t>1種類</t>
    <phoneticPr fontId="5"/>
  </si>
  <si>
    <t>4種類</t>
  </si>
  <si>
    <t>4種類</t>
    <phoneticPr fontId="5"/>
  </si>
  <si>
    <t>2種類</t>
  </si>
  <si>
    <t>2種類</t>
    <phoneticPr fontId="5"/>
  </si>
  <si>
    <t>8種類</t>
  </si>
  <si>
    <t>8種類</t>
    <phoneticPr fontId="5"/>
  </si>
  <si>
    <t>6種類</t>
  </si>
  <si>
    <t>6種類</t>
    <phoneticPr fontId="5"/>
  </si>
  <si>
    <t>3種類</t>
    <phoneticPr fontId="5"/>
  </si>
  <si>
    <t>※８－５　サニールージュ算出基礎シート参照</t>
    <rPh sb="12" eb="14">
      <t>サンシュツ</t>
    </rPh>
    <rPh sb="14" eb="16">
      <t>キソ</t>
    </rPh>
    <rPh sb="19" eb="21">
      <t>サンショウ</t>
    </rPh>
    <phoneticPr fontId="5"/>
  </si>
  <si>
    <t>右表（イ）　※８－５　サニールージュ算出基礎シート参照</t>
    <phoneticPr fontId="5"/>
  </si>
  <si>
    <t>右表（ウ）　※８－５　サニールージュ算出基礎シート参照</t>
    <phoneticPr fontId="5"/>
  </si>
  <si>
    <t>右表（エ）　※８－５　サニールージュ算出基礎シート参照</t>
    <phoneticPr fontId="5"/>
  </si>
  <si>
    <t>サニールージュ</t>
    <phoneticPr fontId="5"/>
  </si>
  <si>
    <t>3作業</t>
  </si>
  <si>
    <t>3作業</t>
    <rPh sb="1" eb="3">
      <t>サギョウ</t>
    </rPh>
    <phoneticPr fontId="5"/>
  </si>
  <si>
    <t>4作業</t>
  </si>
  <si>
    <t>4作業</t>
    <rPh sb="1" eb="3">
      <t>サギョウ</t>
    </rPh>
    <phoneticPr fontId="5"/>
  </si>
  <si>
    <t>1作業</t>
  </si>
  <si>
    <t>1作業</t>
    <rPh sb="1" eb="3">
      <t>サギョウ</t>
    </rPh>
    <phoneticPr fontId="5"/>
  </si>
  <si>
    <t>ピオーネ</t>
    <phoneticPr fontId="5"/>
  </si>
  <si>
    <t>シャインマスカット</t>
    <phoneticPr fontId="5"/>
  </si>
  <si>
    <t>シャインマスカット育成費　（10a）</t>
    <rPh sb="9" eb="11">
      <t>イクセイ</t>
    </rPh>
    <rPh sb="11" eb="12">
      <t>ヒ</t>
    </rPh>
    <phoneticPr fontId="5"/>
  </si>
  <si>
    <t>サニールージュ育成費　（10a）</t>
    <rPh sb="7" eb="9">
      <t>イクセイ</t>
    </rPh>
    <rPh sb="9" eb="10">
      <t>ヒ</t>
    </rPh>
    <phoneticPr fontId="5"/>
  </si>
  <si>
    <t>３－１　標準技術（ピオーネ　加温ハウス）</t>
    <rPh sb="4" eb="6">
      <t>ヒョウジュン</t>
    </rPh>
    <rPh sb="6" eb="8">
      <t>ギジュツ</t>
    </rPh>
    <rPh sb="14" eb="16">
      <t>カオン</t>
    </rPh>
    <phoneticPr fontId="5"/>
  </si>
  <si>
    <t>８－１　経費の算出基礎（ピオーネ　加温ハウス，1ha当たり）</t>
    <rPh sb="4" eb="6">
      <t>ケイヒ</t>
    </rPh>
    <rPh sb="7" eb="9">
      <t>サンシュツ</t>
    </rPh>
    <rPh sb="9" eb="11">
      <t>キソ</t>
    </rPh>
    <rPh sb="17" eb="19">
      <t>カオン</t>
    </rPh>
    <rPh sb="26" eb="27">
      <t>ア</t>
    </rPh>
    <phoneticPr fontId="5"/>
  </si>
  <si>
    <t>t</t>
  </si>
  <si>
    <t>防除（ＳＳ）</t>
  </si>
  <si>
    <t>土壌改良（トレンチャー）</t>
  </si>
  <si>
    <t>土壌改良（中耕機）</t>
  </si>
  <si>
    <t>資材・農機具庫兼作業所</t>
    <rPh sb="7" eb="8">
      <t>ケン</t>
    </rPh>
    <rPh sb="8" eb="10">
      <t>サギョウ</t>
    </rPh>
    <rPh sb="10" eb="11">
      <t>ショ</t>
    </rPh>
    <phoneticPr fontId="5"/>
  </si>
  <si>
    <r>
      <t>h</t>
    </r>
    <r>
      <rPr>
        <sz val="11"/>
        <rFont val="ＭＳ Ｐゴシック"/>
        <family val="3"/>
        <charset val="128"/>
      </rPr>
      <t>a</t>
    </r>
    <phoneticPr fontId="5"/>
  </si>
  <si>
    <t>㎡</t>
  </si>
  <si>
    <t>ハウス</t>
  </si>
  <si>
    <t>ハウス</t>
    <phoneticPr fontId="5"/>
  </si>
  <si>
    <r>
      <t>間口6</t>
    </r>
    <r>
      <rPr>
        <sz val="11"/>
        <rFont val="ＭＳ Ｐゴシック"/>
        <family val="3"/>
        <charset val="128"/>
      </rPr>
      <t>m，連棟</t>
    </r>
    <rPh sb="0" eb="2">
      <t>マグチ</t>
    </rPh>
    <rPh sb="5" eb="7">
      <t>レントウ</t>
    </rPh>
    <phoneticPr fontId="5"/>
  </si>
  <si>
    <t>オイルタンク</t>
  </si>
  <si>
    <t>オイルタンク</t>
    <phoneticPr fontId="5"/>
  </si>
  <si>
    <t>1.9キロリットル</t>
  </si>
  <si>
    <t>1.9キロリットル</t>
    <phoneticPr fontId="5"/>
  </si>
  <si>
    <t>基</t>
    <rPh sb="0" eb="1">
      <t>キ</t>
    </rPh>
    <phoneticPr fontId="5"/>
  </si>
  <si>
    <t>潅水施設</t>
    <rPh sb="0" eb="2">
      <t>カンスイ</t>
    </rPh>
    <rPh sb="2" eb="4">
      <t>シセツ</t>
    </rPh>
    <phoneticPr fontId="5"/>
  </si>
  <si>
    <t>ＳＳ</t>
  </si>
  <si>
    <t>660cc,4wd</t>
  </si>
  <si>
    <t>14ps，90ｃｍ</t>
  </si>
  <si>
    <t>トレンチャー</t>
  </si>
  <si>
    <t>7ps，31cm×0.7m</t>
  </si>
  <si>
    <r>
      <t>500坪用，138000</t>
    </r>
    <r>
      <rPr>
        <sz val="11"/>
        <rFont val="ＭＳ Ｐゴシック"/>
        <family val="3"/>
        <charset val="128"/>
      </rPr>
      <t>kcal/h</t>
    </r>
    <rPh sb="3" eb="4">
      <t>ツボ</t>
    </rPh>
    <rPh sb="4" eb="5">
      <t>ヨウ</t>
    </rPh>
    <phoneticPr fontId="5"/>
  </si>
  <si>
    <t>台</t>
    <rPh sb="0" eb="1">
      <t>ダイ</t>
    </rPh>
    <phoneticPr fontId="5"/>
  </si>
  <si>
    <t>ピオーネ</t>
    <phoneticPr fontId="5"/>
  </si>
  <si>
    <t>（参考）　固定資本装備と減価償却費（ピオーネ　加温ハウス，1ha当たり・1年当たり）</t>
    <rPh sb="1" eb="3">
      <t>サンコウ</t>
    </rPh>
    <rPh sb="23" eb="25">
      <t>カオン</t>
    </rPh>
    <rPh sb="32" eb="33">
      <t>ア</t>
    </rPh>
    <rPh sb="37" eb="38">
      <t>ネン</t>
    </rPh>
    <rPh sb="38" eb="39">
      <t>ア</t>
    </rPh>
    <phoneticPr fontId="5"/>
  </si>
  <si>
    <t>600ℓ，4ＷＤ，33.5ps</t>
  </si>
  <si>
    <t>600ℓ，4ＷＤ，33.5ps</t>
    <phoneticPr fontId="5"/>
  </si>
  <si>
    <t>温風暖房機</t>
    <rPh sb="0" eb="2">
      <t>オンプウ</t>
    </rPh>
    <rPh sb="2" eb="4">
      <t>ダンボウ</t>
    </rPh>
    <rPh sb="4" eb="5">
      <t>キ</t>
    </rPh>
    <phoneticPr fontId="5"/>
  </si>
  <si>
    <t>ピオーネ</t>
    <phoneticPr fontId="5"/>
  </si>
  <si>
    <t>1年間育成</t>
    <rPh sb="1" eb="3">
      <t>ネンカン</t>
    </rPh>
    <rPh sb="3" eb="5">
      <t>イクセイ</t>
    </rPh>
    <phoneticPr fontId="5"/>
  </si>
  <si>
    <t>ha</t>
    <phoneticPr fontId="5"/>
  </si>
  <si>
    <t>防風網</t>
    <rPh sb="0" eb="1">
      <t>フセ</t>
    </rPh>
    <rPh sb="1" eb="2">
      <t>カゼ</t>
    </rPh>
    <rPh sb="2" eb="3">
      <t>アミ</t>
    </rPh>
    <phoneticPr fontId="5"/>
  </si>
  <si>
    <t>6mm目　2m×50ｍ</t>
    <rPh sb="3" eb="4">
      <t>メ</t>
    </rPh>
    <phoneticPr fontId="5"/>
  </si>
  <si>
    <t>加温（温風加温機）</t>
    <rPh sb="0" eb="2">
      <t>カオン</t>
    </rPh>
    <rPh sb="3" eb="5">
      <t>オンプウ</t>
    </rPh>
    <rPh sb="5" eb="7">
      <t>カオン</t>
    </rPh>
    <rPh sb="7" eb="8">
      <t>キ</t>
    </rPh>
    <phoneticPr fontId="5"/>
  </si>
  <si>
    <t>シャインマスカット</t>
    <phoneticPr fontId="5"/>
  </si>
  <si>
    <t>トンネルメッシュ</t>
  </si>
  <si>
    <t>（参考）　固定資本装備と減価償却費（サニールージュ，1ha当たり・1年当たり）</t>
    <rPh sb="1" eb="3">
      <t>サンコウ</t>
    </rPh>
    <rPh sb="29" eb="30">
      <t>ア</t>
    </rPh>
    <rPh sb="34" eb="35">
      <t>ネン</t>
    </rPh>
    <rPh sb="35" eb="36">
      <t>ア</t>
    </rPh>
    <phoneticPr fontId="5"/>
  </si>
  <si>
    <t>サニールージュ</t>
    <phoneticPr fontId="5"/>
  </si>
  <si>
    <t>1ha/3ha</t>
  </si>
  <si>
    <t>1ha/3ha</t>
    <phoneticPr fontId="5"/>
  </si>
  <si>
    <t>1ha/1ha</t>
  </si>
  <si>
    <t>1ha/1ha</t>
    <phoneticPr fontId="5"/>
  </si>
  <si>
    <t>1ha/2ha</t>
    <phoneticPr fontId="5"/>
  </si>
  <si>
    <t>㎡</t>
    <phoneticPr fontId="5"/>
  </si>
  <si>
    <t>外張りビニール</t>
    <rPh sb="0" eb="1">
      <t>ソト</t>
    </rPh>
    <rPh sb="1" eb="2">
      <t>バ</t>
    </rPh>
    <phoneticPr fontId="5"/>
  </si>
  <si>
    <t>内張りビニール</t>
    <rPh sb="0" eb="1">
      <t>ウチ</t>
    </rPh>
    <rPh sb="1" eb="2">
      <t>バ</t>
    </rPh>
    <phoneticPr fontId="5"/>
  </si>
  <si>
    <t>109円/㎡</t>
    <rPh sb="3" eb="4">
      <t>エン</t>
    </rPh>
    <phoneticPr fontId="5"/>
  </si>
  <si>
    <t>91円/㎡</t>
    <rPh sb="2" eb="3">
      <t>エン</t>
    </rPh>
    <phoneticPr fontId="5"/>
  </si>
  <si>
    <t>フラスター液剤(シャイン)</t>
    <rPh sb="5" eb="7">
      <t>エキザイ</t>
    </rPh>
    <phoneticPr fontId="5"/>
  </si>
  <si>
    <t>フラスター液剤（ピオーネ）</t>
    <rPh sb="5" eb="7">
      <t>エキザイ</t>
    </rPh>
    <phoneticPr fontId="5"/>
  </si>
  <si>
    <t>1ha/3ha</t>
    <phoneticPr fontId="5"/>
  </si>
  <si>
    <t>1ha/2ha</t>
    <phoneticPr fontId="5"/>
  </si>
  <si>
    <t>1ha</t>
    <phoneticPr fontId="5"/>
  </si>
  <si>
    <t>1ha</t>
    <phoneticPr fontId="5"/>
  </si>
  <si>
    <t>1ha</t>
    <phoneticPr fontId="5"/>
  </si>
  <si>
    <t>1年間育成</t>
  </si>
  <si>
    <t>シャインマスカット</t>
    <phoneticPr fontId="5"/>
  </si>
  <si>
    <t>９－１　単価の算出基礎（ピオーネ，1kg当たり）</t>
    <rPh sb="4" eb="6">
      <t>タンカ</t>
    </rPh>
    <phoneticPr fontId="5"/>
  </si>
  <si>
    <t>販売量×80円</t>
  </si>
  <si>
    <t>販売量×18円</t>
  </si>
  <si>
    <t>販売額×11％</t>
  </si>
  <si>
    <t>ピオーネ</t>
    <phoneticPr fontId="5"/>
  </si>
  <si>
    <t>サニールージュ</t>
    <phoneticPr fontId="5"/>
  </si>
  <si>
    <t>∩</t>
    <phoneticPr fontId="5"/>
  </si>
  <si>
    <t>個別選果，共同出荷</t>
    <rPh sb="0" eb="2">
      <t>コベツ</t>
    </rPh>
    <rPh sb="2" eb="4">
      <t>センカ</t>
    </rPh>
    <rPh sb="5" eb="7">
      <t>キョウドウ</t>
    </rPh>
    <rPh sb="7" eb="9">
      <t>シュッカ</t>
    </rPh>
    <phoneticPr fontId="4"/>
  </si>
  <si>
    <t>温度管理</t>
    <rPh sb="0" eb="2">
      <t>オンド</t>
    </rPh>
    <rPh sb="2" eb="4">
      <t>カンリ</t>
    </rPh>
    <phoneticPr fontId="5"/>
  </si>
  <si>
    <t>4wd</t>
    <phoneticPr fontId="5"/>
  </si>
  <si>
    <t>動力噴霧器</t>
  </si>
  <si>
    <t>可搬式4.6ｐｓ</t>
  </si>
  <si>
    <t>台</t>
    <rPh sb="0" eb="1">
      <t>ダイ</t>
    </rPh>
    <phoneticPr fontId="4"/>
  </si>
  <si>
    <t>3月～10月</t>
    <rPh sb="1" eb="2">
      <t>ガツ</t>
    </rPh>
    <rPh sb="5" eb="6">
      <t>ガツ</t>
    </rPh>
    <phoneticPr fontId="5"/>
  </si>
  <si>
    <t>園内管理</t>
    <rPh sb="0" eb="1">
      <t>エン</t>
    </rPh>
    <rPh sb="1" eb="2">
      <t>ウチ</t>
    </rPh>
    <rPh sb="2" eb="4">
      <t>カンリ</t>
    </rPh>
    <phoneticPr fontId="5"/>
  </si>
  <si>
    <t>8月～9月</t>
    <rPh sb="1" eb="2">
      <t>ガツ</t>
    </rPh>
    <rPh sb="4" eb="5">
      <t>ガツ</t>
    </rPh>
    <phoneticPr fontId="5"/>
  </si>
  <si>
    <t>剪定鋏
剪定鋸</t>
  </si>
  <si>
    <t>ストマイ液剤20</t>
    <rPh sb="4" eb="6">
      <t>エキザイ</t>
    </rPh>
    <phoneticPr fontId="4"/>
  </si>
  <si>
    <t>4種類</t>
    <phoneticPr fontId="5"/>
  </si>
  <si>
    <t>4月～6月</t>
    <rPh sb="1" eb="2">
      <t>ガツ</t>
    </rPh>
    <rPh sb="4" eb="5">
      <t>ガツ</t>
    </rPh>
    <phoneticPr fontId="5"/>
  </si>
  <si>
    <t>6月</t>
    <rPh sb="1" eb="2">
      <t>ガツ</t>
    </rPh>
    <phoneticPr fontId="5"/>
  </si>
  <si>
    <t>3月～7月</t>
    <rPh sb="1" eb="2">
      <t>ガツ</t>
    </rPh>
    <rPh sb="4" eb="5">
      <t>ガツ</t>
    </rPh>
    <phoneticPr fontId="5"/>
  </si>
  <si>
    <t>7月～8月</t>
    <rPh sb="1" eb="2">
      <t>ガツ</t>
    </rPh>
    <rPh sb="4" eb="5">
      <t>ガツ</t>
    </rPh>
    <phoneticPr fontId="5"/>
  </si>
  <si>
    <t>温度管理</t>
    <rPh sb="0" eb="2">
      <t>オンド</t>
    </rPh>
    <rPh sb="2" eb="4">
      <t>カンリ</t>
    </rPh>
    <phoneticPr fontId="5"/>
  </si>
  <si>
    <t>温風加温機</t>
    <rPh sb="0" eb="2">
      <t>オンプウ</t>
    </rPh>
    <rPh sb="2" eb="4">
      <t>カオン</t>
    </rPh>
    <rPh sb="4" eb="5">
      <t>キ</t>
    </rPh>
    <phoneticPr fontId="5"/>
  </si>
  <si>
    <t>マイカ線
ビニール</t>
    <rPh sb="3" eb="4">
      <t>セン</t>
    </rPh>
    <phoneticPr fontId="5"/>
  </si>
  <si>
    <t>10月</t>
    <rPh sb="2" eb="3">
      <t>ガツ</t>
    </rPh>
    <phoneticPr fontId="5"/>
  </si>
  <si>
    <t>摘粒鋏
ジベレリン協和粉末
フルメット液剤
ストマイ液剤20</t>
    <rPh sb="0" eb="1">
      <t>テキ</t>
    </rPh>
    <rPh sb="1" eb="2">
      <t>リュウ</t>
    </rPh>
    <rPh sb="2" eb="3">
      <t>ハサミ</t>
    </rPh>
    <rPh sb="9" eb="11">
      <t>キョウワ</t>
    </rPh>
    <rPh sb="11" eb="13">
      <t>フンマツ</t>
    </rPh>
    <rPh sb="19" eb="21">
      <t>エキザイ</t>
    </rPh>
    <rPh sb="26" eb="28">
      <t>エキザイ</t>
    </rPh>
    <phoneticPr fontId="5"/>
  </si>
  <si>
    <t>8月</t>
    <rPh sb="1" eb="2">
      <t>ガツ</t>
    </rPh>
    <phoneticPr fontId="5"/>
  </si>
  <si>
    <t>ストマイ液剤20
摘粒鋏
ジベレリン協和粉末
フルメット液剤</t>
    <rPh sb="4" eb="6">
      <t>エキザイ</t>
    </rPh>
    <rPh sb="9" eb="10">
      <t>テキ</t>
    </rPh>
    <rPh sb="10" eb="11">
      <t>リュウ</t>
    </rPh>
    <rPh sb="11" eb="12">
      <t>ハサミ</t>
    </rPh>
    <rPh sb="18" eb="20">
      <t>キョウワ</t>
    </rPh>
    <rPh sb="20" eb="22">
      <t>フンマツ</t>
    </rPh>
    <rPh sb="28" eb="30">
      <t>エキザイ</t>
    </rPh>
    <phoneticPr fontId="5"/>
  </si>
  <si>
    <t>半殺・一般</t>
    <rPh sb="0" eb="1">
      <t>ハン</t>
    </rPh>
    <rPh sb="1" eb="2">
      <t>サツ</t>
    </rPh>
    <rPh sb="3" eb="5">
      <t>イッパン</t>
    </rPh>
    <phoneticPr fontId="5"/>
  </si>
  <si>
    <t>オペ</t>
    <phoneticPr fontId="5"/>
  </si>
  <si>
    <t>補助</t>
    <rPh sb="0" eb="2">
      <t>ホジョ</t>
    </rPh>
    <phoneticPr fontId="5"/>
  </si>
  <si>
    <t>代表者　550万円</t>
    <rPh sb="0" eb="3">
      <t>ダイヒョウシャ</t>
    </rPh>
    <rPh sb="7" eb="9">
      <t>マンエン</t>
    </rPh>
    <phoneticPr fontId="5"/>
  </si>
  <si>
    <t>設定規模</t>
    <rPh sb="0" eb="2">
      <t>セッテイ</t>
    </rPh>
    <rPh sb="2" eb="4">
      <t>キボ</t>
    </rPh>
    <phoneticPr fontId="5"/>
  </si>
  <si>
    <t>作　業　別</t>
    <phoneticPr fontId="5"/>
  </si>
  <si>
    <t>旬　別　計　①</t>
    <phoneticPr fontId="5"/>
  </si>
  <si>
    <t>ha</t>
    <phoneticPr fontId="5"/>
  </si>
  <si>
    <t>Ｐ加温</t>
    <rPh sb="1" eb="3">
      <t>カオン</t>
    </rPh>
    <phoneticPr fontId="5"/>
  </si>
  <si>
    <t>Ｐトンネル</t>
    <phoneticPr fontId="5"/>
  </si>
  <si>
    <t>ｼｬｲﾝ加温</t>
    <rPh sb="4" eb="6">
      <t>カオン</t>
    </rPh>
    <phoneticPr fontId="5"/>
  </si>
  <si>
    <t>ｼｬｲﾝトンネル</t>
    <phoneticPr fontId="5"/>
  </si>
  <si>
    <t>ｻﾆｰトンネル</t>
    <phoneticPr fontId="5"/>
  </si>
  <si>
    <t>代表者</t>
    <rPh sb="0" eb="3">
      <t>ダイヒョウシャ</t>
    </rPh>
    <phoneticPr fontId="5"/>
  </si>
  <si>
    <t>社員２人</t>
    <rPh sb="0" eb="2">
      <t>シャイン</t>
    </rPh>
    <rPh sb="3" eb="4">
      <t>ニン</t>
    </rPh>
    <phoneticPr fontId="5"/>
  </si>
  <si>
    <t>小計</t>
    <rPh sb="0" eb="2">
      <t>ショウケイ</t>
    </rPh>
    <phoneticPr fontId="5"/>
  </si>
  <si>
    <t>不足分</t>
    <rPh sb="0" eb="3">
      <t>フソクブン</t>
    </rPh>
    <phoneticPr fontId="5"/>
  </si>
  <si>
    <t>社員２人×320万円・年</t>
    <rPh sb="0" eb="2">
      <t>シャイン</t>
    </rPh>
    <rPh sb="3" eb="4">
      <t>ニン</t>
    </rPh>
    <rPh sb="8" eb="10">
      <t>マンエン</t>
    </rPh>
    <rPh sb="11" eb="12">
      <t>ネン</t>
    </rPh>
    <phoneticPr fontId="5"/>
  </si>
  <si>
    <t>労務費の1.2％</t>
    <rPh sb="0" eb="3">
      <t>ロウムヒ</t>
    </rPh>
    <phoneticPr fontId="5"/>
  </si>
  <si>
    <t>不足分案分</t>
    <rPh sb="0" eb="3">
      <t>フソクブン</t>
    </rPh>
    <rPh sb="3" eb="5">
      <t>アンブン</t>
    </rPh>
    <phoneticPr fontId="5"/>
  </si>
  <si>
    <t>臨時雇用</t>
    <rPh sb="0" eb="2">
      <t>リンジ</t>
    </rPh>
    <rPh sb="2" eb="4">
      <t>コヨウ</t>
    </rPh>
    <phoneticPr fontId="5"/>
  </si>
  <si>
    <t>社員</t>
    <rPh sb="0" eb="2">
      <t>シャイン</t>
    </rPh>
    <phoneticPr fontId="5"/>
  </si>
  <si>
    <t>中部</t>
    <rPh sb="1" eb="2">
      <t>ブ</t>
    </rPh>
    <phoneticPr fontId="4"/>
  </si>
  <si>
    <t>緩傾斜地　5度以内，団地化</t>
    <rPh sb="0" eb="3">
      <t>カンケイシャ</t>
    </rPh>
    <rPh sb="3" eb="4">
      <t>チ</t>
    </rPh>
    <rPh sb="6" eb="7">
      <t>ド</t>
    </rPh>
    <rPh sb="7" eb="9">
      <t>イナイ</t>
    </rPh>
    <rPh sb="10" eb="13">
      <t>ダンチカ</t>
    </rPh>
    <phoneticPr fontId="4"/>
  </si>
  <si>
    <t>・短梢剪定
・無核栽培</t>
    <rPh sb="1" eb="2">
      <t>タン</t>
    </rPh>
    <rPh sb="2" eb="3">
      <t>コズエ</t>
    </rPh>
    <rPh sb="3" eb="5">
      <t>センテイ</t>
    </rPh>
    <rPh sb="7" eb="8">
      <t>ム</t>
    </rPh>
    <rPh sb="8" eb="9">
      <t>カク</t>
    </rPh>
    <rPh sb="9" eb="11">
      <t>サイバイ</t>
    </rPh>
    <phoneticPr fontId="4"/>
  </si>
  <si>
    <t>・結果過多にしない
・大房にしない</t>
    <rPh sb="1" eb="3">
      <t>ケッカ</t>
    </rPh>
    <rPh sb="3" eb="5">
      <t>カタ</t>
    </rPh>
    <rPh sb="11" eb="12">
      <t>オオ</t>
    </rPh>
    <rPh sb="12" eb="13">
      <t>フサ</t>
    </rPh>
    <phoneticPr fontId="4"/>
  </si>
  <si>
    <t>ビニール被覆，除去</t>
    <rPh sb="4" eb="6">
      <t>ヒフク</t>
    </rPh>
    <rPh sb="7" eb="9">
      <t>ジョキョ</t>
    </rPh>
    <phoneticPr fontId="5"/>
  </si>
  <si>
    <t>右表（生産量16000kg，商品化率90％）</t>
    <rPh sb="0" eb="1">
      <t>ミギ</t>
    </rPh>
    <rPh sb="1" eb="2">
      <t>ヒョウ</t>
    </rPh>
    <rPh sb="3" eb="5">
      <t>セイサン</t>
    </rPh>
    <rPh sb="5" eb="6">
      <t>リョウ</t>
    </rPh>
    <rPh sb="14" eb="17">
      <t>ショウヒンカ</t>
    </rPh>
    <rPh sb="17" eb="18">
      <t>リツ</t>
    </rPh>
    <phoneticPr fontId="5"/>
  </si>
  <si>
    <t>右表（生産量18000kg，商品化率90％）</t>
    <rPh sb="0" eb="1">
      <t>ミギ</t>
    </rPh>
    <rPh sb="1" eb="2">
      <t>ヒョウ</t>
    </rPh>
    <rPh sb="3" eb="5">
      <t>セイサン</t>
    </rPh>
    <rPh sb="5" eb="6">
      <t>リョウ</t>
    </rPh>
    <rPh sb="14" eb="18">
      <t>ショウヒンカリツ</t>
    </rPh>
    <phoneticPr fontId="5"/>
  </si>
  <si>
    <t>右表（生産量18000kg，商品化率90%）</t>
    <rPh sb="0" eb="1">
      <t>ミギ</t>
    </rPh>
    <rPh sb="1" eb="2">
      <t>ヒョウ</t>
    </rPh>
    <rPh sb="3" eb="5">
      <t>セイサン</t>
    </rPh>
    <rPh sb="5" eb="6">
      <t>リョウ</t>
    </rPh>
    <rPh sb="14" eb="17">
      <t>ショウヒンカ</t>
    </rPh>
    <rPh sb="17" eb="18">
      <t>リツ</t>
    </rPh>
    <phoneticPr fontId="5"/>
  </si>
  <si>
    <t>右表（生産量18000kg，商品化率90％）</t>
    <rPh sb="0" eb="1">
      <t>ミギ</t>
    </rPh>
    <rPh sb="1" eb="2">
      <t>ヒョウ</t>
    </rPh>
    <rPh sb="3" eb="5">
      <t>セイサン</t>
    </rPh>
    <rPh sb="5" eb="6">
      <t>リョウ</t>
    </rPh>
    <rPh sb="14" eb="17">
      <t>ショウヒンカ</t>
    </rPh>
    <rPh sb="17" eb="18">
      <t>リツ</t>
    </rPh>
    <phoneticPr fontId="5"/>
  </si>
  <si>
    <t>12月～1月</t>
    <rPh sb="2" eb="3">
      <t>ガツ</t>
    </rPh>
    <rPh sb="5" eb="6">
      <t>ガツ</t>
    </rPh>
    <phoneticPr fontId="5"/>
  </si>
  <si>
    <t>メリット青塗布
芽かき
新梢誘引</t>
    <rPh sb="4" eb="5">
      <t>アオ</t>
    </rPh>
    <rPh sb="5" eb="7">
      <t>トフ</t>
    </rPh>
    <rPh sb="8" eb="9">
      <t>メ</t>
    </rPh>
    <rPh sb="12" eb="13">
      <t>アタラ</t>
    </rPh>
    <rPh sb="13" eb="14">
      <t>コズエ</t>
    </rPh>
    <rPh sb="14" eb="16">
      <t>ユウイン</t>
    </rPh>
    <phoneticPr fontId="5"/>
  </si>
  <si>
    <t>4月～7月</t>
    <rPh sb="1" eb="2">
      <t>ガツ</t>
    </rPh>
    <rPh sb="4" eb="5">
      <t>ガツ</t>
    </rPh>
    <phoneticPr fontId="5"/>
  </si>
  <si>
    <t>メリット青
テープナー
誘引テープ</t>
    <rPh sb="4" eb="5">
      <t>アオ</t>
    </rPh>
    <rPh sb="12" eb="14">
      <t>ユウイン</t>
    </rPh>
    <phoneticPr fontId="5"/>
  </si>
  <si>
    <t>3月，9月，10月</t>
    <rPh sb="1" eb="2">
      <t>ガツ</t>
    </rPh>
    <rPh sb="4" eb="5">
      <t>ガツ</t>
    </rPh>
    <rPh sb="8" eb="9">
      <t>ガツ</t>
    </rPh>
    <phoneticPr fontId="5"/>
  </si>
  <si>
    <t>1月，3月～7月，9月</t>
    <rPh sb="1" eb="2">
      <t>ガツ</t>
    </rPh>
    <rPh sb="4" eb="5">
      <t>ガツ</t>
    </rPh>
    <rPh sb="7" eb="8">
      <t>ガツ</t>
    </rPh>
    <rPh sb="10" eb="11">
      <t>ガツ</t>
    </rPh>
    <phoneticPr fontId="5"/>
  </si>
  <si>
    <t>5月～6月</t>
    <rPh sb="1" eb="2">
      <t>ガツ</t>
    </rPh>
    <rPh sb="4" eb="5">
      <t>ガツ</t>
    </rPh>
    <phoneticPr fontId="5"/>
  </si>
  <si>
    <t>4月～8月</t>
    <rPh sb="1" eb="2">
      <t>ガツ</t>
    </rPh>
    <rPh sb="4" eb="5">
      <t>ガツ</t>
    </rPh>
    <phoneticPr fontId="5"/>
  </si>
  <si>
    <t>1月，2月，12月</t>
    <rPh sb="1" eb="2">
      <t>ガツ</t>
    </rPh>
    <rPh sb="4" eb="5">
      <t>ガツ</t>
    </rPh>
    <rPh sb="8" eb="9">
      <t>ガツ</t>
    </rPh>
    <phoneticPr fontId="5"/>
  </si>
  <si>
    <t>3月～4月，7月</t>
    <rPh sb="1" eb="2">
      <t>ガツ</t>
    </rPh>
    <rPh sb="4" eb="5">
      <t>ガツ</t>
    </rPh>
    <rPh sb="7" eb="8">
      <t>ガツ</t>
    </rPh>
    <phoneticPr fontId="5"/>
  </si>
  <si>
    <t>2月，10月</t>
    <rPh sb="1" eb="2">
      <t>ガツ</t>
    </rPh>
    <rPh sb="5" eb="6">
      <t>ガツ</t>
    </rPh>
    <phoneticPr fontId="5"/>
  </si>
  <si>
    <t>2月～10月</t>
    <rPh sb="1" eb="2">
      <t>ガツ</t>
    </rPh>
    <rPh sb="5" eb="6">
      <t>ガツ</t>
    </rPh>
    <phoneticPr fontId="5"/>
  </si>
  <si>
    <t>2月，12月</t>
    <rPh sb="1" eb="2">
      <t>ガツ</t>
    </rPh>
    <rPh sb="5" eb="6">
      <t>ガツ</t>
    </rPh>
    <phoneticPr fontId="5"/>
  </si>
  <si>
    <t>1月，2月，4月，6月，8月，9月</t>
    <rPh sb="1" eb="2">
      <t>ガツ</t>
    </rPh>
    <rPh sb="4" eb="5">
      <t>ガツ</t>
    </rPh>
    <rPh sb="7" eb="8">
      <t>ガツ</t>
    </rPh>
    <rPh sb="10" eb="11">
      <t>ガツ</t>
    </rPh>
    <rPh sb="13" eb="14">
      <t>ガツ</t>
    </rPh>
    <rPh sb="16" eb="17">
      <t>ガツ</t>
    </rPh>
    <phoneticPr fontId="5"/>
  </si>
  <si>
    <t>12月，2月，3月</t>
    <rPh sb="2" eb="3">
      <t>ガツ</t>
    </rPh>
    <rPh sb="5" eb="6">
      <t>ガツ</t>
    </rPh>
    <rPh sb="8" eb="9">
      <t>ガツ</t>
    </rPh>
    <phoneticPr fontId="5"/>
  </si>
  <si>
    <t>3月，10月，11月</t>
    <rPh sb="1" eb="2">
      <t>ガツ</t>
    </rPh>
    <rPh sb="5" eb="6">
      <t>ガツ</t>
    </rPh>
    <rPh sb="9" eb="10">
      <t>ガツ</t>
    </rPh>
    <phoneticPr fontId="5"/>
  </si>
  <si>
    <t>3月～7，10月</t>
    <rPh sb="1" eb="2">
      <t>ガツ</t>
    </rPh>
    <rPh sb="7" eb="8">
      <t>ガツ</t>
    </rPh>
    <phoneticPr fontId="5"/>
  </si>
  <si>
    <t>3月，5月～9月</t>
    <rPh sb="1" eb="2">
      <t>ガツ</t>
    </rPh>
    <rPh sb="4" eb="5">
      <t>ガツ</t>
    </rPh>
    <rPh sb="7" eb="8">
      <t>ガツ</t>
    </rPh>
    <phoneticPr fontId="5"/>
  </si>
  <si>
    <t>4月～8月，10月</t>
    <rPh sb="1" eb="2">
      <t>ガツ</t>
    </rPh>
    <rPh sb="4" eb="5">
      <t>ガツ</t>
    </rPh>
    <rPh sb="8" eb="9">
      <t>ガツ</t>
    </rPh>
    <phoneticPr fontId="5"/>
  </si>
  <si>
    <t>3月，4月，7，8月</t>
    <rPh sb="1" eb="2">
      <t>ガツ</t>
    </rPh>
    <rPh sb="4" eb="5">
      <t>ガツ</t>
    </rPh>
    <rPh sb="9" eb="10">
      <t>ガツ</t>
    </rPh>
    <phoneticPr fontId="5"/>
  </si>
  <si>
    <t>2月～6月</t>
    <rPh sb="1" eb="2">
      <t>ガツ</t>
    </rPh>
    <rPh sb="4" eb="5">
      <t>ガツ</t>
    </rPh>
    <phoneticPr fontId="5"/>
  </si>
  <si>
    <t>12月，2月</t>
    <rPh sb="2" eb="3">
      <t>ガツ</t>
    </rPh>
    <rPh sb="5" eb="6">
      <t>ガツ</t>
    </rPh>
    <phoneticPr fontId="5"/>
  </si>
  <si>
    <t>3月，9月</t>
    <rPh sb="1" eb="2">
      <t>ガツ</t>
    </rPh>
    <rPh sb="4" eb="5">
      <t>ガツ</t>
    </rPh>
    <phoneticPr fontId="5"/>
  </si>
  <si>
    <t>1月，2月，8月，12月</t>
    <rPh sb="1" eb="2">
      <t>ガツ</t>
    </rPh>
    <rPh sb="4" eb="5">
      <t>ガツ</t>
    </rPh>
    <rPh sb="7" eb="8">
      <t>ガツ</t>
    </rPh>
    <rPh sb="11" eb="12">
      <t>ガツ</t>
    </rPh>
    <phoneticPr fontId="5"/>
  </si>
  <si>
    <t>10月，11月</t>
    <rPh sb="2" eb="3">
      <t>ガツ</t>
    </rPh>
    <rPh sb="6" eb="7">
      <t>ガツ</t>
    </rPh>
    <phoneticPr fontId="5"/>
  </si>
  <si>
    <t>3月，4月，7月，8月</t>
    <rPh sb="1" eb="2">
      <t>ガツ</t>
    </rPh>
    <rPh sb="4" eb="5">
      <t>ガツ</t>
    </rPh>
    <rPh sb="7" eb="8">
      <t>ガツ</t>
    </rPh>
    <rPh sb="10" eb="11">
      <t>ガツ</t>
    </rPh>
    <phoneticPr fontId="5"/>
  </si>
  <si>
    <t>対象</t>
    <phoneticPr fontId="5"/>
  </si>
  <si>
    <t>ぶどう3ha</t>
    <phoneticPr fontId="4"/>
  </si>
  <si>
    <t>１　対象経営の概要</t>
    <phoneticPr fontId="4"/>
  </si>
  <si>
    <t>作　   物　   別　   作  　付   　規　   模</t>
    <phoneticPr fontId="5"/>
  </si>
  <si>
    <t>経　営　耕　地　面　積</t>
    <phoneticPr fontId="5"/>
  </si>
  <si>
    <t>対 象 作 目</t>
    <phoneticPr fontId="5"/>
  </si>
  <si>
    <t>面    積</t>
    <phoneticPr fontId="5"/>
  </si>
  <si>
    <t>そ の 他 の 作 物</t>
    <phoneticPr fontId="5"/>
  </si>
  <si>
    <t>面   積</t>
    <phoneticPr fontId="5"/>
  </si>
  <si>
    <t>田</t>
    <phoneticPr fontId="5"/>
  </si>
  <si>
    <t>畑</t>
    <phoneticPr fontId="5"/>
  </si>
  <si>
    <t>樹園地</t>
    <phoneticPr fontId="5"/>
  </si>
  <si>
    <t>ぶどう</t>
    <phoneticPr fontId="4"/>
  </si>
  <si>
    <t>3ha</t>
    <phoneticPr fontId="5"/>
  </si>
  <si>
    <t>草  地</t>
    <phoneticPr fontId="5"/>
  </si>
  <si>
    <t>（うち施設）</t>
    <phoneticPr fontId="5"/>
  </si>
  <si>
    <t>作     　目</t>
    <phoneticPr fontId="4"/>
  </si>
  <si>
    <t>面　積</t>
    <phoneticPr fontId="4"/>
  </si>
  <si>
    <t>∩</t>
    <phoneticPr fontId="4"/>
  </si>
  <si>
    <t>凡例</t>
    <phoneticPr fontId="5"/>
  </si>
  <si>
    <t>収穫 ：</t>
    <phoneticPr fontId="5"/>
  </si>
  <si>
    <t>２　前提条件</t>
    <phoneticPr fontId="5"/>
  </si>
  <si>
    <t>ピオーネ，シャインマスカット</t>
    <phoneticPr fontId="4"/>
  </si>
  <si>
    <r>
      <t>S</t>
    </r>
    <r>
      <rPr>
        <sz val="11"/>
        <rFont val="ＭＳ Ｐゴシック"/>
        <family val="3"/>
        <charset val="128"/>
      </rPr>
      <t>S</t>
    </r>
    <phoneticPr fontId="4"/>
  </si>
  <si>
    <t>短梢剪定
一文字整枝（かぎ型）</t>
    <rPh sb="0" eb="1">
      <t>タン</t>
    </rPh>
    <rPh sb="1" eb="2">
      <t>コズエ</t>
    </rPh>
    <rPh sb="2" eb="4">
      <t>センテイ</t>
    </rPh>
    <rPh sb="5" eb="8">
      <t>イチモンジ</t>
    </rPh>
    <rPh sb="8" eb="10">
      <t>セイシ</t>
    </rPh>
    <rPh sb="13" eb="14">
      <t>ガタ</t>
    </rPh>
    <phoneticPr fontId="5"/>
  </si>
  <si>
    <t>着果量1800kg/10a
花穂整形
 500～600g/房　
ジベレリン処理
　1回目フルメット混用
　2回目ジベレリン単用
環状剥皮</t>
    <rPh sb="0" eb="2">
      <t>チャッカ</t>
    </rPh>
    <rPh sb="2" eb="3">
      <t>リョウ</t>
    </rPh>
    <rPh sb="14" eb="15">
      <t>ハナ</t>
    </rPh>
    <rPh sb="15" eb="16">
      <t>ホ</t>
    </rPh>
    <rPh sb="16" eb="18">
      <t>セイケイ</t>
    </rPh>
    <rPh sb="29" eb="30">
      <t>フサ</t>
    </rPh>
    <rPh sb="37" eb="39">
      <t>ショリ</t>
    </rPh>
    <rPh sb="42" eb="44">
      <t>カイメ</t>
    </rPh>
    <rPh sb="49" eb="51">
      <t>コンヨウ</t>
    </rPh>
    <rPh sb="54" eb="56">
      <t>カイメ</t>
    </rPh>
    <rPh sb="61" eb="62">
      <t>タン</t>
    </rPh>
    <rPh sb="62" eb="63">
      <t>ヨウ</t>
    </rPh>
    <rPh sb="64" eb="66">
      <t>カンジョウ</t>
    </rPh>
    <rPh sb="66" eb="68">
      <t>ハクヒ</t>
    </rPh>
    <phoneticPr fontId="5"/>
  </si>
  <si>
    <t>11月～12月</t>
    <rPh sb="2" eb="3">
      <t>ガツ</t>
    </rPh>
    <rPh sb="6" eb="7">
      <t>ガツ</t>
    </rPh>
    <phoneticPr fontId="5"/>
  </si>
  <si>
    <t>3月～6月</t>
    <rPh sb="1" eb="2">
      <t>ガツ</t>
    </rPh>
    <rPh sb="4" eb="5">
      <t>ガツ</t>
    </rPh>
    <phoneticPr fontId="5"/>
  </si>
  <si>
    <t>1月，2月～9月</t>
    <rPh sb="1" eb="2">
      <t>ガツ</t>
    </rPh>
    <rPh sb="4" eb="5">
      <t>ガツ</t>
    </rPh>
    <rPh sb="7" eb="8">
      <t>ガツ</t>
    </rPh>
    <phoneticPr fontId="5"/>
  </si>
  <si>
    <t>着果量1800kg/10a
花穂整形
　500～600g/房
ストマイ液剤20散布
ジベレリン処理
　1回目フルメット混用
　2回目ジベレリン単用</t>
    <rPh sb="0" eb="2">
      <t>チャッカ</t>
    </rPh>
    <rPh sb="2" eb="3">
      <t>リョウ</t>
    </rPh>
    <rPh sb="14" eb="15">
      <t>ハナ</t>
    </rPh>
    <rPh sb="15" eb="16">
      <t>ホ</t>
    </rPh>
    <rPh sb="16" eb="18">
      <t>セイケイ</t>
    </rPh>
    <rPh sb="29" eb="30">
      <t>フサ</t>
    </rPh>
    <rPh sb="35" eb="37">
      <t>エキザイ</t>
    </rPh>
    <rPh sb="39" eb="41">
      <t>サンプ</t>
    </rPh>
    <rPh sb="47" eb="49">
      <t>ショリ</t>
    </rPh>
    <rPh sb="52" eb="54">
      <t>カイメ</t>
    </rPh>
    <rPh sb="59" eb="61">
      <t>コンヨウ</t>
    </rPh>
    <rPh sb="64" eb="66">
      <t>カイメ</t>
    </rPh>
    <rPh sb="71" eb="72">
      <t>タン</t>
    </rPh>
    <rPh sb="72" eb="73">
      <t>ヨウ</t>
    </rPh>
    <phoneticPr fontId="5"/>
  </si>
  <si>
    <t>1月，3月～10月</t>
    <rPh sb="1" eb="2">
      <t>ガツ</t>
    </rPh>
    <rPh sb="4" eb="5">
      <t>ガツ</t>
    </rPh>
    <rPh sb="8" eb="9">
      <t>ガツ</t>
    </rPh>
    <phoneticPr fontId="5"/>
  </si>
  <si>
    <t>1月～2月，6月，11月～12月</t>
    <rPh sb="1" eb="2">
      <t>ガツ</t>
    </rPh>
    <rPh sb="4" eb="5">
      <t>ガツ</t>
    </rPh>
    <rPh sb="7" eb="8">
      <t>ガツ</t>
    </rPh>
    <rPh sb="11" eb="12">
      <t>ガツ</t>
    </rPh>
    <rPh sb="15" eb="16">
      <t>ガツ</t>
    </rPh>
    <phoneticPr fontId="5"/>
  </si>
  <si>
    <t>着果量1600kg/10a
花穂整形
　400ｇ/房
ジベレリン処理
　1回目フルメット混用
　2回目ジベレリン単用</t>
    <rPh sb="0" eb="2">
      <t>チャッカ</t>
    </rPh>
    <rPh sb="2" eb="3">
      <t>リョウ</t>
    </rPh>
    <rPh sb="14" eb="15">
      <t>ハナ</t>
    </rPh>
    <rPh sb="15" eb="16">
      <t>ホ</t>
    </rPh>
    <rPh sb="16" eb="18">
      <t>セイケイ</t>
    </rPh>
    <rPh sb="25" eb="26">
      <t>フサ</t>
    </rPh>
    <rPh sb="32" eb="34">
      <t>ショリ</t>
    </rPh>
    <rPh sb="37" eb="39">
      <t>カイメ</t>
    </rPh>
    <rPh sb="44" eb="46">
      <t>コンヨウ</t>
    </rPh>
    <rPh sb="49" eb="51">
      <t>カイメ</t>
    </rPh>
    <rPh sb="56" eb="57">
      <t>タン</t>
    </rPh>
    <rPh sb="57" eb="58">
      <t>ヨウ</t>
    </rPh>
    <phoneticPr fontId="5"/>
  </si>
  <si>
    <t>着果量1600kg/10a</t>
    <rPh sb="0" eb="2">
      <t>チャッカ</t>
    </rPh>
    <rPh sb="2" eb="3">
      <t>リョウ</t>
    </rPh>
    <phoneticPr fontId="5"/>
  </si>
  <si>
    <t>軽トラック２台</t>
    <rPh sb="0" eb="1">
      <t>ケイ</t>
    </rPh>
    <rPh sb="6" eb="7">
      <t>ダイ</t>
    </rPh>
    <phoneticPr fontId="5"/>
  </si>
  <si>
    <t>ｓｓ</t>
    <phoneticPr fontId="5"/>
  </si>
  <si>
    <t>ピオーネ</t>
    <phoneticPr fontId="5"/>
  </si>
  <si>
    <t>（全産地）</t>
    <phoneticPr fontId="5"/>
  </si>
  <si>
    <t>９－２　単価の算出基礎（シャインマスカット，1kg当たり）</t>
    <rPh sb="4" eb="6">
      <t>タンカ</t>
    </rPh>
    <phoneticPr fontId="5"/>
  </si>
  <si>
    <t>シャインマスカット</t>
    <phoneticPr fontId="5"/>
  </si>
  <si>
    <t>平成26年</t>
  </si>
  <si>
    <t>右表（イ）　</t>
    <phoneticPr fontId="5"/>
  </si>
  <si>
    <t>右表（ウ）　</t>
    <phoneticPr fontId="5"/>
  </si>
  <si>
    <t>右表（エ）　</t>
    <phoneticPr fontId="5"/>
  </si>
  <si>
    <t>３-１　標準技術（ピオーネ）</t>
    <rPh sb="4" eb="6">
      <t>ヒョウジュン</t>
    </rPh>
    <rPh sb="6" eb="8">
      <t>ギジュツ</t>
    </rPh>
    <phoneticPr fontId="5"/>
  </si>
  <si>
    <t>３-２　標準技術（シャインマスカット　加温ハウス）</t>
    <rPh sb="4" eb="6">
      <t>ヒョウジュン</t>
    </rPh>
    <rPh sb="6" eb="8">
      <t>ギジュツ</t>
    </rPh>
    <rPh sb="19" eb="21">
      <t>カオン</t>
    </rPh>
    <phoneticPr fontId="5"/>
  </si>
  <si>
    <t>３-３　標準技術（シャインマスカット　トンネル被覆）</t>
    <rPh sb="4" eb="6">
      <t>ヒョウジュン</t>
    </rPh>
    <rPh sb="6" eb="8">
      <t>ギジュツ</t>
    </rPh>
    <rPh sb="23" eb="25">
      <t>ヒフク</t>
    </rPh>
    <phoneticPr fontId="5"/>
  </si>
  <si>
    <t>５-１　作業別・旬別作業時間（ピオーネ，1ha当たり）</t>
    <phoneticPr fontId="5"/>
  </si>
  <si>
    <t>５-２　作業別・旬別作業時間（シャインマスカット加温ハウス，1ha当たり）</t>
    <rPh sb="24" eb="26">
      <t>カオン</t>
    </rPh>
    <phoneticPr fontId="5"/>
  </si>
  <si>
    <t>５-３　作業別・旬別作業時間（シャインマスカットトンネル被覆，1ha当たり）</t>
    <rPh sb="28" eb="30">
      <t>ヒフク</t>
    </rPh>
    <phoneticPr fontId="5"/>
  </si>
  <si>
    <t>６-１　固定資本装備と減価償却費（ピオーネトンネル被覆，1ha当たり・1年当たり）</t>
    <rPh sb="25" eb="27">
      <t>ヒフク</t>
    </rPh>
    <rPh sb="31" eb="32">
      <t>ア</t>
    </rPh>
    <rPh sb="36" eb="37">
      <t>ネン</t>
    </rPh>
    <rPh sb="37" eb="38">
      <t>ア</t>
    </rPh>
    <phoneticPr fontId="5"/>
  </si>
  <si>
    <t>６-２　固定資本装備と減価償却費（シャインマスカット　加温ハウス，1ha当たり・1年当たり）</t>
    <rPh sb="27" eb="29">
      <t>カオン</t>
    </rPh>
    <rPh sb="36" eb="37">
      <t>ア</t>
    </rPh>
    <rPh sb="41" eb="42">
      <t>ネン</t>
    </rPh>
    <rPh sb="42" eb="43">
      <t>ア</t>
    </rPh>
    <phoneticPr fontId="5"/>
  </si>
  <si>
    <t>６-３　固定資本装備と減価償却費（シャインマスカット　トンネル被覆，1ha当たり・1年当たり）</t>
    <rPh sb="31" eb="33">
      <t>ヒフク</t>
    </rPh>
    <rPh sb="37" eb="38">
      <t>ア</t>
    </rPh>
    <rPh sb="42" eb="43">
      <t>ネン</t>
    </rPh>
    <rPh sb="43" eb="44">
      <t>ア</t>
    </rPh>
    <phoneticPr fontId="5"/>
  </si>
  <si>
    <t>７-１　経営収支（ピオーネトンネル被覆部門，1ha当たり）</t>
    <rPh sb="17" eb="19">
      <t>ヒフク</t>
    </rPh>
    <rPh sb="19" eb="21">
      <t>ブモン</t>
    </rPh>
    <rPh sb="25" eb="26">
      <t>ア</t>
    </rPh>
    <phoneticPr fontId="5"/>
  </si>
  <si>
    <t>７-２　経営収支（シャインマスカット加温ハウス部門，1ha当たり）</t>
    <rPh sb="18" eb="20">
      <t>カオン</t>
    </rPh>
    <rPh sb="23" eb="25">
      <t>ブモン</t>
    </rPh>
    <rPh sb="29" eb="30">
      <t>ア</t>
    </rPh>
    <phoneticPr fontId="5"/>
  </si>
  <si>
    <t>７-３　経営収支（シャインマスカット　トンネル被覆部門，1ha当たり）</t>
    <rPh sb="23" eb="25">
      <t>ヒフク</t>
    </rPh>
    <rPh sb="25" eb="27">
      <t>ブモン</t>
    </rPh>
    <rPh sb="31" eb="32">
      <t>ア</t>
    </rPh>
    <phoneticPr fontId="5"/>
  </si>
  <si>
    <t>８-１　経費の算出基礎（ピオーネ　トンネル被覆，1ha当たり）</t>
    <rPh sb="4" eb="6">
      <t>ケイヒ</t>
    </rPh>
    <rPh sb="7" eb="9">
      <t>サンシュツ</t>
    </rPh>
    <rPh sb="9" eb="11">
      <t>キソ</t>
    </rPh>
    <rPh sb="21" eb="23">
      <t>ヒフク</t>
    </rPh>
    <rPh sb="27" eb="28">
      <t>ア</t>
    </rPh>
    <phoneticPr fontId="5"/>
  </si>
  <si>
    <t>８-２　経費の算出基礎（シャインマスカット　加温ハウス，1ha当たり）</t>
    <rPh sb="4" eb="6">
      <t>ケイヒ</t>
    </rPh>
    <rPh sb="7" eb="9">
      <t>サンシュツ</t>
    </rPh>
    <rPh sb="9" eb="11">
      <t>キソ</t>
    </rPh>
    <rPh sb="22" eb="24">
      <t>カオン</t>
    </rPh>
    <rPh sb="31" eb="32">
      <t>ア</t>
    </rPh>
    <phoneticPr fontId="5"/>
  </si>
  <si>
    <t>８-３　経費の算出基礎（シャインマスカット　トンネル被覆，1ha当たり）</t>
    <rPh sb="4" eb="6">
      <t>ケイヒ</t>
    </rPh>
    <rPh sb="7" eb="9">
      <t>サンシュツ</t>
    </rPh>
    <rPh sb="9" eb="11">
      <t>キソ</t>
    </rPh>
    <rPh sb="26" eb="28">
      <t>ヒフク</t>
    </rPh>
    <rPh sb="32" eb="33">
      <t>ア</t>
    </rPh>
    <phoneticPr fontId="5"/>
  </si>
  <si>
    <t>ビニール被覆，
除去</t>
    <rPh sb="4" eb="6">
      <t>ヒフク</t>
    </rPh>
    <rPh sb="8" eb="10">
      <t>ジョキョ</t>
    </rPh>
    <phoneticPr fontId="5"/>
  </si>
  <si>
    <t>3人</t>
    <rPh sb="1" eb="2">
      <t>ニン</t>
    </rPh>
    <phoneticPr fontId="5"/>
  </si>
  <si>
    <t>A</t>
    <phoneticPr fontId="5"/>
  </si>
  <si>
    <t>B</t>
    <phoneticPr fontId="5"/>
  </si>
  <si>
    <t>C</t>
    <phoneticPr fontId="5"/>
  </si>
  <si>
    <t>D</t>
    <phoneticPr fontId="5"/>
  </si>
  <si>
    <t>E</t>
    <phoneticPr fontId="5"/>
  </si>
  <si>
    <t>F</t>
    <phoneticPr fontId="5"/>
  </si>
  <si>
    <t>G</t>
    <phoneticPr fontId="5"/>
  </si>
  <si>
    <t>H</t>
    <phoneticPr fontId="5"/>
  </si>
  <si>
    <t>A</t>
    <phoneticPr fontId="5"/>
  </si>
  <si>
    <t>植調剤</t>
    <rPh sb="0" eb="1">
      <t>ショク</t>
    </rPh>
    <rPh sb="1" eb="2">
      <t>チョウ</t>
    </rPh>
    <rPh sb="2" eb="3">
      <t>ザイ</t>
    </rPh>
    <phoneticPr fontId="5"/>
  </si>
  <si>
    <t>硝酸入り化成肥料</t>
    <phoneticPr fontId="5"/>
  </si>
  <si>
    <t>液肥</t>
    <rPh sb="0" eb="2">
      <t>エキヒ</t>
    </rPh>
    <phoneticPr fontId="5"/>
  </si>
  <si>
    <t>ぶどう肥料</t>
    <rPh sb="3" eb="5">
      <t>ヒリョウ</t>
    </rPh>
    <phoneticPr fontId="5"/>
  </si>
  <si>
    <t>石灰質肥料</t>
    <rPh sb="0" eb="3">
      <t>セッカイシツ</t>
    </rPh>
    <rPh sb="3" eb="5">
      <t>ヒリョウ</t>
    </rPh>
    <phoneticPr fontId="5"/>
  </si>
  <si>
    <t>微量要素肥料</t>
    <rPh sb="0" eb="2">
      <t>ビリョウ</t>
    </rPh>
    <rPh sb="2" eb="4">
      <t>ヨウソ</t>
    </rPh>
    <rPh sb="4" eb="6">
      <t>ヒリョウ</t>
    </rPh>
    <phoneticPr fontId="5"/>
  </si>
  <si>
    <t>有機酸資材</t>
    <rPh sb="0" eb="3">
      <t>ユウキサン</t>
    </rPh>
    <rPh sb="3" eb="5">
      <t>シザイ</t>
    </rPh>
    <phoneticPr fontId="5"/>
  </si>
  <si>
    <t>土壌団粒化促進剤</t>
    <rPh sb="0" eb="2">
      <t>ドジョウ</t>
    </rPh>
    <rPh sb="2" eb="4">
      <t>ダンリュウ</t>
    </rPh>
    <rPh sb="4" eb="5">
      <t>カ</t>
    </rPh>
    <rPh sb="5" eb="8">
      <t>ソクシンザイ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</si>
</sst>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#,##0_);[Red]\(#,##0\)"/>
    <numFmt numFmtId="177" formatCode="#,##0;&quot;▲ &quot;#,##0"/>
    <numFmt numFmtId="178" formatCode="#,##0.0;&quot;▲ &quot;#,##0.0"/>
    <numFmt numFmtId="179" formatCode="#,##0.0_);[Red]\(#,##0.0\)"/>
    <numFmt numFmtId="180" formatCode="0\ &quot;年&quot;"/>
    <numFmt numFmtId="181" formatCode="#,##0;&quot;△ &quot;#,##0"/>
    <numFmt numFmtId="182" formatCode="0.0%"/>
    <numFmt numFmtId="183" formatCode="0.0_);[Red]\(0.0\)"/>
    <numFmt numFmtId="184" formatCode="0_ "/>
    <numFmt numFmtId="185" formatCode="#,##0.00_);[Red]\(#,##0.00\)"/>
    <numFmt numFmtId="186" formatCode="0.0&quot;ha&quot;"/>
    <numFmt numFmtId="187" formatCode="0_);[Red]\(0\)"/>
    <numFmt numFmtId="188" formatCode="#,##0_ ;[Red]\-#,##0\ "/>
  </numFmts>
  <fonts count="2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 tint="0.34998626667073579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/>
        <bgColor indexed="64"/>
      </patternFill>
    </fill>
  </fills>
  <borders count="302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dotted">
        <color indexed="8"/>
      </right>
      <top/>
      <bottom/>
      <diagonal/>
    </border>
    <border>
      <left style="dotted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dotted">
        <color indexed="8"/>
      </right>
      <top style="medium">
        <color indexed="8"/>
      </top>
      <bottom style="thin">
        <color indexed="8"/>
      </bottom>
      <diagonal/>
    </border>
    <border>
      <left style="dotted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4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7" fontId="15" fillId="0" borderId="0"/>
    <xf numFmtId="0" fontId="14" fillId="0" borderId="0"/>
    <xf numFmtId="38" fontId="2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</cellStyleXfs>
  <cellXfs count="1144">
    <xf numFmtId="0" fontId="0" fillId="0" borderId="0" xfId="0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left" vertical="center"/>
    </xf>
    <xf numFmtId="176" fontId="10" fillId="0" borderId="0" xfId="0" applyNumberFormat="1" applyFont="1" applyAlignment="1">
      <alignment vertical="center"/>
    </xf>
    <xf numFmtId="176" fontId="10" fillId="0" borderId="1" xfId="0" applyNumberFormat="1" applyFont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6" fontId="0" fillId="0" borderId="70" xfId="0" applyNumberFormat="1" applyBorder="1" applyAlignment="1">
      <alignment horizontal="center" vertical="center" shrinkToFit="1"/>
    </xf>
    <xf numFmtId="176" fontId="2" fillId="0" borderId="70" xfId="0" applyNumberFormat="1" applyFont="1" applyBorder="1" applyAlignment="1">
      <alignment horizontal="center" vertical="center" shrinkToFit="1"/>
    </xf>
    <xf numFmtId="179" fontId="2" fillId="0" borderId="70" xfId="0" applyNumberFormat="1" applyFont="1" applyBorder="1" applyAlignment="1">
      <alignment horizontal="center" vertical="center" shrinkToFit="1"/>
    </xf>
    <xf numFmtId="176" fontId="6" fillId="0" borderId="85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9" fontId="6" fillId="0" borderId="1" xfId="0" applyNumberFormat="1" applyFont="1" applyBorder="1" applyAlignment="1">
      <alignment horizontal="center" vertical="center" shrinkToFit="1"/>
    </xf>
    <xf numFmtId="176" fontId="0" fillId="0" borderId="1" xfId="0" applyNumberFormat="1" applyBorder="1" applyAlignment="1">
      <alignment vertical="center" shrinkToFit="1"/>
    </xf>
    <xf numFmtId="9" fontId="10" fillId="0" borderId="1" xfId="0" applyNumberFormat="1" applyFont="1" applyBorder="1" applyAlignment="1">
      <alignment vertical="center" shrinkToFit="1"/>
    </xf>
    <xf numFmtId="176" fontId="10" fillId="2" borderId="1" xfId="0" applyNumberFormat="1" applyFont="1" applyFill="1" applyBorder="1" applyAlignment="1">
      <alignment horizontal="center" vertical="center" shrinkToFit="1"/>
    </xf>
    <xf numFmtId="176" fontId="10" fillId="2" borderId="1" xfId="0" applyNumberFormat="1" applyFont="1" applyFill="1" applyBorder="1" applyAlignment="1">
      <alignment vertical="center" shrinkToFit="1"/>
    </xf>
    <xf numFmtId="176" fontId="10" fillId="2" borderId="1" xfId="0" applyNumberFormat="1" applyFont="1" applyFill="1" applyBorder="1" applyAlignment="1">
      <alignment horizontal="left" vertical="center" shrinkToFit="1"/>
    </xf>
    <xf numFmtId="179" fontId="10" fillId="2" borderId="1" xfId="0" applyNumberFormat="1" applyFont="1" applyFill="1" applyBorder="1" applyAlignment="1">
      <alignment vertical="center" shrinkToFit="1"/>
    </xf>
    <xf numFmtId="176" fontId="10" fillId="0" borderId="1" xfId="0" applyNumberFormat="1" applyFont="1" applyFill="1" applyBorder="1" applyAlignment="1">
      <alignment vertical="center" shrinkToFit="1"/>
    </xf>
    <xf numFmtId="176" fontId="10" fillId="2" borderId="10" xfId="0" applyNumberFormat="1" applyFont="1" applyFill="1" applyBorder="1" applyAlignment="1">
      <alignment vertical="center" shrinkToFit="1"/>
    </xf>
    <xf numFmtId="176" fontId="10" fillId="0" borderId="80" xfId="0" applyNumberFormat="1" applyFont="1" applyBorder="1" applyAlignment="1">
      <alignment horizontal="center" vertical="center" shrinkToFit="1"/>
    </xf>
    <xf numFmtId="176" fontId="10" fillId="0" borderId="81" xfId="0" applyNumberFormat="1" applyFont="1" applyFill="1" applyBorder="1" applyAlignment="1">
      <alignment vertical="center" shrinkToFit="1"/>
    </xf>
    <xf numFmtId="176" fontId="10" fillId="0" borderId="19" xfId="0" applyNumberFormat="1" applyFont="1" applyFill="1" applyBorder="1" applyAlignment="1">
      <alignment vertical="center" shrinkToFit="1"/>
    </xf>
    <xf numFmtId="176" fontId="10" fillId="0" borderId="19" xfId="0" applyNumberFormat="1" applyFont="1" applyFill="1" applyBorder="1" applyAlignment="1">
      <alignment horizontal="left" vertical="center" shrinkToFit="1"/>
    </xf>
    <xf numFmtId="179" fontId="10" fillId="0" borderId="19" xfId="0" applyNumberFormat="1" applyFont="1" applyFill="1" applyBorder="1" applyAlignment="1">
      <alignment vertical="center" shrinkToFit="1"/>
    </xf>
    <xf numFmtId="9" fontId="10" fillId="0" borderId="1" xfId="0" applyNumberFormat="1" applyFont="1" applyFill="1" applyBorder="1" applyAlignment="1">
      <alignment vertical="center" shrinkToFit="1"/>
    </xf>
    <xf numFmtId="9" fontId="10" fillId="0" borderId="1" xfId="4" applyFont="1" applyBorder="1" applyAlignment="1">
      <alignment vertical="center" shrinkToFit="1"/>
    </xf>
    <xf numFmtId="182" fontId="10" fillId="0" borderId="1" xfId="4" applyNumberFormat="1" applyFont="1" applyBorder="1" applyAlignment="1">
      <alignment vertical="center" shrinkToFit="1"/>
    </xf>
    <xf numFmtId="176" fontId="10" fillId="0" borderId="85" xfId="0" applyNumberFormat="1" applyFont="1" applyBorder="1" applyAlignment="1">
      <alignment vertical="center" shrinkToFit="1"/>
    </xf>
    <xf numFmtId="9" fontId="10" fillId="0" borderId="85" xfId="0" applyNumberFormat="1" applyFont="1" applyBorder="1" applyAlignment="1">
      <alignment vertical="center" shrinkToFit="1"/>
    </xf>
    <xf numFmtId="182" fontId="10" fillId="0" borderId="85" xfId="4" applyNumberFormat="1" applyFont="1" applyBorder="1" applyAlignment="1">
      <alignment vertical="center" shrinkToFit="1"/>
    </xf>
    <xf numFmtId="176" fontId="0" fillId="0" borderId="85" xfId="0" applyNumberFormat="1" applyBorder="1" applyAlignment="1">
      <alignment vertical="center" shrinkToFit="1"/>
    </xf>
    <xf numFmtId="176" fontId="10" fillId="0" borderId="85" xfId="0" applyNumberFormat="1" applyFont="1" applyBorder="1" applyAlignment="1">
      <alignment horizontal="right" vertical="center" shrinkToFit="1"/>
    </xf>
    <xf numFmtId="176" fontId="10" fillId="0" borderId="85" xfId="0" applyNumberFormat="1" applyFont="1" applyBorder="1" applyAlignment="1">
      <alignment horizontal="left" vertical="center" shrinkToFit="1"/>
    </xf>
    <xf numFmtId="49" fontId="10" fillId="0" borderId="85" xfId="0" applyNumberFormat="1" applyFont="1" applyBorder="1" applyAlignment="1">
      <alignment vertical="center" shrinkToFit="1"/>
    </xf>
    <xf numFmtId="176" fontId="10" fillId="2" borderId="85" xfId="0" applyNumberFormat="1" applyFont="1" applyFill="1" applyBorder="1" applyAlignment="1">
      <alignment vertical="center" shrinkToFit="1"/>
    </xf>
    <xf numFmtId="176" fontId="10" fillId="2" borderId="85" xfId="0" applyNumberFormat="1" applyFont="1" applyFill="1" applyBorder="1" applyAlignment="1">
      <alignment horizontal="left" vertical="center" shrinkToFit="1"/>
    </xf>
    <xf numFmtId="179" fontId="10" fillId="2" borderId="85" xfId="0" applyNumberFormat="1" applyFont="1" applyFill="1" applyBorder="1" applyAlignment="1">
      <alignment vertical="center" shrinkToFit="1"/>
    </xf>
    <xf numFmtId="9" fontId="10" fillId="0" borderId="85" xfId="4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38" fontId="0" fillId="0" borderId="0" xfId="1" applyFont="1" applyAlignment="1">
      <alignment vertical="center"/>
    </xf>
    <xf numFmtId="0" fontId="0" fillId="0" borderId="73" xfId="0" applyFont="1" applyBorder="1" applyAlignment="1">
      <alignment horizontal="center" vertical="center"/>
    </xf>
    <xf numFmtId="180" fontId="0" fillId="0" borderId="73" xfId="1" applyNumberFormat="1" applyFont="1" applyBorder="1" applyAlignment="1">
      <alignment horizontal="center" vertical="center"/>
    </xf>
    <xf numFmtId="0" fontId="0" fillId="0" borderId="33" xfId="0" applyFont="1" applyBorder="1" applyAlignment="1">
      <alignment vertical="center" wrapText="1"/>
    </xf>
    <xf numFmtId="0" fontId="0" fillId="0" borderId="62" xfId="0" applyFont="1" applyBorder="1" applyAlignment="1">
      <alignment vertical="center"/>
    </xf>
    <xf numFmtId="181" fontId="0" fillId="0" borderId="35" xfId="0" applyNumberFormat="1" applyFont="1" applyBorder="1" applyAlignment="1">
      <alignment horizontal="right" vertical="center"/>
    </xf>
    <xf numFmtId="38" fontId="0" fillId="0" borderId="57" xfId="1" applyFont="1" applyBorder="1" applyAlignment="1">
      <alignment vertical="center" shrinkToFit="1"/>
    </xf>
    <xf numFmtId="0" fontId="0" fillId="0" borderId="32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181" fontId="0" fillId="0" borderId="37" xfId="0" applyNumberFormat="1" applyFont="1" applyBorder="1" applyAlignment="1">
      <alignment horizontal="right" vertical="center"/>
    </xf>
    <xf numFmtId="38" fontId="0" fillId="0" borderId="58" xfId="1" applyFont="1" applyBorder="1" applyAlignment="1">
      <alignment vertical="center" shrinkToFit="1"/>
    </xf>
    <xf numFmtId="181" fontId="0" fillId="3" borderId="37" xfId="0" applyNumberFormat="1" applyFont="1" applyFill="1" applyBorder="1" applyAlignment="1">
      <alignment horizontal="right" vertical="center"/>
    </xf>
    <xf numFmtId="181" fontId="0" fillId="3" borderId="39" xfId="0" applyNumberFormat="1" applyFont="1" applyFill="1" applyBorder="1" applyAlignment="1">
      <alignment horizontal="right" vertical="center"/>
    </xf>
    <xf numFmtId="181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181" fontId="0" fillId="4" borderId="37" xfId="0" applyNumberFormat="1" applyFont="1" applyFill="1" applyBorder="1" applyAlignment="1">
      <alignment horizontal="right" vertical="center"/>
    </xf>
    <xf numFmtId="181" fontId="0" fillId="0" borderId="32" xfId="0" applyNumberFormat="1" applyFont="1" applyBorder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0" fontId="11" fillId="0" borderId="37" xfId="0" applyFont="1" applyBorder="1" applyAlignment="1">
      <alignment vertical="center"/>
    </xf>
    <xf numFmtId="181" fontId="0" fillId="4" borderId="59" xfId="0" applyNumberFormat="1" applyFont="1" applyFill="1" applyBorder="1" applyAlignment="1">
      <alignment horizontal="right" vertical="center"/>
    </xf>
    <xf numFmtId="38" fontId="0" fillId="0" borderId="60" xfId="1" applyFont="1" applyBorder="1" applyAlignment="1">
      <alignment vertical="center" shrinkToFit="1"/>
    </xf>
    <xf numFmtId="181" fontId="0" fillId="3" borderId="40" xfId="1" applyNumberFormat="1" applyFont="1" applyFill="1" applyBorder="1" applyAlignment="1">
      <alignment horizontal="right" vertical="center"/>
    </xf>
    <xf numFmtId="38" fontId="0" fillId="0" borderId="61" xfId="1" applyFont="1" applyBorder="1" applyAlignment="1">
      <alignment vertical="center" shrinkToFit="1"/>
    </xf>
    <xf numFmtId="0" fontId="0" fillId="0" borderId="109" xfId="0" applyFont="1" applyBorder="1" applyAlignment="1">
      <alignment vertical="center"/>
    </xf>
    <xf numFmtId="0" fontId="0" fillId="0" borderId="112" xfId="0" applyFont="1" applyBorder="1" applyAlignment="1">
      <alignment vertical="center"/>
    </xf>
    <xf numFmtId="181" fontId="0" fillId="0" borderId="73" xfId="1" applyNumberFormat="1" applyFont="1" applyBorder="1" applyAlignment="1">
      <alignment horizontal="right" vertical="center"/>
    </xf>
    <xf numFmtId="181" fontId="0" fillId="0" borderId="112" xfId="0" applyNumberFormat="1" applyFont="1" applyBorder="1" applyAlignment="1">
      <alignment horizontal="right" vertical="center"/>
    </xf>
    <xf numFmtId="181" fontId="0" fillId="0" borderId="24" xfId="1" applyNumberFormat="1" applyFont="1" applyBorder="1" applyAlignment="1">
      <alignment horizontal="right" vertical="center"/>
    </xf>
    <xf numFmtId="38" fontId="0" fillId="0" borderId="64" xfId="1" applyFont="1" applyBorder="1" applyAlignment="1">
      <alignment vertical="center" shrinkToFit="1"/>
    </xf>
    <xf numFmtId="0" fontId="0" fillId="0" borderId="32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181" fontId="0" fillId="0" borderId="38" xfId="1" applyNumberFormat="1" applyFont="1" applyBorder="1" applyAlignment="1">
      <alignment horizontal="right" vertical="center"/>
    </xf>
    <xf numFmtId="38" fontId="0" fillId="0" borderId="63" xfId="1" applyFont="1" applyBorder="1" applyAlignment="1">
      <alignment vertical="center" shrinkToFit="1"/>
    </xf>
    <xf numFmtId="181" fontId="0" fillId="4" borderId="45" xfId="1" applyNumberFormat="1" applyFont="1" applyFill="1" applyBorder="1" applyAlignment="1">
      <alignment horizontal="right" vertical="center"/>
    </xf>
    <xf numFmtId="181" fontId="0" fillId="3" borderId="46" xfId="1" applyNumberFormat="1" applyFont="1" applyFill="1" applyBorder="1" applyAlignment="1">
      <alignment horizontal="right" vertical="center"/>
    </xf>
    <xf numFmtId="176" fontId="0" fillId="0" borderId="1" xfId="0" applyNumberFormat="1" applyFont="1" applyBorder="1" applyAlignment="1">
      <alignment vertical="center" shrinkToFit="1"/>
    </xf>
    <xf numFmtId="176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left" vertical="center"/>
    </xf>
    <xf numFmtId="176" fontId="0" fillId="0" borderId="70" xfId="0" applyNumberFormat="1" applyFont="1" applyBorder="1" applyAlignment="1">
      <alignment horizontal="center" vertical="center" shrinkToFit="1"/>
    </xf>
    <xf numFmtId="179" fontId="0" fillId="0" borderId="70" xfId="0" applyNumberFormat="1" applyFont="1" applyBorder="1" applyAlignment="1">
      <alignment horizontal="center" vertical="center" shrinkToFit="1"/>
    </xf>
    <xf numFmtId="176" fontId="0" fillId="0" borderId="85" xfId="0" applyNumberFormat="1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179" fontId="0" fillId="0" borderId="1" xfId="0" applyNumberFormat="1" applyFont="1" applyBorder="1" applyAlignment="1">
      <alignment horizontal="center" vertical="center" shrinkToFit="1"/>
    </xf>
    <xf numFmtId="182" fontId="0" fillId="0" borderId="1" xfId="4" applyNumberFormat="1" applyFont="1" applyBorder="1" applyAlignment="1">
      <alignment vertical="center" shrinkToFit="1"/>
    </xf>
    <xf numFmtId="9" fontId="0" fillId="0" borderId="1" xfId="0" applyNumberFormat="1" applyFont="1" applyBorder="1" applyAlignment="1">
      <alignment vertical="center" shrinkToFit="1"/>
    </xf>
    <xf numFmtId="176" fontId="0" fillId="0" borderId="1" xfId="0" applyNumberFormat="1" applyFont="1" applyBorder="1" applyAlignment="1">
      <alignment horizontal="right" vertical="center" shrinkToFit="1"/>
    </xf>
    <xf numFmtId="176" fontId="0" fillId="0" borderId="1" xfId="0" applyNumberFormat="1" applyFont="1" applyBorder="1" applyAlignment="1">
      <alignment horizontal="left" vertical="center" shrinkToFit="1"/>
    </xf>
    <xf numFmtId="176" fontId="0" fillId="2" borderId="1" xfId="0" applyNumberFormat="1" applyFont="1" applyFill="1" applyBorder="1" applyAlignment="1">
      <alignment horizontal="center" vertical="center" shrinkToFit="1"/>
    </xf>
    <xf numFmtId="176" fontId="0" fillId="2" borderId="1" xfId="0" applyNumberFormat="1" applyFont="1" applyFill="1" applyBorder="1" applyAlignment="1">
      <alignment vertical="center" shrinkToFit="1"/>
    </xf>
    <xf numFmtId="176" fontId="0" fillId="2" borderId="1" xfId="0" applyNumberFormat="1" applyFont="1" applyFill="1" applyBorder="1" applyAlignment="1">
      <alignment horizontal="left" vertical="center" shrinkToFit="1"/>
    </xf>
    <xf numFmtId="179" fontId="0" fillId="2" borderId="1" xfId="0" applyNumberFormat="1" applyFont="1" applyFill="1" applyBorder="1" applyAlignment="1">
      <alignment vertical="center" shrinkToFit="1"/>
    </xf>
    <xf numFmtId="9" fontId="0" fillId="0" borderId="1" xfId="0" applyNumberFormat="1" applyFont="1" applyFill="1" applyBorder="1" applyAlignment="1">
      <alignment vertical="center" shrinkToFit="1"/>
    </xf>
    <xf numFmtId="176" fontId="0" fillId="0" borderId="1" xfId="0" applyNumberFormat="1" applyFont="1" applyFill="1" applyBorder="1" applyAlignment="1">
      <alignment vertical="center" shrinkToFit="1"/>
    </xf>
    <xf numFmtId="49" fontId="0" fillId="0" borderId="1" xfId="0" applyNumberFormat="1" applyFont="1" applyBorder="1" applyAlignment="1">
      <alignment vertical="center" shrinkToFit="1"/>
    </xf>
    <xf numFmtId="9" fontId="0" fillId="0" borderId="1" xfId="4" applyFont="1" applyBorder="1" applyAlignment="1">
      <alignment vertical="center" shrinkToFit="1"/>
    </xf>
    <xf numFmtId="176" fontId="0" fillId="2" borderId="10" xfId="0" applyNumberFormat="1" applyFont="1" applyFill="1" applyBorder="1" applyAlignment="1">
      <alignment vertical="center" shrinkToFit="1"/>
    </xf>
    <xf numFmtId="176" fontId="0" fillId="0" borderId="80" xfId="0" applyNumberFormat="1" applyFont="1" applyBorder="1" applyAlignment="1">
      <alignment horizontal="center" vertical="center" shrinkToFit="1"/>
    </xf>
    <xf numFmtId="176" fontId="0" fillId="0" borderId="81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horizontal="left" vertical="center" shrinkToFit="1"/>
    </xf>
    <xf numFmtId="179" fontId="0" fillId="0" borderId="19" xfId="0" applyNumberFormat="1" applyFont="1" applyFill="1" applyBorder="1" applyAlignment="1">
      <alignment vertical="center" shrinkToFit="1"/>
    </xf>
    <xf numFmtId="176" fontId="0" fillId="0" borderId="1" xfId="0" applyNumberFormat="1" applyFont="1" applyBorder="1" applyAlignment="1">
      <alignment horizontal="center" vertical="center"/>
    </xf>
    <xf numFmtId="176" fontId="0" fillId="0" borderId="67" xfId="0" applyNumberFormat="1" applyFont="1" applyBorder="1" applyAlignment="1">
      <alignment horizontal="center" vertical="center"/>
    </xf>
    <xf numFmtId="176" fontId="0" fillId="0" borderId="66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55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horizontal="left" vertical="center" indent="1"/>
    </xf>
    <xf numFmtId="179" fontId="0" fillId="0" borderId="1" xfId="0" applyNumberFormat="1" applyFont="1" applyBorder="1" applyAlignment="1">
      <alignment vertical="center" shrinkToFit="1"/>
    </xf>
    <xf numFmtId="179" fontId="0" fillId="0" borderId="66" xfId="0" applyNumberFormat="1" applyFont="1" applyBorder="1" applyAlignment="1">
      <alignment vertical="center" shrinkToFit="1"/>
    </xf>
    <xf numFmtId="179" fontId="0" fillId="0" borderId="2" xfId="0" applyNumberFormat="1" applyFont="1" applyBorder="1" applyAlignment="1">
      <alignment vertical="center" shrinkToFit="1"/>
    </xf>
    <xf numFmtId="176" fontId="0" fillId="0" borderId="7" xfId="0" applyNumberFormat="1" applyFont="1" applyBorder="1" applyAlignment="1">
      <alignment horizontal="center" vertical="center"/>
    </xf>
    <xf numFmtId="179" fontId="0" fillId="0" borderId="67" xfId="0" applyNumberFormat="1" applyFont="1" applyBorder="1" applyAlignment="1">
      <alignment vertical="center" shrinkToFit="1"/>
    </xf>
    <xf numFmtId="179" fontId="0" fillId="0" borderId="8" xfId="0" applyNumberFormat="1" applyFont="1" applyBorder="1" applyAlignment="1">
      <alignment vertical="center" shrinkToFit="1"/>
    </xf>
    <xf numFmtId="176" fontId="0" fillId="0" borderId="68" xfId="0" applyNumberFormat="1" applyFont="1" applyBorder="1" applyAlignment="1">
      <alignment horizontal="center" vertical="center"/>
    </xf>
    <xf numFmtId="179" fontId="0" fillId="0" borderId="19" xfId="0" applyNumberFormat="1" applyFont="1" applyBorder="1" applyAlignment="1">
      <alignment vertical="center" shrinkToFit="1"/>
    </xf>
    <xf numFmtId="179" fontId="0" fillId="0" borderId="18" xfId="0" applyNumberFormat="1" applyFont="1" applyBorder="1" applyAlignment="1">
      <alignment vertical="center" shrinkToFit="1"/>
    </xf>
    <xf numFmtId="179" fontId="0" fillId="0" borderId="69" xfId="0" applyNumberFormat="1" applyFont="1" applyBorder="1" applyAlignment="1">
      <alignment vertical="center" shrinkToFit="1"/>
    </xf>
    <xf numFmtId="0" fontId="2" fillId="0" borderId="0" xfId="2" applyFont="1" applyBorder="1" applyAlignment="1">
      <alignment vertical="center"/>
    </xf>
    <xf numFmtId="0" fontId="2" fillId="0" borderId="0" xfId="2" applyFont="1" applyAlignment="1">
      <alignment vertical="center"/>
    </xf>
    <xf numFmtId="0" fontId="2" fillId="0" borderId="85" xfId="2" applyFont="1" applyBorder="1" applyAlignment="1">
      <alignment vertical="center" wrapText="1"/>
    </xf>
    <xf numFmtId="0" fontId="2" fillId="0" borderId="106" xfId="2" applyFont="1" applyBorder="1" applyAlignment="1">
      <alignment horizontal="center" vertical="center" wrapText="1"/>
    </xf>
    <xf numFmtId="0" fontId="2" fillId="0" borderId="107" xfId="2" applyFont="1" applyBorder="1" applyAlignment="1">
      <alignment horizontal="center" vertical="center" wrapText="1"/>
    </xf>
    <xf numFmtId="0" fontId="13" fillId="0" borderId="0" xfId="2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9" fillId="0" borderId="0" xfId="2" applyFont="1" applyAlignment="1">
      <alignment horizontal="justify" vertical="center"/>
    </xf>
    <xf numFmtId="0" fontId="2" fillId="0" borderId="47" xfId="2" applyFont="1" applyBorder="1" applyAlignment="1">
      <alignment horizontal="center" vertical="center" wrapText="1"/>
    </xf>
    <xf numFmtId="0" fontId="2" fillId="0" borderId="113" xfId="2" applyFont="1" applyBorder="1" applyAlignment="1">
      <alignment horizontal="center" vertical="center" wrapText="1"/>
    </xf>
    <xf numFmtId="0" fontId="2" fillId="0" borderId="114" xfId="2" applyFont="1" applyBorder="1" applyAlignment="1">
      <alignment horizontal="center" vertical="center" wrapText="1"/>
    </xf>
    <xf numFmtId="0" fontId="2" fillId="0" borderId="16" xfId="2" applyFont="1" applyBorder="1" applyAlignment="1">
      <alignment vertical="center" wrapText="1"/>
    </xf>
    <xf numFmtId="0" fontId="2" fillId="0" borderId="0" xfId="2" applyFont="1" applyBorder="1" applyAlignment="1">
      <alignment horizontal="center" vertical="center" wrapText="1"/>
    </xf>
    <xf numFmtId="0" fontId="2" fillId="0" borderId="28" xfId="2" applyFont="1" applyBorder="1" applyAlignment="1">
      <alignment horizontal="center" vertical="center" wrapText="1"/>
    </xf>
    <xf numFmtId="0" fontId="2" fillId="0" borderId="29" xfId="2" applyFont="1" applyBorder="1" applyAlignment="1">
      <alignment horizontal="center" vertical="center" wrapText="1"/>
    </xf>
    <xf numFmtId="0" fontId="9" fillId="0" borderId="30" xfId="2" applyFont="1" applyBorder="1" applyAlignment="1">
      <alignment vertical="center" wrapText="1"/>
    </xf>
    <xf numFmtId="0" fontId="2" fillId="0" borderId="0" xfId="2" applyFont="1" applyAlignment="1">
      <alignment vertical="center" wrapText="1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177" fontId="0" fillId="0" borderId="4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vertical="center" shrinkToFit="1"/>
    </xf>
    <xf numFmtId="177" fontId="0" fillId="0" borderId="10" xfId="0" applyNumberFormat="1" applyFont="1" applyBorder="1" applyAlignment="1">
      <alignment vertical="center" shrinkToFit="1"/>
    </xf>
    <xf numFmtId="177" fontId="0" fillId="2" borderId="10" xfId="0" applyNumberFormat="1" applyFont="1" applyFill="1" applyBorder="1" applyAlignment="1">
      <alignment horizontal="center" vertical="center" shrinkToFit="1"/>
    </xf>
    <xf numFmtId="177" fontId="0" fillId="2" borderId="103" xfId="0" applyNumberFormat="1" applyFont="1" applyFill="1" applyBorder="1" applyAlignment="1">
      <alignment vertical="center" shrinkToFit="1"/>
    </xf>
    <xf numFmtId="178" fontId="0" fillId="2" borderId="103" xfId="0" applyNumberFormat="1" applyFont="1" applyFill="1" applyBorder="1" applyAlignment="1">
      <alignment vertical="center" shrinkToFit="1"/>
    </xf>
    <xf numFmtId="177" fontId="0" fillId="0" borderId="0" xfId="0" applyNumberFormat="1" applyFont="1" applyFill="1" applyBorder="1" applyAlignment="1">
      <alignment vertical="center"/>
    </xf>
    <xf numFmtId="177" fontId="0" fillId="2" borderId="17" xfId="0" applyNumberFormat="1" applyFont="1" applyFill="1" applyBorder="1" applyAlignment="1">
      <alignment vertical="center"/>
    </xf>
    <xf numFmtId="177" fontId="0" fillId="2" borderId="11" xfId="0" applyNumberFormat="1" applyFont="1" applyFill="1" applyBorder="1" applyAlignment="1">
      <alignment vertical="center"/>
    </xf>
    <xf numFmtId="177" fontId="0" fillId="0" borderId="14" xfId="3" applyNumberFormat="1" applyFont="1" applyBorder="1" applyAlignment="1">
      <alignment vertical="center" shrinkToFit="1"/>
    </xf>
    <xf numFmtId="177" fontId="0" fillId="0" borderId="14" xfId="0" applyNumberFormat="1" applyFont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horizontal="left" vertical="center"/>
    </xf>
    <xf numFmtId="177" fontId="0" fillId="0" borderId="15" xfId="0" applyNumberFormat="1" applyFont="1" applyBorder="1" applyAlignment="1">
      <alignment vertical="center"/>
    </xf>
    <xf numFmtId="177" fontId="0" fillId="0" borderId="0" xfId="3" applyNumberFormat="1" applyFont="1" applyAlignment="1">
      <alignment vertical="center"/>
    </xf>
    <xf numFmtId="177" fontId="0" fillId="0" borderId="0" xfId="3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7" fontId="0" fillId="2" borderId="18" xfId="0" applyNumberFormat="1" applyFont="1" applyFill="1" applyBorder="1" applyAlignment="1">
      <alignment vertical="center"/>
    </xf>
    <xf numFmtId="177" fontId="0" fillId="2" borderId="19" xfId="0" applyNumberFormat="1" applyFont="1" applyFill="1" applyBorder="1" applyAlignment="1">
      <alignment vertical="center"/>
    </xf>
    <xf numFmtId="177" fontId="0" fillId="0" borderId="36" xfId="3" applyNumberFormat="1" applyFont="1" applyBorder="1" applyAlignment="1">
      <alignment vertical="center"/>
    </xf>
    <xf numFmtId="181" fontId="0" fillId="0" borderId="43" xfId="1" applyNumberFormat="1" applyFont="1" applyBorder="1" applyAlignment="1">
      <alignment vertical="center"/>
    </xf>
    <xf numFmtId="177" fontId="0" fillId="0" borderId="44" xfId="3" applyNumberFormat="1" applyFont="1" applyBorder="1" applyAlignment="1">
      <alignment vertical="center"/>
    </xf>
    <xf numFmtId="176" fontId="0" fillId="0" borderId="0" xfId="0" applyNumberFormat="1" applyFont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177" fontId="0" fillId="0" borderId="5" xfId="0" applyNumberFormat="1" applyFont="1" applyBorder="1" applyAlignment="1">
      <alignment horizontal="center" vertical="center" shrinkToFit="1"/>
    </xf>
    <xf numFmtId="177" fontId="0" fillId="2" borderId="1" xfId="0" applyNumberFormat="1" applyFont="1" applyFill="1" applyBorder="1" applyAlignment="1">
      <alignment vertical="center" shrinkToFit="1"/>
    </xf>
    <xf numFmtId="177" fontId="0" fillId="0" borderId="1" xfId="3" applyNumberFormat="1" applyFont="1" applyBorder="1" applyAlignment="1">
      <alignment vertical="center" shrinkToFit="1"/>
    </xf>
    <xf numFmtId="177" fontId="0" fillId="0" borderId="85" xfId="0" applyNumberFormat="1" applyFont="1" applyFill="1" applyBorder="1" applyAlignment="1">
      <alignment vertical="center"/>
    </xf>
    <xf numFmtId="177" fontId="0" fillId="0" borderId="85" xfId="0" applyNumberFormat="1" applyFont="1" applyFill="1" applyBorder="1" applyAlignment="1">
      <alignment vertical="center"/>
    </xf>
    <xf numFmtId="177" fontId="0" fillId="0" borderId="85" xfId="0" applyNumberFormat="1" applyFont="1" applyBorder="1" applyAlignment="1">
      <alignment vertical="center" shrinkToFit="1"/>
    </xf>
    <xf numFmtId="177" fontId="0" fillId="0" borderId="13" xfId="0" applyNumberFormat="1" applyFont="1" applyBorder="1" applyAlignment="1">
      <alignment vertical="center" shrinkToFit="1"/>
    </xf>
    <xf numFmtId="176" fontId="0" fillId="0" borderId="105" xfId="0" applyNumberFormat="1" applyFont="1" applyBorder="1" applyAlignment="1">
      <alignment horizontal="center" vertical="center" shrinkToFit="1"/>
    </xf>
    <xf numFmtId="176" fontId="0" fillId="0" borderId="72" xfId="0" applyNumberFormat="1" applyFont="1" applyBorder="1" applyAlignment="1">
      <alignment vertical="center" shrinkToFit="1"/>
    </xf>
    <xf numFmtId="176" fontId="0" fillId="0" borderId="2" xfId="0" applyNumberFormat="1" applyFont="1" applyBorder="1" applyAlignment="1">
      <alignment vertical="center" shrinkToFit="1"/>
    </xf>
    <xf numFmtId="176" fontId="0" fillId="2" borderId="103" xfId="0" applyNumberFormat="1" applyFont="1" applyFill="1" applyBorder="1" applyAlignment="1">
      <alignment vertical="center" shrinkToFit="1"/>
    </xf>
    <xf numFmtId="176" fontId="0" fillId="2" borderId="117" xfId="0" applyNumberFormat="1" applyFont="1" applyFill="1" applyBorder="1" applyAlignment="1">
      <alignment vertical="center" shrinkToFit="1"/>
    </xf>
    <xf numFmtId="176" fontId="0" fillId="2" borderId="11" xfId="0" applyNumberFormat="1" applyFont="1" applyFill="1" applyBorder="1" applyAlignment="1">
      <alignment horizontal="center" vertical="center" shrinkToFit="1"/>
    </xf>
    <xf numFmtId="176" fontId="0" fillId="2" borderId="11" xfId="0" applyNumberFormat="1" applyFont="1" applyFill="1" applyBorder="1" applyAlignment="1">
      <alignment vertical="center" shrinkToFit="1"/>
    </xf>
    <xf numFmtId="176" fontId="0" fillId="2" borderId="118" xfId="0" applyNumberFormat="1" applyFont="1" applyFill="1" applyBorder="1" applyAlignment="1">
      <alignment vertical="center" shrinkToFit="1"/>
    </xf>
    <xf numFmtId="176" fontId="0" fillId="2" borderId="19" xfId="0" applyNumberFormat="1" applyFont="1" applyFill="1" applyBorder="1" applyAlignment="1">
      <alignment horizontal="center" vertical="center" shrinkToFit="1"/>
    </xf>
    <xf numFmtId="176" fontId="0" fillId="2" borderId="19" xfId="0" applyNumberFormat="1" applyFont="1" applyFill="1" applyBorder="1" applyAlignment="1">
      <alignment vertical="center" shrinkToFit="1"/>
    </xf>
    <xf numFmtId="176" fontId="0" fillId="2" borderId="69" xfId="0" applyNumberFormat="1" applyFont="1" applyFill="1" applyBorder="1" applyAlignment="1">
      <alignment vertical="center" shrinkToFit="1"/>
    </xf>
    <xf numFmtId="176" fontId="0" fillId="0" borderId="24" xfId="0" applyNumberFormat="1" applyFont="1" applyBorder="1" applyAlignment="1">
      <alignment vertical="center" shrinkToFit="1"/>
    </xf>
    <xf numFmtId="176" fontId="0" fillId="0" borderId="53" xfId="0" applyNumberFormat="1" applyFont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horizontal="left" vertical="center"/>
    </xf>
    <xf numFmtId="176" fontId="0" fillId="6" borderId="19" xfId="0" applyNumberFormat="1" applyFont="1" applyFill="1" applyBorder="1" applyAlignment="1">
      <alignment vertical="center" shrinkToFit="1"/>
    </xf>
    <xf numFmtId="176" fontId="0" fillId="6" borderId="117" xfId="0" applyNumberFormat="1" applyFont="1" applyFill="1" applyBorder="1" applyAlignment="1">
      <alignment vertical="center" shrinkToFit="1"/>
    </xf>
    <xf numFmtId="179" fontId="0" fillId="0" borderId="122" xfId="0" applyNumberFormat="1" applyFont="1" applyBorder="1" applyAlignment="1">
      <alignment horizontal="center" vertical="center" shrinkToFit="1"/>
    </xf>
    <xf numFmtId="176" fontId="0" fillId="6" borderId="107" xfId="0" applyNumberFormat="1" applyFont="1" applyFill="1" applyBorder="1" applyAlignment="1">
      <alignment vertical="center" shrinkToFit="1"/>
    </xf>
    <xf numFmtId="179" fontId="0" fillId="0" borderId="125" xfId="0" applyNumberFormat="1" applyFont="1" applyBorder="1" applyAlignment="1">
      <alignment horizontal="center" vertical="center" shrinkToFit="1"/>
    </xf>
    <xf numFmtId="183" fontId="0" fillId="0" borderId="1" xfId="0" applyNumberFormat="1" applyFont="1" applyBorder="1" applyAlignment="1">
      <alignment vertical="center" shrinkToFit="1"/>
    </xf>
    <xf numFmtId="183" fontId="0" fillId="6" borderId="103" xfId="0" applyNumberFormat="1" applyFont="1" applyFill="1" applyBorder="1" applyAlignment="1">
      <alignment vertical="center" shrinkToFit="1"/>
    </xf>
    <xf numFmtId="183" fontId="0" fillId="6" borderId="50" xfId="0" applyNumberFormat="1" applyFont="1" applyFill="1" applyBorder="1" applyAlignment="1">
      <alignment vertical="center" shrinkToFit="1"/>
    </xf>
    <xf numFmtId="183" fontId="0" fillId="6" borderId="22" xfId="0" applyNumberFormat="1" applyFont="1" applyFill="1" applyBorder="1" applyAlignment="1">
      <alignment vertical="center" shrinkToFit="1"/>
    </xf>
    <xf numFmtId="183" fontId="0" fillId="6" borderId="119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Alignment="1">
      <alignment vertical="center"/>
    </xf>
    <xf numFmtId="183" fontId="0" fillId="6" borderId="106" xfId="0" applyNumberFormat="1" applyFont="1" applyFill="1" applyBorder="1" applyAlignment="1">
      <alignment vertical="center" shrinkToFit="1"/>
    </xf>
    <xf numFmtId="183" fontId="0" fillId="6" borderId="127" xfId="0" applyNumberFormat="1" applyFont="1" applyFill="1" applyBorder="1" applyAlignment="1">
      <alignment vertical="center" shrinkToFit="1"/>
    </xf>
    <xf numFmtId="177" fontId="0" fillId="0" borderId="72" xfId="0" applyNumberFormat="1" applyFont="1" applyBorder="1" applyAlignment="1">
      <alignment vertical="center" shrinkToFit="1"/>
    </xf>
    <xf numFmtId="177" fontId="0" fillId="2" borderId="128" xfId="0" applyNumberFormat="1" applyFont="1" applyFill="1" applyBorder="1" applyAlignment="1">
      <alignment vertical="center" shrinkToFit="1"/>
    </xf>
    <xf numFmtId="177" fontId="0" fillId="2" borderId="106" xfId="0" applyNumberFormat="1" applyFont="1" applyFill="1" applyBorder="1" applyAlignment="1">
      <alignment vertical="center" shrinkToFit="1"/>
    </xf>
    <xf numFmtId="177" fontId="0" fillId="2" borderId="107" xfId="0" applyNumberFormat="1" applyFont="1" applyFill="1" applyBorder="1" applyAlignment="1">
      <alignment vertical="center" shrinkToFit="1"/>
    </xf>
    <xf numFmtId="177" fontId="0" fillId="2" borderId="119" xfId="0" applyNumberFormat="1" applyFont="1" applyFill="1" applyBorder="1" applyAlignment="1">
      <alignment vertical="center" shrinkToFit="1"/>
    </xf>
    <xf numFmtId="177" fontId="0" fillId="0" borderId="85" xfId="0" applyNumberFormat="1" applyFont="1" applyBorder="1" applyAlignment="1">
      <alignment horizontal="center" vertical="center" shrinkToFit="1"/>
    </xf>
    <xf numFmtId="181" fontId="0" fillId="0" borderId="32" xfId="1" applyNumberFormat="1" applyFont="1" applyFill="1" applyBorder="1" applyAlignment="1">
      <alignment vertical="center"/>
    </xf>
    <xf numFmtId="181" fontId="0" fillId="0" borderId="24" xfId="1" applyNumberFormat="1" applyFont="1" applyFill="1" applyBorder="1" applyAlignment="1">
      <alignment vertical="center"/>
    </xf>
    <xf numFmtId="181" fontId="0" fillId="6" borderId="45" xfId="1" applyNumberFormat="1" applyFont="1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181" fontId="0" fillId="0" borderId="136" xfId="1" applyNumberFormat="1" applyFont="1" applyFill="1" applyBorder="1" applyAlignment="1">
      <alignment vertical="center"/>
    </xf>
    <xf numFmtId="177" fontId="0" fillId="0" borderId="137" xfId="0" applyNumberFormat="1" applyFill="1" applyBorder="1" applyAlignment="1">
      <alignment vertical="center"/>
    </xf>
    <xf numFmtId="177" fontId="0" fillId="0" borderId="138" xfId="3" applyNumberFormat="1" applyFont="1" applyBorder="1" applyAlignment="1">
      <alignment vertical="center"/>
    </xf>
    <xf numFmtId="177" fontId="0" fillId="6" borderId="139" xfId="0" applyNumberFormat="1" applyFont="1" applyFill="1" applyBorder="1" applyAlignment="1">
      <alignment vertical="center" shrinkToFit="1"/>
    </xf>
    <xf numFmtId="177" fontId="0" fillId="0" borderId="139" xfId="3" applyNumberFormat="1" applyFont="1" applyBorder="1" applyAlignment="1">
      <alignment vertical="center"/>
    </xf>
    <xf numFmtId="177" fontId="0" fillId="0" borderId="99" xfId="3" applyNumberFormat="1" applyFont="1" applyBorder="1" applyAlignment="1">
      <alignment horizontal="right" vertical="center"/>
    </xf>
    <xf numFmtId="177" fontId="0" fillId="0" borderId="99" xfId="3" applyNumberFormat="1" applyFont="1" applyBorder="1" applyAlignment="1">
      <alignment horizontal="left" vertical="center" shrinkToFit="1"/>
    </xf>
    <xf numFmtId="177" fontId="0" fillId="0" borderId="140" xfId="0" applyNumberFormat="1" applyFont="1" applyBorder="1" applyAlignment="1">
      <alignment vertical="center"/>
    </xf>
    <xf numFmtId="177" fontId="0" fillId="0" borderId="141" xfId="0" applyNumberFormat="1" applyFont="1" applyBorder="1" applyAlignment="1">
      <alignment vertical="center"/>
    </xf>
    <xf numFmtId="177" fontId="0" fillId="0" borderId="142" xfId="0" applyNumberFormat="1" applyFont="1" applyBorder="1" applyAlignment="1">
      <alignment vertical="center"/>
    </xf>
    <xf numFmtId="182" fontId="0" fillId="5" borderId="141" xfId="0" applyNumberFormat="1" applyFont="1" applyFill="1" applyBorder="1" applyAlignment="1">
      <alignment vertical="center"/>
    </xf>
    <xf numFmtId="177" fontId="0" fillId="0" borderId="137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horizontal="left" vertical="center"/>
    </xf>
    <xf numFmtId="178" fontId="0" fillId="0" borderId="141" xfId="0" applyNumberFormat="1" applyFont="1" applyBorder="1" applyAlignment="1">
      <alignment horizontal="left" vertical="center"/>
    </xf>
    <xf numFmtId="177" fontId="0" fillId="0" borderId="141" xfId="3" applyNumberFormat="1" applyFont="1" applyBorder="1" applyAlignment="1">
      <alignment vertical="center" shrinkToFit="1"/>
    </xf>
    <xf numFmtId="177" fontId="0" fillId="0" borderId="143" xfId="3" applyNumberFormat="1" applyFont="1" applyBorder="1" applyAlignment="1">
      <alignment vertical="center"/>
    </xf>
    <xf numFmtId="177" fontId="0" fillId="0" borderId="144" xfId="3" applyNumberFormat="1" applyFont="1" applyBorder="1" applyAlignment="1">
      <alignment vertical="center"/>
    </xf>
    <xf numFmtId="177" fontId="0" fillId="0" borderId="145" xfId="3" applyNumberFormat="1" applyFont="1" applyBorder="1" applyAlignment="1">
      <alignment vertical="center"/>
    </xf>
    <xf numFmtId="177" fontId="0" fillId="5" borderId="14" xfId="0" applyNumberFormat="1" applyFill="1" applyBorder="1" applyAlignment="1">
      <alignment vertical="center"/>
    </xf>
    <xf numFmtId="177" fontId="0" fillId="0" borderId="141" xfId="0" applyNumberFormat="1" applyFont="1" applyFill="1" applyBorder="1" applyAlignment="1">
      <alignment vertical="center"/>
    </xf>
    <xf numFmtId="177" fontId="0" fillId="0" borderId="137" xfId="0" applyNumberFormat="1" applyFont="1" applyFill="1" applyBorder="1" applyAlignment="1">
      <alignment horizontal="center" vertical="center"/>
    </xf>
    <xf numFmtId="177" fontId="0" fillId="0" borderId="137" xfId="0" applyNumberFormat="1" applyFont="1" applyFill="1" applyBorder="1" applyAlignment="1">
      <alignment vertical="center"/>
    </xf>
    <xf numFmtId="177" fontId="0" fillId="0" borderId="141" xfId="0" applyNumberFormat="1" applyFill="1" applyBorder="1" applyAlignment="1">
      <alignment vertical="center"/>
    </xf>
    <xf numFmtId="178" fontId="0" fillId="0" borderId="137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9" fontId="0" fillId="0" borderId="14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77" fontId="0" fillId="0" borderId="120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75" xfId="0" applyNumberFormat="1" applyFon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vertical="center"/>
    </xf>
    <xf numFmtId="177" fontId="0" fillId="0" borderId="47" xfId="0" applyNumberFormat="1" applyFont="1" applyFill="1" applyBorder="1" applyAlignment="1">
      <alignment vertical="center"/>
    </xf>
    <xf numFmtId="177" fontId="0" fillId="0" borderId="21" xfId="0" applyNumberFormat="1" applyFill="1" applyBorder="1" applyAlignment="1">
      <alignment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7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7" xfId="0" applyNumberFormat="1" applyFont="1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vertical="center" shrinkToFit="1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41" xfId="0" applyNumberFormat="1" applyFont="1" applyFill="1" applyBorder="1" applyAlignment="1">
      <alignment vertical="center" shrinkToFit="1"/>
    </xf>
    <xf numFmtId="177" fontId="0" fillId="0" borderId="10" xfId="0" applyNumberFormat="1" applyFont="1" applyFill="1" applyBorder="1" applyAlignment="1">
      <alignment vertical="center" shrinkToFit="1"/>
    </xf>
    <xf numFmtId="177" fontId="0" fillId="0" borderId="71" xfId="0" applyNumberFormat="1" applyFont="1" applyFill="1" applyBorder="1" applyAlignment="1">
      <alignment vertical="center" shrinkToFit="1"/>
    </xf>
    <xf numFmtId="177" fontId="0" fillId="0" borderId="85" xfId="0" applyNumberFormat="1" applyFont="1" applyFill="1" applyBorder="1" applyAlignment="1">
      <alignment vertical="center" shrinkToFit="1"/>
    </xf>
    <xf numFmtId="177" fontId="0" fillId="0" borderId="9" xfId="0" applyNumberFormat="1" applyFill="1" applyBorder="1" applyAlignment="1">
      <alignment vertical="center" shrinkToFit="1"/>
    </xf>
    <xf numFmtId="177" fontId="0" fillId="0" borderId="47" xfId="0" applyNumberFormat="1" applyFont="1" applyFill="1" applyBorder="1" applyAlignment="1">
      <alignment vertical="center" shrinkToFit="1"/>
    </xf>
    <xf numFmtId="177" fontId="0" fillId="0" borderId="8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 shrinkToFit="1"/>
    </xf>
    <xf numFmtId="177" fontId="0" fillId="0" borderId="15" xfId="0" applyNumberFormat="1" applyFont="1" applyFill="1" applyBorder="1" applyAlignment="1">
      <alignment vertical="center"/>
    </xf>
    <xf numFmtId="177" fontId="0" fillId="0" borderId="142" xfId="0" applyNumberFormat="1" applyFont="1" applyFill="1" applyBorder="1" applyAlignment="1">
      <alignment vertical="center"/>
    </xf>
    <xf numFmtId="177" fontId="0" fillId="0" borderId="13" xfId="0" applyNumberFormat="1" applyFill="1" applyBorder="1" applyAlignment="1">
      <alignment vertical="center" shrinkToFit="1"/>
    </xf>
    <xf numFmtId="177" fontId="0" fillId="0" borderId="1" xfId="0" applyNumberFormat="1" applyFill="1" applyBorder="1" applyAlignment="1">
      <alignment vertical="center" shrinkToFit="1"/>
    </xf>
    <xf numFmtId="177" fontId="0" fillId="0" borderId="85" xfId="0" applyNumberFormat="1" applyFont="1" applyFill="1" applyBorder="1" applyAlignment="1">
      <alignment vertical="center" shrinkToFit="1"/>
    </xf>
    <xf numFmtId="177" fontId="0" fillId="0" borderId="137" xfId="3" applyNumberFormat="1" applyFont="1" applyFill="1" applyBorder="1" applyAlignment="1">
      <alignment vertical="center"/>
    </xf>
    <xf numFmtId="0" fontId="0" fillId="0" borderId="14" xfId="3" applyFont="1" applyFill="1" applyBorder="1" applyAlignment="1">
      <alignment vertical="center" shrinkToFit="1"/>
    </xf>
    <xf numFmtId="0" fontId="0" fillId="0" borderId="15" xfId="3" applyFont="1" applyFill="1" applyBorder="1" applyAlignment="1">
      <alignment vertical="center" shrinkToFit="1"/>
    </xf>
    <xf numFmtId="178" fontId="0" fillId="0" borderId="15" xfId="0" applyNumberFormat="1" applyFont="1" applyFill="1" applyBorder="1" applyAlignment="1">
      <alignment horizontal="left" vertical="center"/>
    </xf>
    <xf numFmtId="0" fontId="0" fillId="0" borderId="14" xfId="3" applyFont="1" applyFill="1" applyBorder="1" applyAlignment="1">
      <alignment vertical="center"/>
    </xf>
    <xf numFmtId="0" fontId="0" fillId="0" borderId="15" xfId="3" applyFont="1" applyFill="1" applyBorder="1" applyAlignment="1">
      <alignment vertical="center"/>
    </xf>
    <xf numFmtId="177" fontId="0" fillId="0" borderId="14" xfId="3" applyNumberFormat="1" applyFont="1" applyFill="1" applyBorder="1" applyAlignment="1">
      <alignment vertical="center"/>
    </xf>
    <xf numFmtId="177" fontId="0" fillId="0" borderId="15" xfId="3" applyNumberFormat="1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horizontal="left" vertical="center"/>
    </xf>
    <xf numFmtId="177" fontId="0" fillId="0" borderId="14" xfId="3" applyNumberFormat="1" applyFont="1" applyFill="1" applyBorder="1" applyAlignment="1">
      <alignment vertical="center" shrinkToFit="1"/>
    </xf>
    <xf numFmtId="178" fontId="0" fillId="0" borderId="141" xfId="0" applyNumberFormat="1" applyFont="1" applyFill="1" applyBorder="1" applyAlignment="1">
      <alignment horizontal="left" vertical="center"/>
    </xf>
    <xf numFmtId="177" fontId="0" fillId="0" borderId="141" xfId="3" applyNumberFormat="1" applyFont="1" applyFill="1" applyBorder="1" applyAlignment="1">
      <alignment vertical="center" shrinkToFit="1"/>
    </xf>
    <xf numFmtId="178" fontId="0" fillId="0" borderId="142" xfId="0" applyNumberFormat="1" applyFont="1" applyFill="1" applyBorder="1" applyAlignment="1">
      <alignment horizontal="left" vertical="center"/>
    </xf>
    <xf numFmtId="177" fontId="0" fillId="0" borderId="1" xfId="3" applyNumberFormat="1" applyFont="1" applyFill="1" applyBorder="1" applyAlignment="1">
      <alignment vertical="center" shrinkToFit="1"/>
    </xf>
    <xf numFmtId="182" fontId="0" fillId="0" borderId="14" xfId="0" applyNumberFormat="1" applyFont="1" applyFill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7" fontId="0" fillId="0" borderId="147" xfId="3" applyNumberFormat="1" applyFont="1" applyBorder="1" applyAlignment="1">
      <alignment horizontal="center" vertical="center" shrinkToFit="1"/>
    </xf>
    <xf numFmtId="177" fontId="0" fillId="0" borderId="73" xfId="3" applyNumberFormat="1" applyFont="1" applyBorder="1" applyAlignment="1">
      <alignment horizontal="center" vertical="center" shrinkToFit="1"/>
    </xf>
    <xf numFmtId="176" fontId="0" fillId="2" borderId="48" xfId="0" applyNumberFormat="1" applyFont="1" applyFill="1" applyBorder="1" applyAlignment="1">
      <alignment horizontal="center" vertical="center" shrinkToFit="1"/>
    </xf>
    <xf numFmtId="177" fontId="0" fillId="2" borderId="48" xfId="0" applyNumberFormat="1" applyFont="1" applyFill="1" applyBorder="1" applyAlignment="1">
      <alignment vertical="center" shrinkToFit="1"/>
    </xf>
    <xf numFmtId="177" fontId="0" fillId="0" borderId="152" xfId="3" applyNumberFormat="1" applyFont="1" applyBorder="1" applyAlignment="1">
      <alignment vertical="center" shrinkToFit="1"/>
    </xf>
    <xf numFmtId="176" fontId="0" fillId="0" borderId="152" xfId="0" applyNumberFormat="1" applyFont="1" applyBorder="1" applyAlignment="1">
      <alignment vertical="center"/>
    </xf>
    <xf numFmtId="177" fontId="0" fillId="0" borderId="24" xfId="3" applyNumberFormat="1" applyFont="1" applyBorder="1" applyAlignment="1">
      <alignment vertical="center" shrinkToFit="1"/>
    </xf>
    <xf numFmtId="177" fontId="0" fillId="0" borderId="24" xfId="3" applyNumberFormat="1" applyFont="1" applyFill="1" applyBorder="1" applyAlignment="1">
      <alignment vertical="center" shrinkToFit="1"/>
    </xf>
    <xf numFmtId="176" fontId="0" fillId="2" borderId="38" xfId="0" applyNumberFormat="1" applyFont="1" applyFill="1" applyBorder="1" applyAlignment="1">
      <alignment horizontal="center" vertical="center" shrinkToFit="1"/>
    </xf>
    <xf numFmtId="177" fontId="0" fillId="2" borderId="38" xfId="0" applyNumberFormat="1" applyFont="1" applyFill="1" applyBorder="1" applyAlignment="1">
      <alignment vertical="center" shrinkToFit="1"/>
    </xf>
    <xf numFmtId="176" fontId="0" fillId="2" borderId="150" xfId="0" applyNumberFormat="1" applyFont="1" applyFill="1" applyBorder="1" applyAlignment="1">
      <alignment vertical="center" shrinkToFit="1"/>
    </xf>
    <xf numFmtId="176" fontId="0" fillId="2" borderId="63" xfId="0" applyNumberFormat="1" applyFont="1" applyFill="1" applyBorder="1" applyAlignment="1">
      <alignment vertical="center" shrinkToFit="1"/>
    </xf>
    <xf numFmtId="176" fontId="0" fillId="2" borderId="107" xfId="0" applyNumberFormat="1" applyFont="1" applyFill="1" applyBorder="1" applyAlignment="1">
      <alignment vertical="center" shrinkToFit="1"/>
    </xf>
    <xf numFmtId="177" fontId="0" fillId="0" borderId="35" xfId="3" applyNumberFormat="1" applyFont="1" applyBorder="1" applyAlignment="1">
      <alignment horizontal="center" vertical="center" shrinkToFit="1"/>
    </xf>
    <xf numFmtId="176" fontId="0" fillId="0" borderId="58" xfId="0" applyNumberFormat="1" applyFont="1" applyBorder="1" applyAlignment="1">
      <alignment vertical="center"/>
    </xf>
    <xf numFmtId="177" fontId="0" fillId="2" borderId="48" xfId="3" applyNumberFormat="1" applyFont="1" applyFill="1" applyBorder="1" applyAlignment="1">
      <alignment horizontal="center" vertical="center" shrinkToFit="1"/>
    </xf>
    <xf numFmtId="177" fontId="0" fillId="2" borderId="48" xfId="3" applyNumberFormat="1" applyFont="1" applyFill="1" applyBorder="1" applyAlignment="1">
      <alignment vertical="center" shrinkToFit="1"/>
    </xf>
    <xf numFmtId="176" fontId="0" fillId="6" borderId="150" xfId="0" applyNumberFormat="1" applyFont="1" applyFill="1" applyBorder="1" applyAlignment="1">
      <alignment vertical="center"/>
    </xf>
    <xf numFmtId="176" fontId="0" fillId="0" borderId="152" xfId="3" applyNumberFormat="1" applyFont="1" applyFill="1" applyBorder="1" applyAlignment="1">
      <alignment vertical="center" shrinkToFit="1"/>
    </xf>
    <xf numFmtId="176" fontId="0" fillId="0" borderId="24" xfId="3" applyNumberFormat="1" applyFont="1" applyFill="1" applyBorder="1" applyAlignment="1">
      <alignment vertical="center" shrinkToFit="1"/>
    </xf>
    <xf numFmtId="176" fontId="0" fillId="0" borderId="104" xfId="0" applyNumberFormat="1" applyFont="1" applyBorder="1" applyAlignment="1">
      <alignment vertical="center" shrinkToFit="1"/>
    </xf>
    <xf numFmtId="177" fontId="0" fillId="0" borderId="104" xfId="0" applyNumberFormat="1" applyFont="1" applyBorder="1" applyAlignment="1">
      <alignment horizontal="center" vertical="center" shrinkToFit="1"/>
    </xf>
    <xf numFmtId="177" fontId="0" fillId="0" borderId="53" xfId="0" applyNumberFormat="1" applyFont="1" applyBorder="1" applyAlignment="1">
      <alignment horizontal="center" vertical="center" shrinkToFit="1"/>
    </xf>
    <xf numFmtId="177" fontId="0" fillId="0" borderId="105" xfId="0" applyNumberFormat="1" applyFont="1" applyBorder="1" applyAlignment="1">
      <alignment horizontal="center" vertical="center" shrinkToFit="1"/>
    </xf>
    <xf numFmtId="177" fontId="0" fillId="0" borderId="84" xfId="0" applyNumberFormat="1" applyFont="1" applyBorder="1" applyAlignment="1">
      <alignment vertical="center" shrinkToFit="1"/>
    </xf>
    <xf numFmtId="176" fontId="0" fillId="6" borderId="103" xfId="0" applyNumberFormat="1" applyFont="1" applyFill="1" applyBorder="1" applyAlignment="1">
      <alignment horizontal="center" vertical="center" shrinkToFit="1"/>
    </xf>
    <xf numFmtId="176" fontId="0" fillId="6" borderId="119" xfId="0" applyNumberFormat="1" applyFont="1" applyFill="1" applyBorder="1" applyAlignment="1">
      <alignment horizontal="center" vertical="center" shrinkToFit="1"/>
    </xf>
    <xf numFmtId="177" fontId="0" fillId="0" borderId="73" xfId="0" applyNumberFormat="1" applyFont="1" applyBorder="1" applyAlignment="1">
      <alignment horizontal="center" vertical="center" shrinkToFit="1"/>
    </xf>
    <xf numFmtId="177" fontId="0" fillId="0" borderId="100" xfId="0" applyNumberFormat="1" applyFont="1" applyBorder="1" applyAlignment="1">
      <alignment horizontal="center" vertical="center" shrinkToFit="1"/>
    </xf>
    <xf numFmtId="177" fontId="0" fillId="2" borderId="128" xfId="0" applyNumberFormat="1" applyFont="1" applyFill="1" applyBorder="1" applyAlignment="1">
      <alignment horizontal="center" vertical="center" shrinkToFit="1"/>
    </xf>
    <xf numFmtId="177" fontId="0" fillId="0" borderId="35" xfId="0" applyNumberFormat="1" applyFont="1" applyBorder="1" applyAlignment="1">
      <alignment horizontal="center" vertical="center" shrinkToFit="1"/>
    </xf>
    <xf numFmtId="177" fontId="0" fillId="0" borderId="57" xfId="0" applyNumberFormat="1" applyFont="1" applyBorder="1" applyAlignment="1">
      <alignment horizontal="center" vertical="center" shrinkToFit="1"/>
    </xf>
    <xf numFmtId="176" fontId="0" fillId="0" borderId="153" xfId="0" applyNumberFormat="1" applyFont="1" applyBorder="1" applyAlignment="1">
      <alignment vertical="center"/>
    </xf>
    <xf numFmtId="176" fontId="0" fillId="0" borderId="156" xfId="0" applyNumberFormat="1" applyFont="1" applyBorder="1" applyAlignment="1">
      <alignment vertical="center"/>
    </xf>
    <xf numFmtId="176" fontId="0" fillId="0" borderId="126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9" fontId="0" fillId="0" borderId="24" xfId="3" applyNumberFormat="1" applyFont="1" applyFill="1" applyBorder="1" applyAlignment="1">
      <alignment vertical="center" shrinkToFit="1"/>
    </xf>
    <xf numFmtId="179" fontId="0" fillId="0" borderId="152" xfId="0" applyNumberFormat="1" applyBorder="1" applyAlignment="1">
      <alignment vertical="center" shrinkToFit="1"/>
    </xf>
    <xf numFmtId="9" fontId="0" fillId="0" borderId="152" xfId="3" applyNumberFormat="1" applyFont="1" applyFill="1" applyBorder="1" applyAlignment="1">
      <alignment vertical="center" shrinkToFit="1"/>
    </xf>
    <xf numFmtId="3" fontId="0" fillId="0" borderId="24" xfId="5" applyNumberFormat="1" applyFont="1" applyFill="1" applyBorder="1" applyAlignment="1">
      <alignment vertical="center" shrinkToFit="1"/>
    </xf>
    <xf numFmtId="176" fontId="0" fillId="0" borderId="58" xfId="0" applyNumberFormat="1" applyFont="1" applyBorder="1" applyAlignment="1">
      <alignment vertical="center" shrinkToFit="1"/>
    </xf>
    <xf numFmtId="177" fontId="0" fillId="2" borderId="161" xfId="0" applyNumberFormat="1" applyFont="1" applyFill="1" applyBorder="1" applyAlignment="1">
      <alignment vertical="center" shrinkToFit="1"/>
    </xf>
    <xf numFmtId="176" fontId="0" fillId="2" borderId="162" xfId="0" applyNumberFormat="1" applyFont="1" applyFill="1" applyBorder="1" applyAlignment="1">
      <alignment vertical="center" shrinkToFit="1"/>
    </xf>
    <xf numFmtId="177" fontId="0" fillId="2" borderId="158" xfId="3" applyNumberFormat="1" applyFont="1" applyFill="1" applyBorder="1" applyAlignment="1">
      <alignment horizontal="center" vertical="center" shrinkToFit="1"/>
    </xf>
    <xf numFmtId="177" fontId="0" fillId="2" borderId="158" xfId="3" applyNumberFormat="1" applyFont="1" applyFill="1" applyBorder="1" applyAlignment="1">
      <alignment vertical="center" shrinkToFit="1"/>
    </xf>
    <xf numFmtId="176" fontId="0" fillId="6" borderId="163" xfId="0" applyNumberFormat="1" applyFont="1" applyFill="1" applyBorder="1" applyAlignment="1">
      <alignment vertical="center"/>
    </xf>
    <xf numFmtId="177" fontId="0" fillId="0" borderId="166" xfId="0" applyNumberFormat="1" applyFont="1" applyFill="1" applyBorder="1" applyAlignment="1">
      <alignment vertical="center" shrinkToFit="1"/>
    </xf>
    <xf numFmtId="177" fontId="0" fillId="0" borderId="167" xfId="0" applyNumberFormat="1" applyFont="1" applyFill="1" applyBorder="1" applyAlignment="1">
      <alignment vertical="center" shrinkToFit="1"/>
    </xf>
    <xf numFmtId="177" fontId="0" fillId="0" borderId="159" xfId="0" applyNumberFormat="1" applyFill="1" applyBorder="1" applyAlignment="1">
      <alignment vertical="center"/>
    </xf>
    <xf numFmtId="181" fontId="0" fillId="0" borderId="125" xfId="0" applyNumberFormat="1" applyFont="1" applyBorder="1" applyAlignment="1">
      <alignment horizontal="right" vertical="center"/>
    </xf>
    <xf numFmtId="181" fontId="0" fillId="3" borderId="89" xfId="1" applyNumberFormat="1" applyFont="1" applyFill="1" applyBorder="1" applyAlignment="1">
      <alignment horizontal="right" vertical="center"/>
    </xf>
    <xf numFmtId="177" fontId="0" fillId="0" borderId="7" xfId="0" applyNumberFormat="1" applyFill="1" applyBorder="1" applyAlignment="1">
      <alignment vertical="center" shrinkToFit="1"/>
    </xf>
    <xf numFmtId="181" fontId="0" fillId="0" borderId="122" xfId="0" applyNumberFormat="1" applyFont="1" applyBorder="1" applyAlignment="1">
      <alignment horizontal="right" vertical="center"/>
    </xf>
    <xf numFmtId="0" fontId="0" fillId="0" borderId="0" xfId="2" applyFont="1" applyAlignment="1">
      <alignment vertical="center"/>
    </xf>
    <xf numFmtId="0" fontId="2" fillId="0" borderId="0" xfId="2" applyFont="1" applyAlignment="1">
      <alignment horizontal="right" vertical="center"/>
    </xf>
    <xf numFmtId="177" fontId="0" fillId="0" borderId="1" xfId="0" applyNumberFormat="1" applyFill="1" applyBorder="1" applyAlignment="1">
      <alignment horizontal="center" vertical="center" shrinkToFit="1"/>
    </xf>
    <xf numFmtId="177" fontId="0" fillId="0" borderId="12" xfId="0" applyNumberFormat="1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 shrinkToFit="1"/>
    </xf>
    <xf numFmtId="177" fontId="0" fillId="0" borderId="85" xfId="0" applyNumberFormat="1" applyFont="1" applyBorder="1" applyAlignment="1">
      <alignment horizontal="center" vertical="center" shrinkToFit="1"/>
    </xf>
    <xf numFmtId="177" fontId="0" fillId="0" borderId="159" xfId="0" applyNumberFormat="1" applyFont="1" applyBorder="1" applyAlignment="1">
      <alignment vertical="center" shrinkToFit="1"/>
    </xf>
    <xf numFmtId="176" fontId="0" fillId="0" borderId="137" xfId="0" applyNumberFormat="1" applyFont="1" applyBorder="1" applyAlignment="1">
      <alignment vertical="center" shrinkToFit="1"/>
    </xf>
    <xf numFmtId="176" fontId="0" fillId="0" borderId="137" xfId="0" applyNumberFormat="1" applyFont="1" applyBorder="1" applyAlignment="1">
      <alignment horizontal="center" vertical="center" shrinkToFit="1"/>
    </xf>
    <xf numFmtId="176" fontId="5" fillId="0" borderId="168" xfId="0" applyNumberFormat="1" applyFont="1" applyBorder="1" applyAlignment="1">
      <alignment horizontal="left" vertical="center" wrapText="1"/>
    </xf>
    <xf numFmtId="176" fontId="0" fillId="0" borderId="85" xfId="0" applyNumberFormat="1" applyFont="1" applyBorder="1" applyAlignment="1">
      <alignment vertical="center" shrinkToFit="1"/>
    </xf>
    <xf numFmtId="176" fontId="0" fillId="0" borderId="68" xfId="0" applyNumberFormat="1" applyFont="1" applyBorder="1" applyAlignment="1">
      <alignment horizontal="center" vertical="center" shrinkToFit="1"/>
    </xf>
    <xf numFmtId="176" fontId="0" fillId="0" borderId="19" xfId="0" applyNumberFormat="1" applyFont="1" applyBorder="1" applyAlignment="1">
      <alignment vertical="center" shrinkToFit="1"/>
    </xf>
    <xf numFmtId="176" fontId="0" fillId="0" borderId="69" xfId="0" applyNumberFormat="1" applyFont="1" applyBorder="1" applyAlignment="1">
      <alignment vertical="center" shrinkToFit="1"/>
    </xf>
    <xf numFmtId="176" fontId="2" fillId="0" borderId="169" xfId="0" applyNumberFormat="1" applyFont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horizontal="center" vertical="center" wrapText="1" shrinkToFit="1"/>
    </xf>
    <xf numFmtId="176" fontId="10" fillId="0" borderId="2" xfId="0" applyNumberFormat="1" applyFont="1" applyBorder="1" applyAlignment="1">
      <alignment vertical="center" shrinkToFit="1"/>
    </xf>
    <xf numFmtId="176" fontId="10" fillId="2" borderId="2" xfId="0" applyNumberFormat="1" applyFont="1" applyFill="1" applyBorder="1" applyAlignment="1">
      <alignment vertical="center" shrinkToFit="1"/>
    </xf>
    <xf numFmtId="176" fontId="10" fillId="0" borderId="69" xfId="0" applyNumberFormat="1" applyFont="1" applyFill="1" applyBorder="1" applyAlignment="1">
      <alignment vertical="center" shrinkToFit="1"/>
    </xf>
    <xf numFmtId="176" fontId="0" fillId="0" borderId="169" xfId="0" applyNumberFormat="1" applyFont="1" applyBorder="1" applyAlignment="1">
      <alignment horizontal="center" vertical="center" shrinkToFit="1"/>
    </xf>
    <xf numFmtId="176" fontId="0" fillId="0" borderId="2" xfId="0" applyNumberFormat="1" applyFont="1" applyBorder="1" applyAlignment="1">
      <alignment horizontal="center" vertical="center" shrinkToFit="1"/>
    </xf>
    <xf numFmtId="176" fontId="0" fillId="2" borderId="2" xfId="0" applyNumberFormat="1" applyFont="1" applyFill="1" applyBorder="1" applyAlignment="1">
      <alignment vertical="center" shrinkToFit="1"/>
    </xf>
    <xf numFmtId="176" fontId="0" fillId="0" borderId="69" xfId="0" applyNumberFormat="1" applyFont="1" applyFill="1" applyBorder="1" applyAlignment="1">
      <alignment vertical="center" shrinkToFit="1"/>
    </xf>
    <xf numFmtId="179" fontId="11" fillId="5" borderId="125" xfId="0" applyNumberFormat="1" applyFont="1" applyFill="1" applyBorder="1" applyAlignment="1">
      <alignment horizontal="center" vertical="center" shrinkToFit="1"/>
    </xf>
    <xf numFmtId="177" fontId="0" fillId="0" borderId="85" xfId="0" applyNumberFormat="1" applyFont="1" applyBorder="1" applyAlignment="1">
      <alignment horizontal="center" vertical="center" shrinkToFit="1"/>
    </xf>
    <xf numFmtId="0" fontId="0" fillId="0" borderId="0" xfId="0" applyAlignment="1"/>
    <xf numFmtId="0" fontId="2" fillId="0" borderId="0" xfId="0" applyFont="1" applyAlignment="1"/>
    <xf numFmtId="177" fontId="0" fillId="0" borderId="147" xfId="0" applyNumberFormat="1" applyBorder="1" applyAlignment="1">
      <alignment vertical="center"/>
    </xf>
    <xf numFmtId="177" fontId="0" fillId="0" borderId="35" xfId="0" applyNumberFormat="1" applyBorder="1" applyAlignment="1">
      <alignment horizontal="center" vertical="center"/>
    </xf>
    <xf numFmtId="177" fontId="2" fillId="0" borderId="170" xfId="0" applyNumberFormat="1" applyFont="1" applyBorder="1" applyAlignment="1">
      <alignment horizontal="center" vertical="center"/>
    </xf>
    <xf numFmtId="177" fontId="0" fillId="0" borderId="171" xfId="0" applyNumberFormat="1" applyBorder="1" applyAlignment="1">
      <alignment horizontal="center" vertical="center"/>
    </xf>
    <xf numFmtId="177" fontId="0" fillId="0" borderId="57" xfId="0" applyNumberFormat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177" fontId="0" fillId="0" borderId="92" xfId="0" applyNumberFormat="1" applyBorder="1" applyAlignment="1">
      <alignment vertical="center"/>
    </xf>
    <xf numFmtId="177" fontId="0" fillId="0" borderId="24" xfId="0" applyNumberFormat="1" applyBorder="1" applyAlignment="1">
      <alignment horizontal="center" vertical="center"/>
    </xf>
    <xf numFmtId="177" fontId="2" fillId="0" borderId="32" xfId="0" applyNumberFormat="1" applyFont="1" applyBorder="1" applyAlignment="1">
      <alignment horizontal="center" vertical="center"/>
    </xf>
    <xf numFmtId="177" fontId="0" fillId="0" borderId="92" xfId="0" applyNumberFormat="1" applyBorder="1" applyAlignment="1">
      <alignment horizontal="center" vertical="center"/>
    </xf>
    <xf numFmtId="177" fontId="0" fillId="0" borderId="58" xfId="0" applyNumberFormat="1" applyBorder="1" applyAlignment="1">
      <alignment horizontal="center" vertical="center"/>
    </xf>
    <xf numFmtId="177" fontId="0" fillId="0" borderId="37" xfId="0" applyNumberFormat="1" applyBorder="1" applyAlignment="1">
      <alignment horizontal="center" vertical="center"/>
    </xf>
    <xf numFmtId="177" fontId="0" fillId="0" borderId="92" xfId="0" applyNumberFormat="1" applyBorder="1" applyAlignment="1"/>
    <xf numFmtId="177" fontId="2" fillId="0" borderId="32" xfId="0" applyNumberFormat="1" applyFont="1" applyBorder="1" applyAlignment="1"/>
    <xf numFmtId="177" fontId="0" fillId="0" borderId="24" xfId="0" applyNumberFormat="1" applyBorder="1" applyAlignment="1"/>
    <xf numFmtId="177" fontId="0" fillId="0" borderId="58" xfId="0" applyNumberFormat="1" applyBorder="1" applyAlignment="1"/>
    <xf numFmtId="178" fontId="0" fillId="0" borderId="92" xfId="0" applyNumberFormat="1" applyBorder="1" applyAlignment="1"/>
    <xf numFmtId="178" fontId="0" fillId="0" borderId="24" xfId="0" applyNumberFormat="1" applyBorder="1" applyAlignment="1"/>
    <xf numFmtId="178" fontId="0" fillId="0" borderId="58" xfId="0" applyNumberFormat="1" applyBorder="1" applyAlignment="1"/>
    <xf numFmtId="177" fontId="0" fillId="0" borderId="37" xfId="0" applyNumberFormat="1" applyBorder="1" applyAlignment="1"/>
    <xf numFmtId="177" fontId="0" fillId="0" borderId="58" xfId="0" applyNumberFormat="1" applyBorder="1" applyAlignment="1">
      <alignment vertical="center"/>
    </xf>
    <xf numFmtId="0" fontId="2" fillId="0" borderId="32" xfId="0" applyFont="1" applyBorder="1" applyAlignment="1"/>
    <xf numFmtId="0" fontId="0" fillId="0" borderId="92" xfId="0" applyBorder="1" applyAlignment="1"/>
    <xf numFmtId="0" fontId="0" fillId="0" borderId="24" xfId="0" applyBorder="1" applyAlignment="1"/>
    <xf numFmtId="0" fontId="0" fillId="0" borderId="58" xfId="0" applyBorder="1" applyAlignment="1"/>
    <xf numFmtId="0" fontId="0" fillId="0" borderId="37" xfId="0" applyBorder="1" applyAlignment="1"/>
    <xf numFmtId="0" fontId="0" fillId="0" borderId="95" xfId="0" applyBorder="1" applyAlignment="1"/>
    <xf numFmtId="177" fontId="0" fillId="0" borderId="40" xfId="0" applyNumberFormat="1" applyBorder="1" applyAlignment="1">
      <alignment horizontal="center" vertical="center"/>
    </xf>
    <xf numFmtId="0" fontId="2" fillId="0" borderId="51" xfId="0" applyFont="1" applyBorder="1" applyAlignment="1"/>
    <xf numFmtId="0" fontId="0" fillId="0" borderId="40" xfId="0" applyBorder="1" applyAlignment="1"/>
    <xf numFmtId="0" fontId="0" fillId="0" borderId="61" xfId="0" applyBorder="1" applyAlignment="1"/>
    <xf numFmtId="178" fontId="0" fillId="0" borderId="95" xfId="0" applyNumberFormat="1" applyBorder="1" applyAlignment="1"/>
    <xf numFmtId="178" fontId="0" fillId="0" borderId="40" xfId="0" applyNumberFormat="1" applyBorder="1" applyAlignment="1"/>
    <xf numFmtId="178" fontId="0" fillId="0" borderId="61" xfId="0" applyNumberFormat="1" applyBorder="1" applyAlignment="1"/>
    <xf numFmtId="0" fontId="0" fillId="0" borderId="41" xfId="0" applyBorder="1" applyAlignment="1"/>
    <xf numFmtId="177" fontId="0" fillId="0" borderId="61" xfId="0" applyNumberFormat="1" applyBorder="1" applyAlignment="1">
      <alignment vertical="center"/>
    </xf>
    <xf numFmtId="0" fontId="0" fillId="0" borderId="172" xfId="0" applyBorder="1" applyAlignment="1"/>
    <xf numFmtId="0" fontId="0" fillId="0" borderId="89" xfId="0" applyBorder="1" applyAlignment="1"/>
    <xf numFmtId="0" fontId="2" fillId="0" borderId="173" xfId="0" applyFont="1" applyBorder="1" applyAlignment="1"/>
    <xf numFmtId="0" fontId="0" fillId="0" borderId="90" xfId="0" applyBorder="1" applyAlignment="1"/>
    <xf numFmtId="178" fontId="0" fillId="0" borderId="172" xfId="0" applyNumberFormat="1" applyBorder="1" applyAlignment="1"/>
    <xf numFmtId="178" fontId="0" fillId="0" borderId="89" xfId="0" applyNumberFormat="1" applyBorder="1" applyAlignment="1"/>
    <xf numFmtId="178" fontId="0" fillId="0" borderId="90" xfId="0" applyNumberFormat="1" applyBorder="1" applyAlignment="1"/>
    <xf numFmtId="0" fontId="0" fillId="0" borderId="88" xfId="0" applyBorder="1" applyAlignment="1"/>
    <xf numFmtId="177" fontId="0" fillId="0" borderId="90" xfId="0" applyNumberFormat="1" applyBorder="1" applyAlignment="1"/>
    <xf numFmtId="176" fontId="2" fillId="0" borderId="86" xfId="0" applyNumberFormat="1" applyFont="1" applyBorder="1" applyAlignment="1">
      <alignment vertical="center"/>
    </xf>
    <xf numFmtId="176" fontId="2" fillId="0" borderId="87" xfId="0" applyNumberFormat="1" applyFont="1" applyBorder="1" applyAlignment="1">
      <alignment horizontal="center" vertical="center"/>
    </xf>
    <xf numFmtId="176" fontId="2" fillId="0" borderId="89" xfId="0" applyNumberFormat="1" applyFont="1" applyBorder="1" applyAlignment="1">
      <alignment horizontal="center" vertical="center"/>
    </xf>
    <xf numFmtId="176" fontId="2" fillId="0" borderId="174" xfId="0" applyNumberFormat="1" applyFont="1" applyBorder="1" applyAlignment="1">
      <alignment horizontal="center" vertical="center"/>
    </xf>
    <xf numFmtId="176" fontId="2" fillId="0" borderId="94" xfId="0" applyNumberFormat="1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37" xfId="0" applyNumberFormat="1" applyFont="1" applyFill="1" applyBorder="1" applyAlignment="1"/>
    <xf numFmtId="176" fontId="2" fillId="0" borderId="137" xfId="0" applyNumberFormat="1" applyFont="1" applyBorder="1" applyAlignment="1"/>
    <xf numFmtId="176" fontId="2" fillId="7" borderId="137" xfId="0" applyNumberFormat="1" applyFont="1" applyFill="1" applyBorder="1" applyAlignment="1"/>
    <xf numFmtId="176" fontId="2" fillId="5" borderId="137" xfId="0" applyNumberFormat="1" applyFont="1" applyFill="1" applyBorder="1" applyAlignment="1"/>
    <xf numFmtId="176" fontId="2" fillId="0" borderId="2" xfId="0" applyNumberFormat="1" applyFont="1" applyBorder="1" applyAlignment="1"/>
    <xf numFmtId="176" fontId="2" fillId="0" borderId="130" xfId="0" applyNumberFormat="1" applyFont="1" applyBorder="1" applyAlignment="1"/>
    <xf numFmtId="176" fontId="2" fillId="7" borderId="176" xfId="0" applyNumberFormat="1" applyFont="1" applyFill="1" applyBorder="1" applyAlignment="1"/>
    <xf numFmtId="184" fontId="2" fillId="5" borderId="137" xfId="0" applyNumberFormat="1" applyFont="1" applyFill="1" applyBorder="1" applyAlignment="1"/>
    <xf numFmtId="176" fontId="2" fillId="0" borderId="137" xfId="0" applyNumberFormat="1" applyFont="1" applyFill="1" applyBorder="1" applyAlignment="1"/>
    <xf numFmtId="176" fontId="2" fillId="2" borderId="103" xfId="0" applyNumberFormat="1" applyFont="1" applyFill="1" applyBorder="1" applyAlignment="1">
      <alignment horizontal="center" vertical="center"/>
    </xf>
    <xf numFmtId="176" fontId="2" fillId="2" borderId="103" xfId="0" applyNumberFormat="1" applyFont="1" applyFill="1" applyBorder="1" applyAlignment="1"/>
    <xf numFmtId="176" fontId="2" fillId="2" borderId="117" xfId="0" applyNumberFormat="1" applyFont="1" applyFill="1" applyBorder="1" applyAlignment="1"/>
    <xf numFmtId="176" fontId="2" fillId="0" borderId="137" xfId="0" applyNumberFormat="1" applyFont="1" applyBorder="1" applyAlignment="1">
      <alignment vertical="center"/>
    </xf>
    <xf numFmtId="176" fontId="2" fillId="7" borderId="137" xfId="0" applyNumberFormat="1" applyFont="1" applyFill="1" applyBorder="1" applyAlignment="1">
      <alignment vertical="center"/>
    </xf>
    <xf numFmtId="176" fontId="0" fillId="0" borderId="137" xfId="0" applyNumberFormat="1" applyFont="1" applyFill="1" applyBorder="1" applyAlignment="1">
      <alignment vertical="center"/>
    </xf>
    <xf numFmtId="176" fontId="2" fillId="5" borderId="137" xfId="0" applyNumberFormat="1" applyFont="1" applyFill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137" xfId="0" applyNumberFormat="1" applyFont="1" applyFill="1" applyBorder="1" applyAlignment="1">
      <alignment vertical="center"/>
    </xf>
    <xf numFmtId="176" fontId="0" fillId="0" borderId="137" xfId="0" applyNumberFormat="1" applyFont="1" applyBorder="1" applyAlignment="1">
      <alignment vertical="center"/>
    </xf>
    <xf numFmtId="176" fontId="2" fillId="2" borderId="11" xfId="0" applyNumberFormat="1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vertical="center"/>
    </xf>
    <xf numFmtId="176" fontId="2" fillId="2" borderId="118" xfId="0" applyNumberFormat="1" applyFont="1" applyFill="1" applyBorder="1" applyAlignment="1">
      <alignment vertical="center"/>
    </xf>
    <xf numFmtId="176" fontId="2" fillId="0" borderId="9" xfId="0" applyNumberFormat="1" applyFont="1" applyBorder="1" applyAlignment="1">
      <alignment horizontal="center" vertical="center"/>
    </xf>
    <xf numFmtId="176" fontId="0" fillId="0" borderId="137" xfId="0" applyNumberFormat="1" applyFont="1" applyBorder="1" applyAlignment="1"/>
    <xf numFmtId="176" fontId="2" fillId="0" borderId="72" xfId="0" applyNumberFormat="1" applyFont="1" applyBorder="1" applyAlignment="1"/>
    <xf numFmtId="176" fontId="2" fillId="0" borderId="177" xfId="0" applyNumberFormat="1" applyFont="1" applyBorder="1" applyAlignment="1">
      <alignment horizontal="center" vertical="center"/>
    </xf>
    <xf numFmtId="176" fontId="2" fillId="0" borderId="54" xfId="0" applyNumberFormat="1" applyFont="1" applyBorder="1" applyAlignment="1">
      <alignment horizontal="center" vertical="center"/>
    </xf>
    <xf numFmtId="176" fontId="2" fillId="0" borderId="68" xfId="0" applyNumberFormat="1" applyFont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vertical="center"/>
    </xf>
    <xf numFmtId="176" fontId="2" fillId="2" borderId="69" xfId="0" applyNumberFormat="1" applyFont="1" applyFill="1" applyBorder="1" applyAlignment="1">
      <alignment vertical="center"/>
    </xf>
    <xf numFmtId="176" fontId="2" fillId="8" borderId="19" xfId="0" applyNumberFormat="1" applyFont="1" applyFill="1" applyBorder="1" applyAlignment="1">
      <alignment horizontal="center" vertical="center"/>
    </xf>
    <xf numFmtId="176" fontId="2" fillId="8" borderId="19" xfId="0" applyNumberFormat="1" applyFont="1" applyFill="1" applyBorder="1" applyAlignment="1">
      <alignment vertical="center"/>
    </xf>
    <xf numFmtId="176" fontId="2" fillId="8" borderId="69" xfId="0" applyNumberFormat="1" applyFont="1" applyFill="1" applyBorder="1" applyAlignment="1">
      <alignment vertical="center"/>
    </xf>
    <xf numFmtId="183" fontId="0" fillId="0" borderId="137" xfId="0" applyNumberFormat="1" applyFont="1" applyBorder="1" applyAlignment="1">
      <alignment vertical="center" shrinkToFit="1"/>
    </xf>
    <xf numFmtId="176" fontId="0" fillId="0" borderId="24" xfId="0" applyNumberFormat="1" applyFont="1" applyBorder="1" applyAlignment="1">
      <alignment vertical="center"/>
    </xf>
    <xf numFmtId="176" fontId="2" fillId="9" borderId="137" xfId="0" applyNumberFormat="1" applyFont="1" applyFill="1" applyBorder="1" applyAlignment="1"/>
    <xf numFmtId="176" fontId="0" fillId="0" borderId="180" xfId="0" applyNumberFormat="1" applyFont="1" applyFill="1" applyBorder="1" applyAlignment="1">
      <alignment vertical="center"/>
    </xf>
    <xf numFmtId="185" fontId="0" fillId="0" borderId="0" xfId="0" applyNumberFormat="1" applyFont="1" applyAlignment="1">
      <alignment vertical="center"/>
    </xf>
    <xf numFmtId="176" fontId="0" fillId="0" borderId="85" xfId="0" applyNumberFormat="1" applyFont="1" applyBorder="1" applyAlignment="1">
      <alignment horizontal="left" vertical="center" shrinkToFit="1"/>
    </xf>
    <xf numFmtId="0" fontId="2" fillId="0" borderId="119" xfId="2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textRotation="255" shrinkToFit="1"/>
    </xf>
    <xf numFmtId="177" fontId="0" fillId="0" borderId="186" xfId="0" applyNumberFormat="1" applyFont="1" applyBorder="1" applyAlignment="1">
      <alignment vertical="center" shrinkToFit="1"/>
    </xf>
    <xf numFmtId="177" fontId="0" fillId="0" borderId="187" xfId="0" applyNumberFormat="1" applyFont="1" applyBorder="1" applyAlignment="1">
      <alignment vertical="center" shrinkToFit="1"/>
    </xf>
    <xf numFmtId="177" fontId="0" fillId="0" borderId="187" xfId="0" applyNumberFormat="1" applyFont="1" applyBorder="1" applyAlignment="1">
      <alignment horizontal="center" vertical="center" shrinkToFit="1"/>
    </xf>
    <xf numFmtId="177" fontId="0" fillId="0" borderId="188" xfId="0" applyNumberFormat="1" applyFont="1" applyBorder="1" applyAlignment="1">
      <alignment vertical="center" shrinkToFit="1"/>
    </xf>
    <xf numFmtId="177" fontId="0" fillId="0" borderId="189" xfId="0" applyNumberFormat="1" applyFont="1" applyBorder="1" applyAlignment="1">
      <alignment vertical="center" shrinkToFit="1"/>
    </xf>
    <xf numFmtId="176" fontId="0" fillId="0" borderId="190" xfId="0" applyNumberFormat="1" applyFont="1" applyBorder="1" applyAlignment="1">
      <alignment vertical="center" shrinkToFit="1"/>
    </xf>
    <xf numFmtId="176" fontId="0" fillId="0" borderId="191" xfId="0" applyNumberFormat="1" applyFont="1" applyBorder="1" applyAlignment="1">
      <alignment vertical="center"/>
    </xf>
    <xf numFmtId="176" fontId="0" fillId="0" borderId="192" xfId="0" applyNumberFormat="1" applyFont="1" applyBorder="1" applyAlignment="1">
      <alignment vertical="center" shrinkToFit="1"/>
    </xf>
    <xf numFmtId="176" fontId="0" fillId="0" borderId="37" xfId="0" applyNumberFormat="1" applyFont="1" applyBorder="1" applyAlignment="1">
      <alignment vertical="center"/>
    </xf>
    <xf numFmtId="176" fontId="0" fillId="0" borderId="194" xfId="0" applyNumberFormat="1" applyFont="1" applyBorder="1" applyAlignment="1">
      <alignment vertical="center" shrinkToFit="1"/>
    </xf>
    <xf numFmtId="176" fontId="0" fillId="0" borderId="195" xfId="0" applyNumberFormat="1" applyFont="1" applyBorder="1" applyAlignment="1">
      <alignment vertical="center"/>
    </xf>
    <xf numFmtId="176" fontId="0" fillId="0" borderId="196" xfId="0" applyNumberFormat="1" applyFont="1" applyBorder="1" applyAlignment="1">
      <alignment vertical="center"/>
    </xf>
    <xf numFmtId="176" fontId="0" fillId="0" borderId="198" xfId="0" applyNumberFormat="1" applyFont="1" applyBorder="1" applyAlignment="1">
      <alignment vertical="center"/>
    </xf>
    <xf numFmtId="176" fontId="0" fillId="0" borderId="199" xfId="0" applyNumberFormat="1" applyFont="1" applyBorder="1" applyAlignment="1">
      <alignment vertical="center" shrinkToFit="1"/>
    </xf>
    <xf numFmtId="176" fontId="0" fillId="0" borderId="200" xfId="0" applyNumberFormat="1" applyFont="1" applyBorder="1" applyAlignment="1">
      <alignment vertical="center" shrinkToFit="1"/>
    </xf>
    <xf numFmtId="176" fontId="0" fillId="0" borderId="199" xfId="0" applyNumberFormat="1" applyFont="1" applyBorder="1" applyAlignment="1">
      <alignment horizontal="center" vertical="center" shrinkToFit="1"/>
    </xf>
    <xf numFmtId="176" fontId="0" fillId="0" borderId="201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 textRotation="255" shrinkToFit="1"/>
    </xf>
    <xf numFmtId="183" fontId="0" fillId="0" borderId="0" xfId="0" applyNumberFormat="1" applyFont="1" applyFill="1" applyBorder="1" applyAlignment="1">
      <alignment vertical="center" shrinkToFit="1"/>
    </xf>
    <xf numFmtId="176" fontId="0" fillId="0" borderId="185" xfId="0" applyNumberFormat="1" applyFont="1" applyFill="1" applyBorder="1" applyAlignment="1">
      <alignment vertical="center" shrinkToFit="1"/>
    </xf>
    <xf numFmtId="176" fontId="0" fillId="0" borderId="197" xfId="0" applyNumberFormat="1" applyFont="1" applyBorder="1" applyAlignment="1">
      <alignment vertical="center"/>
    </xf>
    <xf numFmtId="176" fontId="0" fillId="0" borderId="203" xfId="0" applyNumberFormat="1" applyFont="1" applyBorder="1" applyAlignment="1">
      <alignment vertical="center" shrinkToFit="1"/>
    </xf>
    <xf numFmtId="9" fontId="0" fillId="0" borderId="203" xfId="0" applyNumberFormat="1" applyFont="1" applyBorder="1" applyAlignment="1">
      <alignment vertical="center" shrinkToFit="1"/>
    </xf>
    <xf numFmtId="176" fontId="0" fillId="0" borderId="32" xfId="0" applyNumberFormat="1" applyFont="1" applyBorder="1" applyAlignment="1">
      <alignment vertical="center" shrinkToFit="1"/>
    </xf>
    <xf numFmtId="176" fontId="0" fillId="0" borderId="193" xfId="0" applyNumberFormat="1" applyFont="1" applyBorder="1" applyAlignment="1">
      <alignment vertical="center" shrinkToFit="1"/>
    </xf>
    <xf numFmtId="176" fontId="0" fillId="0" borderId="193" xfId="0" applyNumberFormat="1" applyFont="1" applyBorder="1" applyAlignment="1">
      <alignment horizontal="right" vertical="center" shrinkToFit="1"/>
    </xf>
    <xf numFmtId="176" fontId="0" fillId="0" borderId="193" xfId="0" applyNumberFormat="1" applyFont="1" applyBorder="1" applyAlignment="1">
      <alignment horizontal="left" vertical="center" shrinkToFit="1"/>
    </xf>
    <xf numFmtId="9" fontId="0" fillId="0" borderId="193" xfId="0" applyNumberFormat="1" applyFont="1" applyBorder="1" applyAlignment="1">
      <alignment vertical="center" shrinkToFit="1"/>
    </xf>
    <xf numFmtId="176" fontId="0" fillId="0" borderId="196" xfId="0" applyNumberFormat="1" applyFont="1" applyBorder="1" applyAlignment="1">
      <alignment vertical="center" shrinkToFit="1"/>
    </xf>
    <xf numFmtId="0" fontId="2" fillId="0" borderId="85" xfId="2" applyFont="1" applyBorder="1" applyAlignment="1">
      <alignment horizontal="left" vertical="center" wrapText="1"/>
    </xf>
    <xf numFmtId="0" fontId="2" fillId="0" borderId="159" xfId="2" applyFont="1" applyBorder="1" applyAlignment="1">
      <alignment horizontal="left" vertical="center" wrapText="1"/>
    </xf>
    <xf numFmtId="0" fontId="2" fillId="0" borderId="188" xfId="2" applyFont="1" applyBorder="1" applyAlignment="1">
      <alignment horizontal="left" vertical="center" wrapText="1"/>
    </xf>
    <xf numFmtId="0" fontId="2" fillId="0" borderId="204" xfId="2" applyFont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70" xfId="0" applyNumberFormat="1" applyFont="1" applyBorder="1" applyAlignment="1">
      <alignment horizontal="center" vertical="center" shrinkToFit="1"/>
    </xf>
    <xf numFmtId="177" fontId="0" fillId="0" borderId="13" xfId="0" applyNumberFormat="1" applyFill="1" applyBorder="1" applyAlignment="1">
      <alignment vertical="center" shrinkToFit="1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4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85" xfId="0" applyNumberFormat="1" applyFont="1" applyBorder="1" applyAlignment="1">
      <alignment horizontal="center" vertical="center" shrinkToFit="1"/>
    </xf>
    <xf numFmtId="177" fontId="0" fillId="0" borderId="85" xfId="0" applyNumberFormat="1" applyFont="1" applyFill="1" applyBorder="1" applyAlignment="1">
      <alignment vertical="center" shrinkToFit="1"/>
    </xf>
    <xf numFmtId="177" fontId="0" fillId="0" borderId="85" xfId="0" applyNumberFormat="1" applyFont="1" applyFill="1" applyBorder="1" applyAlignment="1">
      <alignment vertical="center"/>
    </xf>
    <xf numFmtId="177" fontId="0" fillId="0" borderId="35" xfId="3" applyNumberFormat="1" applyFont="1" applyBorder="1" applyAlignment="1">
      <alignment horizontal="center" vertical="center" shrinkToFit="1"/>
    </xf>
    <xf numFmtId="177" fontId="0" fillId="0" borderId="5" xfId="0" applyNumberFormat="1" applyFont="1" applyBorder="1" applyAlignment="1">
      <alignment horizontal="center" vertical="center" shrinkToFit="1"/>
    </xf>
    <xf numFmtId="176" fontId="0" fillId="0" borderId="24" xfId="0" applyNumberFormat="1" applyFont="1" applyBorder="1" applyAlignment="1">
      <alignment vertical="center"/>
    </xf>
    <xf numFmtId="176" fontId="0" fillId="0" borderId="152" xfId="0" applyNumberFormat="1" applyFont="1" applyBorder="1" applyAlignment="1">
      <alignment vertical="center"/>
    </xf>
    <xf numFmtId="176" fontId="0" fillId="10" borderId="0" xfId="0" applyNumberFormat="1" applyFont="1" applyFill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7" fontId="0" fillId="0" borderId="85" xfId="0" applyNumberFormat="1" applyFont="1" applyBorder="1" applyAlignment="1">
      <alignment horizontal="center" vertical="center" shrinkToFit="1"/>
    </xf>
    <xf numFmtId="176" fontId="0" fillId="0" borderId="130" xfId="0" applyNumberFormat="1" applyFont="1" applyBorder="1" applyAlignment="1">
      <alignment vertical="center"/>
    </xf>
    <xf numFmtId="176" fontId="2" fillId="0" borderId="130" xfId="0" applyNumberFormat="1" applyFont="1" applyBorder="1" applyAlignment="1">
      <alignment vertical="center"/>
    </xf>
    <xf numFmtId="176" fontId="2" fillId="7" borderId="130" xfId="0" applyNumberFormat="1" applyFont="1" applyFill="1" applyBorder="1" applyAlignment="1">
      <alignment vertical="center"/>
    </xf>
    <xf numFmtId="176" fontId="2" fillId="5" borderId="130" xfId="0" applyNumberFormat="1" applyFont="1" applyFill="1" applyBorder="1" applyAlignment="1">
      <alignment vertical="center"/>
    </xf>
    <xf numFmtId="176" fontId="2" fillId="0" borderId="206" xfId="0" applyNumberFormat="1" applyFont="1" applyBorder="1" applyAlignment="1">
      <alignment vertical="center"/>
    </xf>
    <xf numFmtId="186" fontId="0" fillId="0" borderId="74" xfId="0" applyNumberFormat="1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176" fontId="0" fillId="0" borderId="207" xfId="0" applyNumberFormat="1" applyFont="1" applyBorder="1" applyAlignment="1">
      <alignment vertical="center" shrinkToFit="1"/>
    </xf>
    <xf numFmtId="176" fontId="0" fillId="0" borderId="208" xfId="0" applyNumberFormat="1" applyFont="1" applyBorder="1" applyAlignment="1">
      <alignment vertical="center" shrinkToFit="1"/>
    </xf>
    <xf numFmtId="176" fontId="0" fillId="0" borderId="10" xfId="0" applyNumberFormat="1" applyFont="1" applyBorder="1" applyAlignment="1">
      <alignment vertical="center" shrinkToFit="1"/>
    </xf>
    <xf numFmtId="183" fontId="0" fillId="0" borderId="10" xfId="0" applyNumberFormat="1" applyFont="1" applyBorder="1" applyAlignment="1">
      <alignment vertical="center" shrinkToFit="1"/>
    </xf>
    <xf numFmtId="176" fontId="0" fillId="0" borderId="205" xfId="0" applyNumberFormat="1" applyFont="1" applyBorder="1" applyAlignment="1">
      <alignment vertical="center" shrinkToFit="1"/>
    </xf>
    <xf numFmtId="183" fontId="0" fillId="0" borderId="209" xfId="0" applyNumberFormat="1" applyFont="1" applyBorder="1" applyAlignment="1">
      <alignment vertical="center" shrinkToFit="1"/>
    </xf>
    <xf numFmtId="0" fontId="2" fillId="0" borderId="213" xfId="2" applyFont="1" applyBorder="1" applyAlignment="1">
      <alignment horizontal="center" vertical="center" wrapText="1"/>
    </xf>
    <xf numFmtId="0" fontId="2" fillId="0" borderId="214" xfId="2" applyFont="1" applyBorder="1" applyAlignment="1">
      <alignment horizontal="center" vertical="center" wrapText="1"/>
    </xf>
    <xf numFmtId="0" fontId="2" fillId="0" borderId="129" xfId="2" applyFont="1" applyBorder="1" applyAlignment="1">
      <alignment vertical="center"/>
    </xf>
    <xf numFmtId="0" fontId="2" fillId="0" borderId="215" xfId="2" applyFont="1" applyBorder="1" applyAlignment="1">
      <alignment vertical="center"/>
    </xf>
    <xf numFmtId="0" fontId="2" fillId="0" borderId="74" xfId="2" applyFont="1" applyBorder="1" applyAlignment="1">
      <alignment vertical="center"/>
    </xf>
    <xf numFmtId="0" fontId="2" fillId="0" borderId="183" xfId="2" applyFont="1" applyBorder="1" applyAlignment="1">
      <alignment vertical="center"/>
    </xf>
    <xf numFmtId="0" fontId="2" fillId="0" borderId="58" xfId="2" applyFont="1" applyBorder="1" applyAlignment="1">
      <alignment vertical="center"/>
    </xf>
    <xf numFmtId="176" fontId="0" fillId="0" borderId="85" xfId="0" applyNumberFormat="1" applyFont="1" applyFill="1" applyBorder="1" applyAlignment="1">
      <alignment vertical="center" shrinkToFit="1"/>
    </xf>
    <xf numFmtId="176" fontId="10" fillId="0" borderId="85" xfId="0" applyNumberFormat="1" applyFont="1" applyFill="1" applyBorder="1" applyAlignment="1">
      <alignment vertical="center" shrinkToFit="1"/>
    </xf>
    <xf numFmtId="176" fontId="0" fillId="0" borderId="207" xfId="0" applyNumberFormat="1" applyFont="1" applyBorder="1" applyAlignment="1">
      <alignment horizontal="center" vertical="center" shrinkToFit="1"/>
    </xf>
    <xf numFmtId="179" fontId="10" fillId="0" borderId="85" xfId="0" applyNumberFormat="1" applyFont="1" applyBorder="1" applyAlignment="1">
      <alignment vertical="center" shrinkToFit="1"/>
    </xf>
    <xf numFmtId="187" fontId="10" fillId="0" borderId="85" xfId="0" applyNumberFormat="1" applyFont="1" applyBorder="1" applyAlignment="1">
      <alignment vertical="center" shrinkToFit="1"/>
    </xf>
    <xf numFmtId="187" fontId="10" fillId="0" borderId="85" xfId="0" applyNumberFormat="1" applyFont="1" applyBorder="1" applyAlignment="1">
      <alignment horizontal="right" vertical="center" shrinkToFit="1"/>
    </xf>
    <xf numFmtId="176" fontId="10" fillId="0" borderId="209" xfId="0" applyNumberFormat="1" applyFont="1" applyBorder="1" applyAlignment="1">
      <alignment vertical="center"/>
    </xf>
    <xf numFmtId="176" fontId="1" fillId="11" borderId="1" xfId="12" applyNumberFormat="1" applyBorder="1" applyAlignment="1">
      <alignment vertical="center" shrinkToFit="1"/>
    </xf>
    <xf numFmtId="176" fontId="10" fillId="0" borderId="0" xfId="0" applyNumberFormat="1" applyFont="1" applyAlignment="1">
      <alignment vertical="center" shrinkToFit="1"/>
    </xf>
    <xf numFmtId="177" fontId="0" fillId="0" borderId="85" xfId="0" applyNumberFormat="1" applyFont="1" applyBorder="1" applyAlignment="1">
      <alignment horizontal="center" vertical="center" shrinkToFit="1"/>
    </xf>
    <xf numFmtId="178" fontId="0" fillId="0" borderId="85" xfId="0" applyNumberFormat="1" applyFont="1" applyBorder="1" applyAlignment="1">
      <alignment vertical="center" shrinkToFit="1"/>
    </xf>
    <xf numFmtId="176" fontId="0" fillId="0" borderId="202" xfId="0" applyNumberFormat="1" applyFont="1" applyBorder="1" applyAlignment="1">
      <alignment vertical="center" shrinkToFit="1"/>
    </xf>
    <xf numFmtId="9" fontId="0" fillId="0" borderId="202" xfId="0" applyNumberFormat="1" applyFont="1" applyBorder="1" applyAlignment="1">
      <alignment vertical="center" shrinkToFit="1"/>
    </xf>
    <xf numFmtId="176" fontId="0" fillId="0" borderId="23" xfId="0" applyNumberFormat="1" applyFont="1" applyBorder="1" applyAlignment="1">
      <alignment vertical="center" shrinkToFit="1"/>
    </xf>
    <xf numFmtId="9" fontId="0" fillId="0" borderId="23" xfId="0" applyNumberFormat="1" applyFont="1" applyBorder="1" applyAlignment="1">
      <alignment vertical="center" shrinkToFit="1"/>
    </xf>
    <xf numFmtId="0" fontId="2" fillId="0" borderId="47" xfId="2" applyFont="1" applyFill="1" applyBorder="1" applyAlignment="1">
      <alignment horizontal="center" vertical="center" wrapText="1"/>
    </xf>
    <xf numFmtId="0" fontId="0" fillId="0" borderId="113" xfId="2" applyFont="1" applyBorder="1" applyAlignment="1">
      <alignment horizontal="center" vertical="center" wrapText="1"/>
    </xf>
    <xf numFmtId="0" fontId="2" fillId="10" borderId="47" xfId="2" applyFont="1" applyFill="1" applyBorder="1" applyAlignment="1">
      <alignment horizontal="center" vertical="center" wrapText="1"/>
    </xf>
    <xf numFmtId="0" fontId="11" fillId="10" borderId="47" xfId="2" applyFont="1" applyFill="1" applyBorder="1" applyAlignment="1">
      <alignment horizontal="center" vertical="center" wrapText="1"/>
    </xf>
    <xf numFmtId="0" fontId="0" fillId="9" borderId="0" xfId="0" applyFill="1" applyAlignment="1"/>
    <xf numFmtId="0" fontId="0" fillId="5" borderId="0" xfId="0" applyFill="1" applyAlignment="1"/>
    <xf numFmtId="177" fontId="0" fillId="0" borderId="182" xfId="3" applyNumberFormat="1" applyFont="1" applyBorder="1" applyAlignment="1">
      <alignment vertical="center" shrinkToFit="1"/>
    </xf>
    <xf numFmtId="176" fontId="0" fillId="0" borderId="52" xfId="3" applyNumberFormat="1" applyFont="1" applyFill="1" applyBorder="1" applyAlignment="1">
      <alignment vertical="center" shrinkToFit="1"/>
    </xf>
    <xf numFmtId="176" fontId="0" fillId="0" borderId="39" xfId="3" applyNumberFormat="1" applyFont="1" applyFill="1" applyBorder="1" applyAlignment="1">
      <alignment vertical="center" shrinkToFit="1"/>
    </xf>
    <xf numFmtId="176" fontId="0" fillId="0" borderId="182" xfId="3" applyNumberFormat="1" applyFont="1" applyFill="1" applyBorder="1" applyAlignment="1">
      <alignment vertical="center" shrinkToFit="1"/>
    </xf>
    <xf numFmtId="176" fontId="0" fillId="0" borderId="216" xfId="0" applyNumberFormat="1" applyFont="1" applyBorder="1" applyAlignment="1">
      <alignment vertical="center"/>
    </xf>
    <xf numFmtId="3" fontId="0" fillId="0" borderId="217" xfId="5" applyNumberFormat="1" applyFont="1" applyFill="1" applyBorder="1" applyAlignment="1">
      <alignment horizontal="center" vertical="center" shrinkToFit="1"/>
    </xf>
    <xf numFmtId="3" fontId="0" fillId="0" borderId="182" xfId="5" applyNumberFormat="1" applyFont="1" applyFill="1" applyBorder="1" applyAlignment="1">
      <alignment vertical="center" shrinkToFit="1"/>
    </xf>
    <xf numFmtId="176" fontId="0" fillId="0" borderId="182" xfId="0" applyNumberFormat="1" applyFont="1" applyBorder="1" applyAlignment="1">
      <alignment vertical="center" shrinkToFit="1"/>
    </xf>
    <xf numFmtId="176" fontId="0" fillId="0" borderId="183" xfId="0" applyNumberFormat="1" applyFont="1" applyBorder="1" applyAlignment="1">
      <alignment vertical="center" shrinkToFit="1"/>
    </xf>
    <xf numFmtId="0" fontId="2" fillId="0" borderId="32" xfId="2" applyFont="1" applyBorder="1" applyAlignment="1">
      <alignment horizontal="center" vertical="center"/>
    </xf>
    <xf numFmtId="0" fontId="2" fillId="0" borderId="32" xfId="2" applyFont="1" applyBorder="1" applyAlignment="1">
      <alignment vertical="center"/>
    </xf>
    <xf numFmtId="0" fontId="2" fillId="0" borderId="136" xfId="2" applyFont="1" applyBorder="1" applyAlignment="1">
      <alignment vertical="center"/>
    </xf>
    <xf numFmtId="0" fontId="2" fillId="0" borderId="99" xfId="2" applyFont="1" applyBorder="1" applyAlignment="1">
      <alignment vertical="center"/>
    </xf>
    <xf numFmtId="0" fontId="2" fillId="0" borderId="60" xfId="2" applyFont="1" applyBorder="1" applyAlignment="1">
      <alignment vertical="center"/>
    </xf>
    <xf numFmtId="0" fontId="2" fillId="0" borderId="52" xfId="2" applyFont="1" applyBorder="1" applyAlignment="1">
      <alignment vertical="center"/>
    </xf>
    <xf numFmtId="0" fontId="2" fillId="0" borderId="58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57" xfId="2" applyFont="1" applyBorder="1" applyAlignment="1">
      <alignment horizontal="center" vertical="center"/>
    </xf>
    <xf numFmtId="176" fontId="0" fillId="0" borderId="24" xfId="0" applyNumberFormat="1" applyFont="1" applyBorder="1" applyAlignment="1">
      <alignment vertical="center"/>
    </xf>
    <xf numFmtId="178" fontId="0" fillId="0" borderId="24" xfId="3" applyNumberFormat="1" applyFont="1" applyBorder="1" applyAlignment="1">
      <alignment vertical="center" shrinkToFit="1"/>
    </xf>
    <xf numFmtId="179" fontId="0" fillId="0" borderId="24" xfId="3" applyNumberFormat="1" applyFont="1" applyFill="1" applyBorder="1" applyAlignment="1">
      <alignment vertical="center" shrinkToFit="1"/>
    </xf>
    <xf numFmtId="187" fontId="0" fillId="0" borderId="1" xfId="0" applyNumberFormat="1" applyFont="1" applyBorder="1" applyAlignment="1">
      <alignment vertical="center" shrinkToFit="1"/>
    </xf>
    <xf numFmtId="187" fontId="0" fillId="0" borderId="66" xfId="0" applyNumberFormat="1" applyFont="1" applyBorder="1" applyAlignment="1">
      <alignment vertical="center" shrinkToFit="1"/>
    </xf>
    <xf numFmtId="187" fontId="0" fillId="0" borderId="2" xfId="0" applyNumberFormat="1" applyFont="1" applyBorder="1" applyAlignment="1">
      <alignment vertical="center" shrinkToFit="1"/>
    </xf>
    <xf numFmtId="187" fontId="0" fillId="0" borderId="0" xfId="0" applyNumberFormat="1" applyFont="1" applyAlignment="1">
      <alignment vertical="center"/>
    </xf>
    <xf numFmtId="187" fontId="0" fillId="5" borderId="24" xfId="0" applyNumberFormat="1" applyFont="1" applyFill="1" applyBorder="1" applyAlignment="1">
      <alignment vertical="center"/>
    </xf>
    <xf numFmtId="187" fontId="0" fillId="0" borderId="24" xfId="0" applyNumberFormat="1" applyFont="1" applyBorder="1" applyAlignment="1">
      <alignment vertical="center"/>
    </xf>
    <xf numFmtId="187" fontId="0" fillId="0" borderId="24" xfId="0" applyNumberFormat="1" applyFont="1" applyFill="1" applyBorder="1" applyAlignment="1">
      <alignment vertical="center"/>
    </xf>
    <xf numFmtId="187" fontId="0" fillId="0" borderId="67" xfId="0" applyNumberFormat="1" applyFont="1" applyBorder="1" applyAlignment="1">
      <alignment vertical="center" shrinkToFit="1"/>
    </xf>
    <xf numFmtId="187" fontId="0" fillId="0" borderId="8" xfId="0" applyNumberFormat="1" applyFont="1" applyBorder="1" applyAlignment="1">
      <alignment vertical="center" shrinkToFit="1"/>
    </xf>
    <xf numFmtId="187" fontId="0" fillId="0" borderId="19" xfId="0" applyNumberFormat="1" applyFont="1" applyBorder="1" applyAlignment="1">
      <alignment vertical="center" shrinkToFit="1"/>
    </xf>
    <xf numFmtId="187" fontId="0" fillId="0" borderId="18" xfId="0" applyNumberFormat="1" applyFont="1" applyBorder="1" applyAlignment="1">
      <alignment vertical="center" shrinkToFit="1"/>
    </xf>
    <xf numFmtId="187" fontId="0" fillId="0" borderId="69" xfId="0" applyNumberFormat="1" applyFont="1" applyBorder="1" applyAlignment="1">
      <alignment vertical="center" shrinkToFit="1"/>
    </xf>
    <xf numFmtId="176" fontId="0" fillId="0" borderId="66" xfId="0" applyNumberFormat="1" applyFont="1" applyBorder="1" applyAlignment="1">
      <alignment vertical="center" shrinkToFit="1"/>
    </xf>
    <xf numFmtId="176" fontId="0" fillId="0" borderId="67" xfId="0" applyNumberFormat="1" applyFont="1" applyBorder="1" applyAlignment="1">
      <alignment vertical="center" shrinkToFit="1"/>
    </xf>
    <xf numFmtId="176" fontId="0" fillId="0" borderId="8" xfId="0" applyNumberFormat="1" applyFont="1" applyBorder="1" applyAlignment="1">
      <alignment vertical="center" shrinkToFit="1"/>
    </xf>
    <xf numFmtId="176" fontId="0" fillId="0" borderId="18" xfId="0" applyNumberFormat="1" applyFont="1" applyBorder="1" applyAlignment="1">
      <alignment vertical="center" shrinkToFit="1"/>
    </xf>
    <xf numFmtId="176" fontId="0" fillId="0" borderId="23" xfId="0" applyNumberFormat="1" applyFont="1" applyBorder="1" applyAlignment="1">
      <alignment vertical="center" shrinkToFit="1"/>
    </xf>
    <xf numFmtId="176" fontId="0" fillId="0" borderId="207" xfId="0" applyNumberFormat="1" applyFont="1" applyBorder="1" applyAlignment="1">
      <alignment horizontal="center" vertical="center"/>
    </xf>
    <xf numFmtId="176" fontId="0" fillId="0" borderId="194" xfId="0" applyNumberFormat="1" applyFont="1" applyBorder="1" applyAlignment="1">
      <alignment horizontal="center" vertical="center"/>
    </xf>
    <xf numFmtId="179" fontId="0" fillId="0" borderId="207" xfId="0" applyNumberFormat="1" applyFont="1" applyBorder="1" applyAlignment="1">
      <alignment vertical="center" shrinkToFit="1"/>
    </xf>
    <xf numFmtId="179" fontId="0" fillId="0" borderId="208" xfId="0" applyNumberFormat="1" applyFont="1" applyBorder="1" applyAlignment="1">
      <alignment vertical="center" shrinkToFit="1"/>
    </xf>
    <xf numFmtId="179" fontId="0" fillId="0" borderId="10" xfId="0" applyNumberFormat="1" applyFont="1" applyBorder="1" applyAlignment="1">
      <alignment vertical="center" shrinkToFit="1"/>
    </xf>
    <xf numFmtId="179" fontId="0" fillId="0" borderId="0" xfId="0" applyNumberFormat="1" applyFont="1" applyBorder="1" applyAlignment="1">
      <alignment vertical="center" shrinkToFit="1"/>
    </xf>
    <xf numFmtId="179" fontId="0" fillId="0" borderId="205" xfId="0" applyNumberFormat="1" applyFont="1" applyBorder="1" applyAlignment="1">
      <alignment vertical="center" shrinkToFit="1"/>
    </xf>
    <xf numFmtId="179" fontId="0" fillId="0" borderId="220" xfId="0" applyNumberFormat="1" applyFont="1" applyBorder="1" applyAlignment="1">
      <alignment vertical="center"/>
    </xf>
    <xf numFmtId="176" fontId="0" fillId="0" borderId="221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71" xfId="0" applyNumberFormat="1" applyBorder="1" applyAlignment="1">
      <alignment vertical="center"/>
    </xf>
    <xf numFmtId="176" fontId="0" fillId="0" borderId="133" xfId="0" applyNumberFormat="1" applyFont="1" applyBorder="1" applyAlignment="1">
      <alignment vertical="center"/>
    </xf>
    <xf numFmtId="176" fontId="0" fillId="0" borderId="225" xfId="0" applyNumberFormat="1" applyFont="1" applyBorder="1" applyAlignment="1">
      <alignment horizontal="center" vertical="center"/>
    </xf>
    <xf numFmtId="0" fontId="0" fillId="0" borderId="52" xfId="0" applyBorder="1">
      <alignment vertical="center"/>
    </xf>
    <xf numFmtId="38" fontId="0" fillId="0" borderId="39" xfId="1" applyFont="1" applyBorder="1">
      <alignment vertical="center"/>
    </xf>
    <xf numFmtId="9" fontId="0" fillId="0" borderId="0" xfId="4" applyFont="1">
      <alignment vertical="center"/>
    </xf>
    <xf numFmtId="176" fontId="11" fillId="0" borderId="1" xfId="0" applyNumberFormat="1" applyFont="1" applyBorder="1" applyAlignment="1">
      <alignment vertical="center" shrinkToFit="1"/>
    </xf>
    <xf numFmtId="176" fontId="11" fillId="0" borderId="66" xfId="0" applyNumberFormat="1" applyFont="1" applyBorder="1" applyAlignment="1">
      <alignment vertical="center" shrinkToFit="1"/>
    </xf>
    <xf numFmtId="176" fontId="11" fillId="0" borderId="2" xfId="0" applyNumberFormat="1" applyFont="1" applyBorder="1" applyAlignment="1">
      <alignment vertical="center" shrinkToFit="1"/>
    </xf>
    <xf numFmtId="176" fontId="0" fillId="5" borderId="1" xfId="0" applyNumberFormat="1" applyFont="1" applyFill="1" applyBorder="1" applyAlignment="1">
      <alignment vertical="center" shrinkToFit="1"/>
    </xf>
    <xf numFmtId="176" fontId="0" fillId="5" borderId="66" xfId="0" applyNumberFormat="1" applyFont="1" applyFill="1" applyBorder="1" applyAlignment="1">
      <alignment vertical="center" shrinkToFit="1"/>
    </xf>
    <xf numFmtId="187" fontId="0" fillId="5" borderId="66" xfId="0" applyNumberFormat="1" applyFont="1" applyFill="1" applyBorder="1" applyAlignment="1">
      <alignment vertical="center" shrinkToFit="1"/>
    </xf>
    <xf numFmtId="187" fontId="11" fillId="0" borderId="1" xfId="0" applyNumberFormat="1" applyFont="1" applyBorder="1" applyAlignment="1">
      <alignment vertical="center" shrinkToFit="1"/>
    </xf>
    <xf numFmtId="187" fontId="11" fillId="0" borderId="66" xfId="0" applyNumberFormat="1" applyFont="1" applyBorder="1" applyAlignment="1">
      <alignment vertical="center" shrinkToFit="1"/>
    </xf>
    <xf numFmtId="187" fontId="0" fillId="5" borderId="1" xfId="0" applyNumberFormat="1" applyFont="1" applyFill="1" applyBorder="1" applyAlignment="1">
      <alignment vertical="center" shrinkToFit="1"/>
    </xf>
    <xf numFmtId="187" fontId="11" fillId="5" borderId="66" xfId="0" applyNumberFormat="1" applyFont="1" applyFill="1" applyBorder="1" applyAlignment="1">
      <alignment vertical="center" shrinkToFit="1"/>
    </xf>
    <xf numFmtId="0" fontId="9" fillId="0" borderId="0" xfId="2" applyFont="1" applyBorder="1" applyAlignment="1">
      <alignment vertical="center" wrapText="1"/>
    </xf>
    <xf numFmtId="0" fontId="2" fillId="0" borderId="85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24" xfId="2" applyFont="1" applyBorder="1" applyAlignment="1">
      <alignment horizontal="center" vertical="center"/>
    </xf>
    <xf numFmtId="0" fontId="2" fillId="0" borderId="58" xfId="2" applyFont="1" applyBorder="1" applyAlignment="1">
      <alignment vertical="center" wrapText="1"/>
    </xf>
    <xf numFmtId="176" fontId="0" fillId="0" borderId="152" xfId="0" applyNumberFormat="1" applyFont="1" applyBorder="1" applyAlignment="1">
      <alignment vertical="center"/>
    </xf>
    <xf numFmtId="176" fontId="11" fillId="5" borderId="1" xfId="0" applyNumberFormat="1" applyFont="1" applyFill="1" applyBorder="1" applyAlignment="1">
      <alignment vertical="center" shrinkToFit="1"/>
    </xf>
    <xf numFmtId="176" fontId="11" fillId="5" borderId="66" xfId="0" applyNumberFormat="1" applyFont="1" applyFill="1" applyBorder="1" applyAlignment="1">
      <alignment vertical="center" shrinkToFit="1"/>
    </xf>
    <xf numFmtId="176" fontId="0" fillId="12" borderId="0" xfId="0" applyNumberFormat="1" applyFont="1" applyFill="1" applyBorder="1" applyAlignment="1">
      <alignment vertical="center"/>
    </xf>
    <xf numFmtId="176" fontId="21" fillId="10" borderId="0" xfId="0" applyNumberFormat="1" applyFont="1" applyFill="1" applyAlignment="1">
      <alignment vertical="center"/>
    </xf>
    <xf numFmtId="176" fontId="0" fillId="0" borderId="187" xfId="0" applyNumberFormat="1" applyFont="1" applyBorder="1" applyAlignment="1">
      <alignment vertical="center" shrinkToFit="1"/>
    </xf>
    <xf numFmtId="0" fontId="9" fillId="0" borderId="226" xfId="0" applyFont="1" applyBorder="1" applyAlignment="1">
      <alignment horizontal="center" vertical="center" shrinkToFit="1"/>
    </xf>
    <xf numFmtId="0" fontId="9" fillId="0" borderId="229" xfId="0" applyFont="1" applyBorder="1" applyAlignment="1">
      <alignment horizontal="center" vertical="center" shrinkToFit="1"/>
    </xf>
    <xf numFmtId="0" fontId="9" fillId="0" borderId="237" xfId="2" applyFont="1" applyBorder="1" applyAlignment="1">
      <alignment horizontal="center" vertical="center" wrapText="1"/>
    </xf>
    <xf numFmtId="186" fontId="9" fillId="0" borderId="187" xfId="2" applyNumberFormat="1" applyFont="1" applyBorder="1" applyAlignment="1">
      <alignment horizontal="right" vertical="center" wrapText="1"/>
    </xf>
    <xf numFmtId="0" fontId="2" fillId="0" borderId="188" xfId="2" applyFont="1" applyBorder="1" applyAlignment="1">
      <alignment horizontal="center" vertical="center" wrapText="1"/>
    </xf>
    <xf numFmtId="0" fontId="2" fillId="0" borderId="166" xfId="2" applyFont="1" applyBorder="1" applyAlignment="1">
      <alignment horizontal="center" vertical="center" wrapText="1"/>
    </xf>
    <xf numFmtId="0" fontId="0" fillId="0" borderId="188" xfId="2" applyFont="1" applyBorder="1" applyAlignment="1">
      <alignment horizontal="center" vertical="center" wrapText="1"/>
    </xf>
    <xf numFmtId="0" fontId="2" fillId="0" borderId="188" xfId="2" applyFont="1" applyFill="1" applyBorder="1" applyAlignment="1">
      <alignment horizontal="center" vertical="center" wrapText="1"/>
    </xf>
    <xf numFmtId="0" fontId="11" fillId="10" borderId="166" xfId="2" applyFont="1" applyFill="1" applyBorder="1" applyAlignment="1">
      <alignment horizontal="center" vertical="center" wrapText="1"/>
    </xf>
    <xf numFmtId="0" fontId="11" fillId="10" borderId="188" xfId="2" applyFont="1" applyFill="1" applyBorder="1" applyAlignment="1">
      <alignment horizontal="center" vertical="center" wrapText="1"/>
    </xf>
    <xf numFmtId="0" fontId="2" fillId="0" borderId="166" xfId="2" applyFont="1" applyFill="1" applyBorder="1" applyAlignment="1">
      <alignment horizontal="center" vertical="center" wrapText="1"/>
    </xf>
    <xf numFmtId="0" fontId="2" fillId="0" borderId="167" xfId="2" applyFont="1" applyBorder="1" applyAlignment="1">
      <alignment horizontal="center" vertical="center" wrapText="1"/>
    </xf>
    <xf numFmtId="0" fontId="2" fillId="10" borderId="188" xfId="2" applyFont="1" applyFill="1" applyBorder="1" applyAlignment="1">
      <alignment horizontal="center" vertical="center" wrapText="1"/>
    </xf>
    <xf numFmtId="0" fontId="2" fillId="10" borderId="166" xfId="2" applyFont="1" applyFill="1" applyBorder="1" applyAlignment="1">
      <alignment horizontal="center" vertical="center" wrapText="1"/>
    </xf>
    <xf numFmtId="0" fontId="9" fillId="0" borderId="188" xfId="2" applyFont="1" applyBorder="1" applyAlignment="1">
      <alignment horizontal="left" vertical="center" indent="1" shrinkToFit="1"/>
    </xf>
    <xf numFmtId="0" fontId="9" fillId="0" borderId="166" xfId="2" applyFont="1" applyBorder="1" applyAlignment="1">
      <alignment horizontal="left" vertical="center" indent="1" shrinkToFit="1"/>
    </xf>
    <xf numFmtId="0" fontId="9" fillId="0" borderId="187" xfId="2" applyFont="1" applyBorder="1" applyAlignment="1">
      <alignment horizontal="right" vertical="center" wrapText="1"/>
    </xf>
    <xf numFmtId="0" fontId="9" fillId="0" borderId="187" xfId="2" applyFont="1" applyBorder="1" applyAlignment="1">
      <alignment horizontal="left" vertical="center" wrapText="1"/>
    </xf>
    <xf numFmtId="0" fontId="2" fillId="0" borderId="241" xfId="2" applyFont="1" applyBorder="1" applyAlignment="1">
      <alignment horizontal="center" vertical="center" wrapText="1"/>
    </xf>
    <xf numFmtId="0" fontId="2" fillId="0" borderId="242" xfId="2" applyFont="1" applyBorder="1" applyAlignment="1">
      <alignment horizontal="center" vertical="center" wrapText="1"/>
    </xf>
    <xf numFmtId="0" fontId="2" fillId="0" borderId="243" xfId="2" applyFont="1" applyBorder="1" applyAlignment="1">
      <alignment horizontal="center" vertical="center" wrapText="1"/>
    </xf>
    <xf numFmtId="0" fontId="2" fillId="0" borderId="244" xfId="2" applyFont="1" applyBorder="1" applyAlignment="1">
      <alignment horizontal="center" vertical="center" wrapText="1"/>
    </xf>
    <xf numFmtId="0" fontId="2" fillId="0" borderId="53" xfId="2" applyFont="1" applyBorder="1" applyAlignment="1">
      <alignment horizontal="center" vertical="center" wrapText="1"/>
    </xf>
    <xf numFmtId="0" fontId="2" fillId="0" borderId="212" xfId="2" applyFont="1" applyBorder="1" applyAlignment="1">
      <alignment horizontal="center" vertical="center" wrapText="1"/>
    </xf>
    <xf numFmtId="0" fontId="2" fillId="0" borderId="211" xfId="2" applyFont="1" applyBorder="1" applyAlignment="1">
      <alignment horizontal="center" vertical="center" wrapText="1"/>
    </xf>
    <xf numFmtId="0" fontId="2" fillId="0" borderId="218" xfId="2" applyFont="1" applyBorder="1" applyAlignment="1">
      <alignment horizontal="center" vertical="center" wrapText="1"/>
    </xf>
    <xf numFmtId="0" fontId="2" fillId="0" borderId="210" xfId="2" applyFont="1" applyBorder="1" applyAlignment="1">
      <alignment horizontal="center" vertical="center" wrapText="1"/>
    </xf>
    <xf numFmtId="0" fontId="2" fillId="0" borderId="213" xfId="2" applyFont="1" applyBorder="1" applyAlignment="1">
      <alignment vertical="center" wrapText="1"/>
    </xf>
    <xf numFmtId="0" fontId="2" fillId="0" borderId="198" xfId="2" applyFont="1" applyBorder="1" applyAlignment="1">
      <alignment vertical="center"/>
    </xf>
    <xf numFmtId="0" fontId="2" fillId="0" borderId="184" xfId="2" applyFont="1" applyBorder="1" applyAlignment="1">
      <alignment vertical="center"/>
    </xf>
    <xf numFmtId="0" fontId="2" fillId="0" borderId="52" xfId="2" applyFont="1" applyBorder="1" applyAlignment="1">
      <alignment horizontal="center" vertical="center"/>
    </xf>
    <xf numFmtId="0" fontId="2" fillId="0" borderId="183" xfId="2" applyFont="1" applyBorder="1" applyAlignment="1">
      <alignment vertical="center" shrinkToFit="1"/>
    </xf>
    <xf numFmtId="0" fontId="2" fillId="0" borderId="182" xfId="2" applyFont="1" applyBorder="1" applyAlignment="1">
      <alignment vertical="center" wrapText="1"/>
    </xf>
    <xf numFmtId="0" fontId="2" fillId="0" borderId="52" xfId="2" applyFont="1" applyBorder="1" applyAlignment="1">
      <alignment vertical="center" wrapText="1"/>
    </xf>
    <xf numFmtId="0" fontId="2" fillId="0" borderId="85" xfId="2" applyFont="1" applyBorder="1" applyAlignment="1">
      <alignment horizontal="center" vertical="center"/>
    </xf>
    <xf numFmtId="0" fontId="2" fillId="0" borderId="85" xfId="2" applyFont="1" applyBorder="1" applyAlignment="1">
      <alignment horizontal="right" vertical="center" wrapText="1"/>
    </xf>
    <xf numFmtId="0" fontId="2" fillId="0" borderId="106" xfId="2" applyFont="1" applyBorder="1" applyAlignment="1">
      <alignment vertical="center" wrapText="1"/>
    </xf>
    <xf numFmtId="0" fontId="2" fillId="0" borderId="106" xfId="2" applyFont="1" applyBorder="1" applyAlignment="1">
      <alignment horizontal="right" vertical="center" wrapText="1"/>
    </xf>
    <xf numFmtId="0" fontId="22" fillId="0" borderId="0" xfId="2" applyFont="1" applyAlignment="1">
      <alignment horizontal="justify" vertical="center"/>
    </xf>
    <xf numFmtId="0" fontId="2" fillId="0" borderId="181" xfId="2" applyFont="1" applyBorder="1" applyAlignment="1">
      <alignment horizontal="center" vertical="center" wrapText="1"/>
    </xf>
    <xf numFmtId="0" fontId="2" fillId="0" borderId="105" xfId="2" applyFont="1" applyBorder="1" applyAlignment="1">
      <alignment horizontal="center" vertical="center" wrapText="1"/>
    </xf>
    <xf numFmtId="0" fontId="2" fillId="0" borderId="188" xfId="2" applyFont="1" applyBorder="1" applyAlignment="1">
      <alignment vertical="center" wrapText="1"/>
    </xf>
    <xf numFmtId="0" fontId="2" fillId="0" borderId="159" xfId="2" applyFont="1" applyBorder="1" applyAlignment="1">
      <alignment vertical="center" wrapText="1"/>
    </xf>
    <xf numFmtId="0" fontId="2" fillId="0" borderId="72" xfId="2" applyFont="1" applyBorder="1" applyAlignment="1">
      <alignment vertical="center" wrapText="1"/>
    </xf>
    <xf numFmtId="0" fontId="2" fillId="0" borderId="159" xfId="2" applyFont="1" applyBorder="1" applyAlignment="1">
      <alignment horizontal="center" vertical="center" wrapText="1"/>
    </xf>
    <xf numFmtId="0" fontId="2" fillId="0" borderId="72" xfId="2" applyFont="1" applyBorder="1" applyAlignment="1">
      <alignment horizontal="center" vertical="center" wrapText="1"/>
    </xf>
    <xf numFmtId="0" fontId="2" fillId="0" borderId="72" xfId="2" applyFont="1" applyBorder="1" applyAlignment="1">
      <alignment horizontal="left" vertical="center" wrapText="1"/>
    </xf>
    <xf numFmtId="0" fontId="2" fillId="0" borderId="219" xfId="2" applyFont="1" applyBorder="1" applyAlignment="1">
      <alignment horizontal="center" vertical="center" wrapText="1"/>
    </xf>
    <xf numFmtId="0" fontId="2" fillId="0" borderId="0" xfId="2" applyFont="1" applyBorder="1" applyAlignment="1">
      <alignment vertical="center" wrapText="1"/>
    </xf>
    <xf numFmtId="0" fontId="2" fillId="0" borderId="58" xfId="2" applyFont="1" applyBorder="1" applyAlignment="1">
      <alignment horizontal="center" vertical="center" shrinkToFit="1"/>
    </xf>
    <xf numFmtId="181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176" fontId="0" fillId="0" borderId="66" xfId="0" applyNumberFormat="1" applyFont="1" applyFill="1" applyBorder="1" applyAlignment="1">
      <alignment vertical="center" shrinkToFit="1"/>
    </xf>
    <xf numFmtId="176" fontId="23" fillId="0" borderId="0" xfId="0" applyNumberFormat="1" applyFont="1" applyAlignment="1">
      <alignment vertical="center"/>
    </xf>
    <xf numFmtId="176" fontId="23" fillId="0" borderId="258" xfId="0" applyNumberFormat="1" applyFont="1" applyBorder="1" applyAlignment="1">
      <alignment vertical="center"/>
    </xf>
    <xf numFmtId="176" fontId="23" fillId="0" borderId="259" xfId="0" applyNumberFormat="1" applyFont="1" applyBorder="1" applyAlignment="1">
      <alignment vertical="center"/>
    </xf>
    <xf numFmtId="187" fontId="23" fillId="5" borderId="259" xfId="0" applyNumberFormat="1" applyFont="1" applyFill="1" applyBorder="1" applyAlignment="1">
      <alignment vertical="center"/>
    </xf>
    <xf numFmtId="187" fontId="23" fillId="0" borderId="259" xfId="0" applyNumberFormat="1" applyFont="1" applyBorder="1" applyAlignment="1">
      <alignment vertical="center"/>
    </xf>
    <xf numFmtId="187" fontId="23" fillId="0" borderId="259" xfId="0" applyNumberFormat="1" applyFont="1" applyFill="1" applyBorder="1" applyAlignment="1">
      <alignment vertical="center"/>
    </xf>
    <xf numFmtId="179" fontId="23" fillId="0" borderId="0" xfId="0" applyNumberFormat="1" applyFont="1" applyAlignment="1">
      <alignment vertical="center"/>
    </xf>
    <xf numFmtId="176" fontId="23" fillId="0" borderId="0" xfId="0" applyNumberFormat="1" applyFont="1" applyFill="1" applyAlignment="1">
      <alignment vertical="center"/>
    </xf>
    <xf numFmtId="179" fontId="23" fillId="0" borderId="0" xfId="0" applyNumberFormat="1" applyFont="1" applyFill="1" applyAlignment="1">
      <alignment vertical="center"/>
    </xf>
    <xf numFmtId="182" fontId="0" fillId="0" borderId="141" xfId="0" applyNumberFormat="1" applyFon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179" fontId="0" fillId="0" borderId="125" xfId="0" applyNumberFormat="1" applyFont="1" applyFill="1" applyBorder="1" applyAlignment="1">
      <alignment horizontal="center" vertical="center" shrinkToFit="1"/>
    </xf>
    <xf numFmtId="185" fontId="23" fillId="0" borderId="0" xfId="0" applyNumberFormat="1" applyFont="1" applyAlignment="1">
      <alignment vertical="center"/>
    </xf>
    <xf numFmtId="176" fontId="0" fillId="0" borderId="234" xfId="0" applyNumberFormat="1" applyFont="1" applyBorder="1" applyAlignment="1">
      <alignment horizontal="center" vertical="center" shrinkToFit="1"/>
    </xf>
    <xf numFmtId="176" fontId="0" fillId="0" borderId="260" xfId="0" applyNumberFormat="1" applyFont="1" applyBorder="1" applyAlignment="1">
      <alignment horizontal="center" vertical="center" shrinkToFit="1"/>
    </xf>
    <xf numFmtId="176" fontId="0" fillId="0" borderId="261" xfId="0" applyNumberFormat="1" applyFont="1" applyBorder="1" applyAlignment="1">
      <alignment horizontal="center" vertical="center" shrinkToFit="1"/>
    </xf>
    <xf numFmtId="176" fontId="0" fillId="0" borderId="189" xfId="0" applyNumberFormat="1" applyFont="1" applyBorder="1" applyAlignment="1">
      <alignment vertical="center" shrinkToFit="1"/>
    </xf>
    <xf numFmtId="0" fontId="2" fillId="0" borderId="24" xfId="2" applyFont="1" applyBorder="1" applyAlignment="1">
      <alignment horizontal="center" vertical="center"/>
    </xf>
    <xf numFmtId="0" fontId="2" fillId="0" borderId="252" xfId="2" applyFont="1" applyBorder="1" applyAlignment="1">
      <alignment horizontal="center" vertical="center"/>
    </xf>
    <xf numFmtId="0" fontId="2" fillId="0" borderId="187" xfId="2" applyFont="1" applyBorder="1" applyAlignment="1">
      <alignment horizontal="center" vertical="center" wrapText="1"/>
    </xf>
    <xf numFmtId="0" fontId="2" fillId="0" borderId="188" xfId="2" applyFont="1" applyBorder="1" applyAlignment="1">
      <alignment horizontal="center" vertical="center" wrapText="1"/>
    </xf>
    <xf numFmtId="0" fontId="2" fillId="0" borderId="188" xfId="2" applyFont="1" applyBorder="1" applyAlignment="1">
      <alignment horizontal="left" vertical="center" wrapText="1"/>
    </xf>
    <xf numFmtId="0" fontId="2" fillId="0" borderId="263" xfId="2" applyFont="1" applyBorder="1" applyAlignment="1">
      <alignment horizontal="center" vertical="center" wrapText="1"/>
    </xf>
    <xf numFmtId="0" fontId="2" fillId="0" borderId="264" xfId="2" applyFont="1" applyBorder="1" applyAlignment="1">
      <alignment horizontal="center" vertical="center" wrapText="1"/>
    </xf>
    <xf numFmtId="0" fontId="2" fillId="0" borderId="187" xfId="2" applyFont="1" applyBorder="1" applyAlignment="1">
      <alignment vertical="center" wrapText="1"/>
    </xf>
    <xf numFmtId="0" fontId="2" fillId="0" borderId="187" xfId="2" applyFont="1" applyBorder="1" applyAlignment="1">
      <alignment horizontal="center" vertical="center"/>
    </xf>
    <xf numFmtId="0" fontId="2" fillId="0" borderId="269" xfId="2" applyFont="1" applyBorder="1" applyAlignment="1">
      <alignment vertical="center" wrapText="1"/>
    </xf>
    <xf numFmtId="0" fontId="2" fillId="0" borderId="269" xfId="2" applyFont="1" applyBorder="1" applyAlignment="1">
      <alignment horizontal="right" vertical="center" wrapText="1"/>
    </xf>
    <xf numFmtId="0" fontId="2" fillId="0" borderId="269" xfId="2" applyFont="1" applyBorder="1" applyAlignment="1">
      <alignment horizontal="center" vertical="center" wrapText="1"/>
    </xf>
    <xf numFmtId="0" fontId="2" fillId="0" borderId="270" xfId="2" applyFont="1" applyBorder="1" applyAlignment="1">
      <alignment horizontal="center" vertical="center" wrapText="1"/>
    </xf>
    <xf numFmtId="0" fontId="2" fillId="0" borderId="271" xfId="2" applyFont="1" applyBorder="1" applyAlignment="1">
      <alignment vertical="center" wrapText="1"/>
    </xf>
    <xf numFmtId="0" fontId="2" fillId="0" borderId="271" xfId="2" applyFont="1" applyBorder="1" applyAlignment="1">
      <alignment horizontal="center" vertical="center" wrapText="1"/>
    </xf>
    <xf numFmtId="0" fontId="2" fillId="0" borderId="187" xfId="2" applyFont="1" applyBorder="1" applyAlignment="1">
      <alignment horizontal="left" vertical="center" wrapText="1"/>
    </xf>
    <xf numFmtId="0" fontId="2" fillId="0" borderId="271" xfId="2" applyFont="1" applyBorder="1" applyAlignment="1">
      <alignment horizontal="left" vertical="center" wrapText="1"/>
    </xf>
    <xf numFmtId="0" fontId="2" fillId="0" borderId="272" xfId="2" applyFont="1" applyBorder="1" applyAlignment="1">
      <alignment horizontal="center" vertical="center" wrapText="1"/>
    </xf>
    <xf numFmtId="0" fontId="2" fillId="0" borderId="273" xfId="2" applyFont="1" applyBorder="1" applyAlignment="1">
      <alignment horizontal="center" vertical="center" wrapText="1"/>
    </xf>
    <xf numFmtId="0" fontId="0" fillId="0" borderId="24" xfId="0" applyBorder="1">
      <alignment vertical="center"/>
    </xf>
    <xf numFmtId="38" fontId="0" fillId="0" borderId="24" xfId="1" applyFont="1" applyBorder="1">
      <alignment vertical="center"/>
    </xf>
    <xf numFmtId="0" fontId="0" fillId="0" borderId="24" xfId="0" applyFill="1" applyBorder="1">
      <alignment vertical="center"/>
    </xf>
    <xf numFmtId="176" fontId="0" fillId="0" borderId="52" xfId="0" applyNumberFormat="1" applyFont="1" applyBorder="1" applyAlignment="1">
      <alignment vertical="center"/>
    </xf>
    <xf numFmtId="176" fontId="0" fillId="0" borderId="136" xfId="0" applyNumberFormat="1" applyFont="1" applyBorder="1" applyAlignment="1">
      <alignment vertical="center"/>
    </xf>
    <xf numFmtId="0" fontId="0" fillId="0" borderId="276" xfId="0" applyBorder="1">
      <alignment vertical="center"/>
    </xf>
    <xf numFmtId="176" fontId="0" fillId="0" borderId="277" xfId="0" applyNumberFormat="1" applyFont="1" applyBorder="1" applyAlignment="1">
      <alignment horizontal="center" vertical="center"/>
    </xf>
    <xf numFmtId="176" fontId="0" fillId="0" borderId="278" xfId="0" applyNumberFormat="1" applyFont="1" applyBorder="1" applyAlignment="1">
      <alignment horizontal="center" vertical="center"/>
    </xf>
    <xf numFmtId="176" fontId="0" fillId="0" borderId="279" xfId="0" applyNumberFormat="1" applyFont="1" applyBorder="1" applyAlignment="1">
      <alignment horizontal="center" vertical="center"/>
    </xf>
    <xf numFmtId="0" fontId="0" fillId="0" borderId="39" xfId="0" applyBorder="1">
      <alignment vertical="center"/>
    </xf>
    <xf numFmtId="176" fontId="0" fillId="0" borderId="280" xfId="0" applyNumberFormat="1" applyFont="1" applyBorder="1" applyAlignment="1">
      <alignment vertical="center"/>
    </xf>
    <xf numFmtId="176" fontId="0" fillId="0" borderId="95" xfId="0" applyNumberFormat="1" applyFont="1" applyBorder="1" applyAlignment="1">
      <alignment vertical="center"/>
    </xf>
    <xf numFmtId="0" fontId="0" fillId="0" borderId="148" xfId="0" applyBorder="1">
      <alignment vertical="center"/>
    </xf>
    <xf numFmtId="38" fontId="0" fillId="0" borderId="183" xfId="1" applyFont="1" applyBorder="1">
      <alignment vertical="center"/>
    </xf>
    <xf numFmtId="38" fontId="0" fillId="0" borderId="216" xfId="1" applyFont="1" applyBorder="1">
      <alignment vertical="center"/>
    </xf>
    <xf numFmtId="0" fontId="0" fillId="0" borderId="95" xfId="0" applyBorder="1">
      <alignment vertical="center"/>
    </xf>
    <xf numFmtId="0" fontId="0" fillId="0" borderId="251" xfId="0" applyBorder="1">
      <alignment vertical="center"/>
    </xf>
    <xf numFmtId="38" fontId="0" fillId="0" borderId="285" xfId="1" applyFont="1" applyBorder="1">
      <alignment vertical="center"/>
    </xf>
    <xf numFmtId="0" fontId="0" fillId="0" borderId="92" xfId="0" applyBorder="1">
      <alignment vertical="center"/>
    </xf>
    <xf numFmtId="38" fontId="0" fillId="0" borderId="58" xfId="1" applyFont="1" applyBorder="1">
      <alignment vertical="center"/>
    </xf>
    <xf numFmtId="0" fontId="0" fillId="0" borderId="148" xfId="0" applyFill="1" applyBorder="1">
      <alignment vertical="center"/>
    </xf>
    <xf numFmtId="0" fontId="0" fillId="0" borderId="251" xfId="0" applyFill="1" applyBorder="1">
      <alignment vertical="center"/>
    </xf>
    <xf numFmtId="0" fontId="0" fillId="0" borderId="97" xfId="0" applyBorder="1">
      <alignment vertical="center"/>
    </xf>
    <xf numFmtId="38" fontId="0" fillId="0" borderId="101" xfId="1" applyFont="1" applyBorder="1">
      <alignment vertical="center"/>
    </xf>
    <xf numFmtId="0" fontId="0" fillId="0" borderId="58" xfId="2" applyFont="1" applyBorder="1" applyAlignment="1">
      <alignment vertical="center" wrapText="1"/>
    </xf>
    <xf numFmtId="0" fontId="2" fillId="0" borderId="213" xfId="2" applyFont="1" applyBorder="1" applyAlignment="1">
      <alignment horizontal="left" vertical="center" wrapText="1"/>
    </xf>
    <xf numFmtId="0" fontId="2" fillId="0" borderId="252" xfId="2" applyFont="1" applyBorder="1" applyAlignment="1">
      <alignment horizontal="left" vertical="center"/>
    </xf>
    <xf numFmtId="0" fontId="2" fillId="0" borderId="32" xfId="2" applyFont="1" applyBorder="1" applyAlignment="1">
      <alignment horizontal="left" vertical="center" wrapText="1"/>
    </xf>
    <xf numFmtId="0" fontId="2" fillId="0" borderId="58" xfId="2" applyFont="1" applyBorder="1" applyAlignment="1">
      <alignment horizontal="left" vertical="center" wrapText="1"/>
    </xf>
    <xf numFmtId="0" fontId="0" fillId="0" borderId="286" xfId="0" applyBorder="1">
      <alignment vertical="center"/>
    </xf>
    <xf numFmtId="0" fontId="0" fillId="0" borderId="287" xfId="0" applyBorder="1">
      <alignment vertical="center"/>
    </xf>
    <xf numFmtId="0" fontId="0" fillId="0" borderId="288" xfId="0" applyBorder="1">
      <alignment vertical="center"/>
    </xf>
    <xf numFmtId="0" fontId="0" fillId="0" borderId="289" xfId="0" applyBorder="1">
      <alignment vertical="center"/>
    </xf>
    <xf numFmtId="0" fontId="0" fillId="0" borderId="290" xfId="0" applyBorder="1">
      <alignment vertical="center"/>
    </xf>
    <xf numFmtId="0" fontId="0" fillId="0" borderId="291" xfId="0" applyBorder="1">
      <alignment vertical="center"/>
    </xf>
    <xf numFmtId="1" fontId="0" fillId="0" borderId="292" xfId="0" applyNumberFormat="1" applyBorder="1">
      <alignment vertical="center"/>
    </xf>
    <xf numFmtId="1" fontId="0" fillId="0" borderId="293" xfId="0" applyNumberFormat="1" applyBorder="1">
      <alignment vertical="center"/>
    </xf>
    <xf numFmtId="1" fontId="0" fillId="0" borderId="294" xfId="0" applyNumberFormat="1" applyBorder="1">
      <alignment vertical="center"/>
    </xf>
    <xf numFmtId="0" fontId="0" fillId="0" borderId="292" xfId="0" applyBorder="1">
      <alignment vertical="center"/>
    </xf>
    <xf numFmtId="0" fontId="0" fillId="0" borderId="293" xfId="0" applyBorder="1">
      <alignment vertical="center"/>
    </xf>
    <xf numFmtId="0" fontId="0" fillId="0" borderId="294" xfId="0" applyBorder="1">
      <alignment vertical="center"/>
    </xf>
    <xf numFmtId="0" fontId="0" fillId="0" borderId="295" xfId="0" applyBorder="1">
      <alignment vertical="center"/>
    </xf>
    <xf numFmtId="0" fontId="0" fillId="0" borderId="296" xfId="0" applyBorder="1">
      <alignment vertical="center"/>
    </xf>
    <xf numFmtId="0" fontId="0" fillId="0" borderId="297" xfId="0" applyBorder="1">
      <alignment vertical="center"/>
    </xf>
    <xf numFmtId="188" fontId="0" fillId="0" borderId="298" xfId="0" applyNumberFormat="1" applyFont="1" applyBorder="1" applyAlignment="1">
      <alignment vertical="center" shrinkToFit="1"/>
    </xf>
    <xf numFmtId="188" fontId="0" fillId="0" borderId="299" xfId="0" applyNumberFormat="1" applyFont="1" applyBorder="1" applyAlignment="1">
      <alignment vertical="center" shrinkToFit="1"/>
    </xf>
    <xf numFmtId="188" fontId="0" fillId="0" borderId="300" xfId="0" applyNumberFormat="1" applyFont="1" applyBorder="1" applyAlignment="1">
      <alignment vertical="center" shrinkToFit="1"/>
    </xf>
    <xf numFmtId="176" fontId="0" fillId="0" borderId="286" xfId="0" applyNumberFormat="1" applyFont="1" applyBorder="1" applyAlignment="1">
      <alignment horizontal="center" vertical="center"/>
    </xf>
    <xf numFmtId="176" fontId="0" fillId="0" borderId="287" xfId="0" applyNumberFormat="1" applyFont="1" applyBorder="1" applyAlignment="1">
      <alignment horizontal="center" vertical="center"/>
    </xf>
    <xf numFmtId="176" fontId="0" fillId="0" borderId="288" xfId="0" applyNumberFormat="1" applyFont="1" applyBorder="1" applyAlignment="1">
      <alignment horizontal="center" vertical="center"/>
    </xf>
    <xf numFmtId="0" fontId="9" fillId="0" borderId="231" xfId="0" quotePrefix="1" applyFont="1" applyBorder="1" applyAlignment="1">
      <alignment horizontal="center" vertical="center" shrinkToFit="1"/>
    </xf>
    <xf numFmtId="0" fontId="9" fillId="0" borderId="231" xfId="0" applyFont="1" applyBorder="1" applyAlignment="1">
      <alignment horizontal="center" vertical="center" shrinkToFit="1"/>
    </xf>
    <xf numFmtId="0" fontId="9" fillId="0" borderId="232" xfId="0" applyFont="1" applyBorder="1" applyAlignment="1">
      <alignment horizontal="center" vertical="center" shrinkToFit="1"/>
    </xf>
    <xf numFmtId="0" fontId="9" fillId="0" borderId="227" xfId="0" applyFont="1" applyBorder="1" applyAlignment="1">
      <alignment horizontal="center" vertical="center" shrinkToFit="1"/>
    </xf>
    <xf numFmtId="0" fontId="9" fillId="0" borderId="228" xfId="0" applyFont="1" applyBorder="1" applyAlignment="1">
      <alignment horizontal="center" vertical="center" shrinkToFit="1"/>
    </xf>
    <xf numFmtId="0" fontId="9" fillId="0" borderId="230" xfId="0" applyFont="1" applyBorder="1" applyAlignment="1">
      <alignment horizontal="center" vertical="center" shrinkToFit="1"/>
    </xf>
    <xf numFmtId="0" fontId="2" fillId="0" borderId="227" xfId="0" applyFont="1" applyBorder="1" applyAlignment="1">
      <alignment horizontal="center" vertical="center" shrinkToFit="1"/>
    </xf>
    <xf numFmtId="0" fontId="2" fillId="0" borderId="230" xfId="0" applyFont="1" applyBorder="1" applyAlignment="1">
      <alignment horizontal="center" vertical="center" shrinkToFit="1"/>
    </xf>
    <xf numFmtId="0" fontId="2" fillId="0" borderId="228" xfId="0" applyFont="1" applyBorder="1" applyAlignment="1">
      <alignment horizontal="center" vertical="center" shrinkToFit="1"/>
    </xf>
    <xf numFmtId="0" fontId="9" fillId="0" borderId="229" xfId="0" applyFont="1" applyBorder="1" applyAlignment="1">
      <alignment horizontal="center" vertical="center" wrapText="1" shrinkToFit="1"/>
    </xf>
    <xf numFmtId="0" fontId="2" fillId="0" borderId="229" xfId="0" applyFont="1" applyBorder="1" applyAlignment="1">
      <alignment horizontal="center" vertical="center" shrinkToFit="1"/>
    </xf>
    <xf numFmtId="0" fontId="9" fillId="0" borderId="229" xfId="0" applyFont="1" applyBorder="1" applyAlignment="1">
      <alignment horizontal="center" vertical="center" shrinkToFit="1"/>
    </xf>
    <xf numFmtId="0" fontId="9" fillId="0" borderId="0" xfId="2" applyFont="1" applyBorder="1" applyAlignment="1">
      <alignment horizontal="center" vertical="center" wrapText="1"/>
    </xf>
    <xf numFmtId="0" fontId="9" fillId="0" borderId="30" xfId="2" applyFont="1" applyBorder="1" applyAlignment="1">
      <alignment horizontal="center" vertical="center" wrapText="1"/>
    </xf>
    <xf numFmtId="0" fontId="9" fillId="0" borderId="233" xfId="2" applyFont="1" applyBorder="1" applyAlignment="1">
      <alignment horizontal="center" vertical="center" wrapText="1"/>
    </xf>
    <xf numFmtId="0" fontId="9" fillId="0" borderId="222" xfId="2" applyFont="1" applyBorder="1" applyAlignment="1">
      <alignment horizontal="center" vertical="center" wrapText="1"/>
    </xf>
    <xf numFmtId="0" fontId="9" fillId="0" borderId="234" xfId="2" applyFont="1" applyBorder="1" applyAlignment="1">
      <alignment vertical="center" wrapText="1"/>
    </xf>
    <xf numFmtId="0" fontId="9" fillId="0" borderId="222" xfId="2" applyFont="1" applyBorder="1" applyAlignment="1">
      <alignment vertical="center" wrapText="1"/>
    </xf>
    <xf numFmtId="0" fontId="9" fillId="0" borderId="223" xfId="2" applyFont="1" applyBorder="1" applyAlignment="1">
      <alignment vertical="center" wrapText="1"/>
    </xf>
    <xf numFmtId="0" fontId="9" fillId="0" borderId="234" xfId="2" applyFont="1" applyBorder="1" applyAlignment="1">
      <alignment horizontal="center" vertical="center" wrapText="1"/>
    </xf>
    <xf numFmtId="0" fontId="9" fillId="0" borderId="235" xfId="2" applyFont="1" applyBorder="1" applyAlignment="1">
      <alignment horizontal="center" vertical="center" wrapText="1"/>
    </xf>
    <xf numFmtId="0" fontId="9" fillId="0" borderId="186" xfId="2" applyFont="1" applyBorder="1" applyAlignment="1">
      <alignment horizontal="center" vertical="center" wrapText="1"/>
    </xf>
    <xf numFmtId="0" fontId="9" fillId="0" borderId="187" xfId="2" applyFont="1" applyBorder="1" applyAlignment="1">
      <alignment horizontal="center" vertical="center" wrapText="1"/>
    </xf>
    <xf numFmtId="0" fontId="9" fillId="0" borderId="188" xfId="2" applyFont="1" applyBorder="1" applyAlignment="1">
      <alignment horizontal="center" vertical="center" wrapText="1"/>
    </xf>
    <xf numFmtId="0" fontId="9" fillId="0" borderId="166" xfId="2" applyFont="1" applyBorder="1" applyAlignment="1">
      <alignment horizontal="center" vertical="center" wrapText="1"/>
    </xf>
    <xf numFmtId="0" fontId="9" fillId="0" borderId="47" xfId="2" applyFont="1" applyBorder="1" applyAlignment="1">
      <alignment horizontal="center" vertical="center" wrapText="1"/>
    </xf>
    <xf numFmtId="0" fontId="9" fillId="0" borderId="167" xfId="2" applyFont="1" applyBorder="1" applyAlignment="1">
      <alignment horizontal="center" vertical="center" wrapText="1"/>
    </xf>
    <xf numFmtId="0" fontId="9" fillId="0" borderId="54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0" borderId="10" xfId="2" applyFont="1" applyBorder="1" applyAlignment="1">
      <alignment vertical="center" wrapText="1"/>
    </xf>
    <xf numFmtId="0" fontId="9" fillId="0" borderId="0" xfId="2" applyFont="1" applyBorder="1" applyAlignment="1">
      <alignment vertical="center" wrapText="1"/>
    </xf>
    <xf numFmtId="0" fontId="9" fillId="0" borderId="25" xfId="2" applyFont="1" applyBorder="1" applyAlignment="1">
      <alignment horizontal="center" vertical="center" wrapText="1"/>
    </xf>
    <xf numFmtId="0" fontId="9" fillId="0" borderId="26" xfId="2" applyFont="1" applyBorder="1" applyAlignment="1">
      <alignment horizontal="center" vertical="center" wrapText="1"/>
    </xf>
    <xf numFmtId="0" fontId="9" fillId="0" borderId="110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left" vertical="center" wrapText="1"/>
    </xf>
    <xf numFmtId="0" fontId="9" fillId="0" borderId="0" xfId="2" applyFont="1" applyBorder="1" applyAlignment="1">
      <alignment horizontal="left" vertical="center" wrapText="1"/>
    </xf>
    <xf numFmtId="0" fontId="9" fillId="0" borderId="79" xfId="2" applyFont="1" applyBorder="1" applyAlignment="1">
      <alignment horizontal="left" vertical="center" wrapText="1"/>
    </xf>
    <xf numFmtId="0" fontId="2" fillId="0" borderId="187" xfId="2" applyFont="1" applyBorder="1" applyAlignment="1">
      <alignment horizontal="center" vertical="center" wrapText="1"/>
    </xf>
    <xf numFmtId="0" fontId="2" fillId="0" borderId="188" xfId="2" applyFont="1" applyBorder="1" applyAlignment="1">
      <alignment horizontal="center" vertical="center" wrapText="1"/>
    </xf>
    <xf numFmtId="0" fontId="2" fillId="0" borderId="188" xfId="2" applyFont="1" applyBorder="1" applyAlignment="1">
      <alignment horizontal="left" vertical="center" wrapText="1"/>
    </xf>
    <xf numFmtId="0" fontId="2" fillId="0" borderId="166" xfId="2" applyFont="1" applyBorder="1" applyAlignment="1">
      <alignment horizontal="left" vertical="center" wrapText="1"/>
    </xf>
    <xf numFmtId="0" fontId="2" fillId="0" borderId="47" xfId="2" applyFont="1" applyBorder="1" applyAlignment="1">
      <alignment horizontal="left" vertical="center" wrapText="1"/>
    </xf>
    <xf numFmtId="0" fontId="9" fillId="0" borderId="18" xfId="2" applyFont="1" applyBorder="1" applyAlignment="1">
      <alignment horizontal="center" vertical="center" wrapText="1"/>
    </xf>
    <xf numFmtId="0" fontId="9" fillId="0" borderId="20" xfId="2" applyFont="1" applyBorder="1" applyAlignment="1">
      <alignment horizontal="center" vertical="center" wrapText="1"/>
    </xf>
    <xf numFmtId="0" fontId="9" fillId="0" borderId="188" xfId="2" applyFont="1" applyBorder="1" applyAlignment="1">
      <alignment vertical="center" wrapText="1"/>
    </xf>
    <xf numFmtId="0" fontId="9" fillId="0" borderId="166" xfId="2" applyFont="1" applyBorder="1" applyAlignment="1">
      <alignment vertical="center" wrapText="1"/>
    </xf>
    <xf numFmtId="0" fontId="2" fillId="0" borderId="10" xfId="2" applyFont="1" applyBorder="1" applyAlignment="1">
      <alignment horizontal="left" vertical="center" wrapText="1" indent="1"/>
    </xf>
    <xf numFmtId="0" fontId="2" fillId="0" borderId="0" xfId="2" applyFont="1" applyBorder="1" applyAlignment="1">
      <alignment horizontal="left" vertical="center" wrapText="1" indent="1"/>
    </xf>
    <xf numFmtId="0" fontId="9" fillId="0" borderId="31" xfId="2" applyFont="1" applyBorder="1" applyAlignment="1">
      <alignment horizontal="center" vertical="center" wrapText="1"/>
    </xf>
    <xf numFmtId="0" fontId="2" fillId="0" borderId="16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9" fillId="0" borderId="19" xfId="2" applyFont="1" applyBorder="1" applyAlignment="1">
      <alignment vertical="center" wrapText="1"/>
    </xf>
    <xf numFmtId="0" fontId="9" fillId="0" borderId="18" xfId="2" applyFont="1" applyBorder="1" applyAlignment="1">
      <alignment vertical="center" wrapText="1"/>
    </xf>
    <xf numFmtId="0" fontId="9" fillId="0" borderId="19" xfId="2" applyFont="1" applyBorder="1" applyAlignment="1">
      <alignment horizontal="center" vertical="center" wrapText="1"/>
    </xf>
    <xf numFmtId="0" fontId="9" fillId="0" borderId="223" xfId="2" applyFont="1" applyBorder="1" applyAlignment="1">
      <alignment horizontal="center" vertical="center" wrapText="1"/>
    </xf>
    <xf numFmtId="0" fontId="9" fillId="0" borderId="238" xfId="2" applyFont="1" applyBorder="1" applyAlignment="1">
      <alignment horizontal="center" vertical="center" wrapText="1"/>
    </xf>
    <xf numFmtId="0" fontId="9" fillId="0" borderId="188" xfId="2" applyFont="1" applyBorder="1" applyAlignment="1">
      <alignment horizontal="left" vertical="center" indent="1" shrinkToFit="1"/>
    </xf>
    <xf numFmtId="0" fontId="9" fillId="0" borderId="166" xfId="2" applyFont="1" applyBorder="1" applyAlignment="1">
      <alignment horizontal="left" vertical="center" indent="1" shrinkToFit="1"/>
    </xf>
    <xf numFmtId="0" fontId="2" fillId="0" borderId="19" xfId="2" applyFont="1" applyBorder="1" applyAlignment="1">
      <alignment horizontal="left" vertical="center" wrapText="1"/>
    </xf>
    <xf numFmtId="0" fontId="2" fillId="0" borderId="18" xfId="2" applyFont="1" applyBorder="1" applyAlignment="1">
      <alignment horizontal="left" vertical="center" wrapText="1"/>
    </xf>
    <xf numFmtId="0" fontId="2" fillId="0" borderId="111" xfId="2" applyFont="1" applyBorder="1" applyAlignment="1">
      <alignment horizontal="left" vertical="center" wrapText="1"/>
    </xf>
    <xf numFmtId="0" fontId="9" fillId="0" borderId="245" xfId="2" applyFont="1" applyBorder="1" applyAlignment="1">
      <alignment horizontal="center" vertical="center" wrapText="1"/>
    </xf>
    <xf numFmtId="0" fontId="9" fillId="0" borderId="246" xfId="2" applyFont="1" applyBorder="1" applyAlignment="1">
      <alignment horizontal="center" vertical="center" wrapText="1"/>
    </xf>
    <xf numFmtId="0" fontId="9" fillId="0" borderId="247" xfId="2" applyFont="1" applyBorder="1" applyAlignment="1">
      <alignment horizontal="center" vertical="center" wrapText="1"/>
    </xf>
    <xf numFmtId="0" fontId="2" fillId="0" borderId="248" xfId="2" applyFont="1" applyBorder="1" applyAlignment="1">
      <alignment horizontal="center" vertical="center"/>
    </xf>
    <xf numFmtId="0" fontId="2" fillId="0" borderId="249" xfId="2" applyFont="1" applyBorder="1" applyAlignment="1">
      <alignment horizontal="center" vertical="center"/>
    </xf>
    <xf numFmtId="0" fontId="2" fillId="0" borderId="250" xfId="2" applyFont="1" applyBorder="1" applyAlignment="1">
      <alignment horizontal="center" vertical="center"/>
    </xf>
    <xf numFmtId="0" fontId="19" fillId="0" borderId="188" xfId="2" applyFont="1" applyBorder="1" applyAlignment="1">
      <alignment horizontal="left" vertical="center" indent="1" shrinkToFit="1"/>
    </xf>
    <xf numFmtId="0" fontId="19" fillId="0" borderId="166" xfId="2" applyFont="1" applyBorder="1" applyAlignment="1">
      <alignment horizontal="left" vertical="center" indent="1" shrinkToFit="1"/>
    </xf>
    <xf numFmtId="0" fontId="9" fillId="0" borderId="239" xfId="2" applyFont="1" applyBorder="1" applyAlignment="1">
      <alignment horizontal="center" vertical="center" wrapText="1"/>
    </xf>
    <xf numFmtId="0" fontId="9" fillId="0" borderId="236" xfId="2" applyFont="1" applyBorder="1" applyAlignment="1">
      <alignment horizontal="center" vertical="center" textRotation="255" shrinkToFit="1"/>
    </xf>
    <xf numFmtId="0" fontId="9" fillId="0" borderId="54" xfId="2" applyFont="1" applyBorder="1" applyAlignment="1">
      <alignment horizontal="center" vertical="center" textRotation="255" shrinkToFit="1"/>
    </xf>
    <xf numFmtId="0" fontId="9" fillId="0" borderId="240" xfId="2" applyFont="1" applyBorder="1" applyAlignment="1">
      <alignment horizontal="center" vertical="center" textRotation="255" shrinkToFit="1"/>
    </xf>
    <xf numFmtId="0" fontId="9" fillId="0" borderId="56" xfId="2" applyFont="1" applyBorder="1" applyAlignment="1">
      <alignment horizontal="center" vertical="center" wrapText="1"/>
    </xf>
    <xf numFmtId="0" fontId="2" fillId="0" borderId="25" xfId="2" applyFont="1" applyBorder="1" applyAlignment="1">
      <alignment horizontal="center" vertical="center" wrapText="1"/>
    </xf>
    <xf numFmtId="0" fontId="2" fillId="0" borderId="26" xfId="2" applyFont="1" applyBorder="1" applyAlignment="1">
      <alignment horizontal="center" vertical="center" wrapText="1"/>
    </xf>
    <xf numFmtId="0" fontId="2" fillId="0" borderId="27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left" vertical="center" indent="1"/>
    </xf>
    <xf numFmtId="0" fontId="9" fillId="0" borderId="0" xfId="2" applyFont="1" applyBorder="1" applyAlignment="1">
      <alignment horizontal="left" vertical="center" indent="1"/>
    </xf>
    <xf numFmtId="0" fontId="2" fillId="0" borderId="19" xfId="2" applyFont="1" applyBorder="1" applyAlignment="1">
      <alignment horizontal="center" vertical="center" wrapText="1"/>
    </xf>
    <xf numFmtId="0" fontId="2" fillId="0" borderId="18" xfId="2" applyFont="1" applyBorder="1" applyAlignment="1">
      <alignment horizontal="center" vertical="center" wrapText="1"/>
    </xf>
    <xf numFmtId="0" fontId="2" fillId="0" borderId="20" xfId="2" applyFont="1" applyBorder="1" applyAlignment="1">
      <alignment horizontal="center" vertical="center" wrapText="1"/>
    </xf>
    <xf numFmtId="0" fontId="2" fillId="0" borderId="251" xfId="2" applyFont="1" applyBorder="1" applyAlignment="1">
      <alignment horizontal="center" vertical="center"/>
    </xf>
    <xf numFmtId="0" fontId="2" fillId="0" borderId="252" xfId="2" applyFont="1" applyBorder="1" applyAlignment="1">
      <alignment horizontal="center" vertical="center"/>
    </xf>
    <xf numFmtId="0" fontId="0" fillId="0" borderId="252" xfId="2" applyFont="1" applyBorder="1" applyAlignment="1">
      <alignment vertical="center" wrapText="1"/>
    </xf>
    <xf numFmtId="0" fontId="2" fillId="0" borderId="252" xfId="2" applyFont="1" applyBorder="1" applyAlignment="1">
      <alignment vertical="center" wrapText="1"/>
    </xf>
    <xf numFmtId="0" fontId="2" fillId="0" borderId="253" xfId="2" applyFont="1" applyBorder="1" applyAlignment="1">
      <alignment vertical="center" wrapText="1"/>
    </xf>
    <xf numFmtId="0" fontId="2" fillId="0" borderId="254" xfId="2" applyFont="1" applyBorder="1" applyAlignment="1">
      <alignment horizontal="center" vertical="center"/>
    </xf>
    <xf numFmtId="0" fontId="0" fillId="0" borderId="255" xfId="2" applyFont="1" applyBorder="1" applyAlignment="1">
      <alignment vertical="center" wrapText="1"/>
    </xf>
    <xf numFmtId="0" fontId="2" fillId="0" borderId="256" xfId="2" applyFont="1" applyBorder="1" applyAlignment="1">
      <alignment vertical="center" wrapText="1"/>
    </xf>
    <xf numFmtId="0" fontId="2" fillId="0" borderId="257" xfId="2" applyFont="1" applyBorder="1" applyAlignment="1">
      <alignment vertical="center" wrapText="1"/>
    </xf>
    <xf numFmtId="0" fontId="2" fillId="0" borderId="92" xfId="2" applyFont="1" applyBorder="1" applyAlignment="1">
      <alignment horizontal="center" vertical="center"/>
    </xf>
    <xf numFmtId="0" fontId="2" fillId="0" borderId="24" xfId="2" applyFont="1" applyBorder="1" applyAlignment="1">
      <alignment horizontal="center" vertical="center"/>
    </xf>
    <xf numFmtId="0" fontId="2" fillId="0" borderId="24" xfId="2" applyFont="1" applyBorder="1" applyAlignment="1">
      <alignment vertical="center" wrapText="1"/>
    </xf>
    <xf numFmtId="0" fontId="2" fillId="0" borderId="58" xfId="2" applyFont="1" applyBorder="1" applyAlignment="1">
      <alignment vertical="center" wrapText="1"/>
    </xf>
    <xf numFmtId="0" fontId="2" fillId="0" borderId="37" xfId="2" applyFont="1" applyBorder="1" applyAlignment="1">
      <alignment horizontal="center" vertical="center"/>
    </xf>
    <xf numFmtId="0" fontId="0" fillId="0" borderId="24" xfId="2" applyFont="1" applyBorder="1" applyAlignment="1">
      <alignment vertical="center" wrapText="1"/>
    </xf>
    <xf numFmtId="0" fontId="2" fillId="0" borderId="59" xfId="2" applyFont="1" applyBorder="1" applyAlignment="1">
      <alignment horizontal="center" vertical="center"/>
    </xf>
    <xf numFmtId="0" fontId="2" fillId="0" borderId="45" xfId="2" applyFont="1" applyBorder="1" applyAlignment="1">
      <alignment horizontal="center" vertical="center"/>
    </xf>
    <xf numFmtId="0" fontId="2" fillId="0" borderId="45" xfId="2" applyFont="1" applyBorder="1" applyAlignment="1">
      <alignment vertical="center" wrapText="1"/>
    </xf>
    <xf numFmtId="0" fontId="2" fillId="0" borderId="60" xfId="2" applyFont="1" applyBorder="1" applyAlignment="1">
      <alignment vertical="center" wrapText="1"/>
    </xf>
    <xf numFmtId="0" fontId="2" fillId="0" borderId="93" xfId="2" applyFont="1" applyBorder="1" applyAlignment="1">
      <alignment horizontal="center" vertical="center"/>
    </xf>
    <xf numFmtId="0" fontId="0" fillId="0" borderId="45" xfId="2" applyFont="1" applyBorder="1" applyAlignment="1">
      <alignment vertical="center" wrapText="1"/>
    </xf>
    <xf numFmtId="0" fontId="2" fillId="0" borderId="84" xfId="2" applyFont="1" applyBorder="1" applyAlignment="1">
      <alignment horizontal="center" vertical="center" textRotation="255" wrapText="1"/>
    </xf>
    <xf numFmtId="0" fontId="2" fillId="0" borderId="104" xfId="2" applyFont="1" applyBorder="1" applyAlignment="1">
      <alignment horizontal="center" vertical="center" wrapText="1"/>
    </xf>
    <xf numFmtId="0" fontId="2" fillId="0" borderId="53" xfId="2" applyFont="1" applyBorder="1" applyAlignment="1">
      <alignment horizontal="center" vertical="center" wrapText="1"/>
    </xf>
    <xf numFmtId="0" fontId="2" fillId="0" borderId="80" xfId="2" applyFont="1" applyBorder="1" applyAlignment="1">
      <alignment horizontal="center" vertical="center"/>
    </xf>
    <xf numFmtId="0" fontId="2" fillId="0" borderId="81" xfId="2" applyFont="1" applyBorder="1" applyAlignment="1">
      <alignment horizontal="center" vertical="center"/>
    </xf>
    <xf numFmtId="0" fontId="2" fillId="0" borderId="71" xfId="2" applyFont="1" applyBorder="1" applyAlignment="1">
      <alignment horizontal="center" vertical="center"/>
    </xf>
    <xf numFmtId="0" fontId="2" fillId="0" borderId="47" xfId="2" applyFont="1" applyBorder="1" applyAlignment="1">
      <alignment horizontal="center" vertical="center"/>
    </xf>
    <xf numFmtId="0" fontId="2" fillId="0" borderId="262" xfId="2" applyFont="1" applyBorder="1" applyAlignment="1">
      <alignment horizontal="center" vertical="center" wrapText="1"/>
    </xf>
    <xf numFmtId="0" fontId="2" fillId="0" borderId="263" xfId="2" applyFont="1" applyBorder="1" applyAlignment="1">
      <alignment horizontal="center" vertical="center" wrapText="1"/>
    </xf>
    <xf numFmtId="0" fontId="2" fillId="0" borderId="265" xfId="2" applyFont="1" applyBorder="1" applyAlignment="1">
      <alignment horizontal="center" vertical="center" textRotation="255" wrapText="1"/>
    </xf>
    <xf numFmtId="0" fontId="2" fillId="0" borderId="266" xfId="2" applyFont="1" applyBorder="1" applyAlignment="1">
      <alignment horizontal="center" vertical="center"/>
    </xf>
    <xf numFmtId="0" fontId="2" fillId="0" borderId="267" xfId="2" applyFont="1" applyBorder="1" applyAlignment="1">
      <alignment horizontal="center" vertical="center"/>
    </xf>
    <xf numFmtId="0" fontId="2" fillId="0" borderId="268" xfId="2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99" xfId="0" applyFont="1" applyBorder="1" applyAlignment="1">
      <alignment vertical="center"/>
    </xf>
    <xf numFmtId="180" fontId="0" fillId="0" borderId="100" xfId="1" applyNumberFormat="1" applyFont="1" applyBorder="1" applyAlignment="1">
      <alignment horizontal="center" vertical="center"/>
    </xf>
    <xf numFmtId="0" fontId="0" fillId="0" borderId="101" xfId="0" applyFont="1" applyBorder="1" applyAlignment="1">
      <alignment vertical="center"/>
    </xf>
    <xf numFmtId="0" fontId="0" fillId="0" borderId="96" xfId="0" applyFont="1" applyBorder="1" applyAlignment="1">
      <alignment horizontal="center" vertical="center" textRotation="255"/>
    </xf>
    <xf numFmtId="0" fontId="0" fillId="0" borderId="95" xfId="0" applyFont="1" applyBorder="1" applyAlignment="1">
      <alignment horizontal="center" vertical="center" textRotation="255"/>
    </xf>
    <xf numFmtId="0" fontId="0" fillId="0" borderId="97" xfId="0" applyFont="1" applyBorder="1" applyAlignment="1">
      <alignment horizontal="center" vertical="center" textRotation="255"/>
    </xf>
    <xf numFmtId="0" fontId="0" fillId="3" borderId="73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 textRotation="255" wrapText="1"/>
    </xf>
    <xf numFmtId="0" fontId="0" fillId="0" borderId="40" xfId="0" applyFont="1" applyBorder="1" applyAlignment="1">
      <alignment horizontal="center" vertical="center" textRotation="255" wrapText="1"/>
    </xf>
    <xf numFmtId="0" fontId="0" fillId="0" borderId="108" xfId="0" applyFont="1" applyBorder="1" applyAlignment="1">
      <alignment horizontal="center" vertical="center" textRotation="255" wrapText="1"/>
    </xf>
    <xf numFmtId="0" fontId="0" fillId="0" borderId="38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38" xfId="0" applyFont="1" applyBorder="1" applyAlignment="1">
      <alignment vertical="center" wrapText="1"/>
    </xf>
    <xf numFmtId="0" fontId="0" fillId="0" borderId="4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 wrapText="1"/>
    </xf>
    <xf numFmtId="0" fontId="0" fillId="4" borderId="40" xfId="0" applyFont="1" applyFill="1" applyBorder="1" applyAlignment="1">
      <alignment horizontal="center" vertical="center" wrapText="1"/>
    </xf>
    <xf numFmtId="0" fontId="0" fillId="4" borderId="132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4" borderId="43" xfId="0" applyFont="1" applyFill="1" applyBorder="1" applyAlignment="1">
      <alignment horizontal="center" vertical="center"/>
    </xf>
    <xf numFmtId="0" fontId="0" fillId="4" borderId="5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3" borderId="91" xfId="0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0" fillId="3" borderId="95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 textRotation="255"/>
    </xf>
    <xf numFmtId="0" fontId="0" fillId="4" borderId="35" xfId="0" applyFont="1" applyFill="1" applyBorder="1" applyAlignment="1">
      <alignment horizontal="center" vertical="center" wrapText="1"/>
    </xf>
    <xf numFmtId="0" fontId="0" fillId="4" borderId="46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44" xfId="0" applyFont="1" applyFill="1" applyBorder="1" applyAlignment="1">
      <alignment horizontal="center" vertical="center"/>
    </xf>
    <xf numFmtId="176" fontId="0" fillId="0" borderId="301" xfId="0" applyNumberFormat="1" applyFont="1" applyBorder="1" applyAlignment="1">
      <alignment horizontal="center" vertical="center"/>
    </xf>
    <xf numFmtId="176" fontId="0" fillId="0" borderId="274" xfId="0" applyNumberFormat="1" applyFont="1" applyBorder="1" applyAlignment="1">
      <alignment horizontal="center" vertical="center"/>
    </xf>
    <xf numFmtId="176" fontId="0" fillId="0" borderId="27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281" xfId="0" applyNumberFormat="1" applyFont="1" applyBorder="1" applyAlignment="1">
      <alignment horizontal="center" vertical="center"/>
    </xf>
    <xf numFmtId="176" fontId="0" fillId="0" borderId="282" xfId="0" applyNumberFormat="1" applyFont="1" applyBorder="1" applyAlignment="1">
      <alignment horizontal="center" vertical="center"/>
    </xf>
    <xf numFmtId="176" fontId="0" fillId="0" borderId="283" xfId="0" applyNumberFormat="1" applyFont="1" applyBorder="1" applyAlignment="1">
      <alignment horizontal="center" vertical="center"/>
    </xf>
    <xf numFmtId="176" fontId="0" fillId="0" borderId="284" xfId="0" applyNumberFormat="1" applyFont="1" applyBorder="1" applyAlignment="1">
      <alignment horizontal="center" vertical="center"/>
    </xf>
    <xf numFmtId="176" fontId="0" fillId="0" borderId="285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83" xfId="0" applyNumberFormat="1" applyFont="1" applyBorder="1" applyAlignment="1">
      <alignment horizontal="center" vertical="center"/>
    </xf>
    <xf numFmtId="176" fontId="0" fillId="0" borderId="65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6" fontId="0" fillId="0" borderId="54" xfId="0" applyNumberFormat="1" applyFont="1" applyBorder="1" applyAlignment="1">
      <alignment horizontal="center" vertical="center"/>
    </xf>
    <xf numFmtId="176" fontId="0" fillId="0" borderId="77" xfId="0" applyNumberFormat="1" applyFont="1" applyBorder="1" applyAlignment="1">
      <alignment horizontal="center" vertical="center"/>
    </xf>
    <xf numFmtId="176" fontId="0" fillId="0" borderId="76" xfId="0" applyNumberFormat="1" applyFont="1" applyBorder="1" applyAlignment="1">
      <alignment horizontal="center" vertical="center"/>
    </xf>
    <xf numFmtId="176" fontId="0" fillId="0" borderId="181" xfId="0" applyNumberFormat="1" applyFont="1" applyBorder="1" applyAlignment="1">
      <alignment horizontal="center" vertical="center"/>
    </xf>
    <xf numFmtId="176" fontId="0" fillId="0" borderId="222" xfId="0" applyNumberFormat="1" applyFont="1" applyBorder="1" applyAlignment="1">
      <alignment horizontal="center" vertical="center"/>
    </xf>
    <xf numFmtId="176" fontId="0" fillId="0" borderId="223" xfId="0" applyNumberFormat="1" applyFont="1" applyBorder="1" applyAlignment="1">
      <alignment horizontal="center" vertical="center"/>
    </xf>
    <xf numFmtId="176" fontId="0" fillId="0" borderId="224" xfId="0" applyNumberFormat="1" applyFont="1" applyBorder="1" applyAlignment="1">
      <alignment horizontal="center" vertical="center"/>
    </xf>
    <xf numFmtId="176" fontId="0" fillId="0" borderId="208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 textRotation="255" shrinkToFit="1"/>
    </xf>
    <xf numFmtId="176" fontId="0" fillId="0" borderId="54" xfId="0" applyNumberFormat="1" applyFont="1" applyBorder="1" applyAlignment="1">
      <alignment horizontal="center" vertical="center" textRotation="255" shrinkToFit="1"/>
    </xf>
    <xf numFmtId="176" fontId="0" fillId="0" borderId="77" xfId="0" applyNumberFormat="1" applyFont="1" applyBorder="1" applyAlignment="1">
      <alignment horizontal="center" vertical="center" textRotation="255" shrinkToFit="1"/>
    </xf>
    <xf numFmtId="176" fontId="0" fillId="0" borderId="115" xfId="0" applyNumberFormat="1" applyFont="1" applyBorder="1" applyAlignment="1">
      <alignment horizontal="center" vertical="center" shrinkToFit="1"/>
    </xf>
    <xf numFmtId="176" fontId="0" fillId="0" borderId="82" xfId="0" applyNumberFormat="1" applyFont="1" applyBorder="1" applyAlignment="1">
      <alignment horizontal="center" vertical="center" shrinkToFit="1"/>
    </xf>
    <xf numFmtId="176" fontId="0" fillId="0" borderId="18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6" fontId="0" fillId="0" borderId="70" xfId="0" applyNumberFormat="1" applyFont="1" applyBorder="1" applyAlignment="1">
      <alignment horizontal="center" vertical="center" shrinkToFit="1"/>
    </xf>
    <xf numFmtId="176" fontId="0" fillId="0" borderId="78" xfId="0" applyNumberFormat="1" applyFont="1" applyBorder="1" applyAlignment="1">
      <alignment horizontal="center" vertical="center" shrinkToFit="1"/>
    </xf>
    <xf numFmtId="176" fontId="0" fillId="0" borderId="56" xfId="0" applyNumberFormat="1" applyBorder="1" applyAlignment="1">
      <alignment horizontal="center" vertical="center" textRotation="255" shrinkToFit="1"/>
    </xf>
    <xf numFmtId="176" fontId="0" fillId="0" borderId="9" xfId="0" applyNumberFormat="1" applyFont="1" applyBorder="1" applyAlignment="1">
      <alignment horizontal="center" vertical="center" textRotation="255" shrinkToFit="1"/>
    </xf>
    <xf numFmtId="176" fontId="0" fillId="0" borderId="76" xfId="0" applyNumberFormat="1" applyFont="1" applyBorder="1" applyAlignment="1">
      <alignment horizontal="center" vertical="center" shrinkToFit="1"/>
    </xf>
    <xf numFmtId="176" fontId="0" fillId="0" borderId="77" xfId="0" applyNumberFormat="1" applyFont="1" applyBorder="1" applyAlignment="1">
      <alignment horizontal="center" vertical="center" shrinkToFit="1"/>
    </xf>
    <xf numFmtId="176" fontId="2" fillId="0" borderId="115" xfId="0" applyNumberFormat="1" applyFont="1" applyBorder="1" applyAlignment="1">
      <alignment horizontal="center" vertical="center" shrinkToFit="1"/>
    </xf>
    <xf numFmtId="176" fontId="2" fillId="0" borderId="82" xfId="0" applyNumberFormat="1" applyFont="1" applyBorder="1" applyAlignment="1">
      <alignment horizontal="center" vertical="center" shrinkToFit="1"/>
    </xf>
    <xf numFmtId="176" fontId="0" fillId="0" borderId="54" xfId="0" applyNumberFormat="1" applyBorder="1" applyAlignment="1">
      <alignment horizontal="center" vertical="center" textRotation="255" shrinkToFit="1"/>
    </xf>
    <xf numFmtId="176" fontId="0" fillId="0" borderId="77" xfId="0" applyNumberFormat="1" applyBorder="1" applyAlignment="1">
      <alignment horizontal="center" vertical="center" textRotation="255" shrinkToFit="1"/>
    </xf>
    <xf numFmtId="176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0" fillId="0" borderId="76" xfId="0" applyNumberFormat="1" applyBorder="1" applyAlignment="1">
      <alignment horizontal="center" vertical="center" shrinkToFit="1"/>
    </xf>
    <xf numFmtId="176" fontId="0" fillId="0" borderId="77" xfId="0" applyNumberFormat="1" applyBorder="1" applyAlignment="1">
      <alignment horizontal="center" vertical="center" shrinkToFit="1"/>
    </xf>
    <xf numFmtId="176" fontId="0" fillId="0" borderId="115" xfId="0" applyNumberFormat="1" applyBorder="1" applyAlignment="1">
      <alignment horizontal="center" vertical="center" shrinkToFit="1"/>
    </xf>
    <xf numFmtId="176" fontId="0" fillId="0" borderId="82" xfId="0" applyNumberFormat="1" applyBorder="1" applyAlignment="1">
      <alignment horizontal="center" vertical="center" shrinkToFit="1"/>
    </xf>
    <xf numFmtId="176" fontId="2" fillId="0" borderId="70" xfId="0" applyNumberFormat="1" applyFont="1" applyBorder="1" applyAlignment="1">
      <alignment horizontal="center" vertical="center" shrinkToFit="1"/>
    </xf>
    <xf numFmtId="176" fontId="2" fillId="0" borderId="78" xfId="0" applyNumberFormat="1" applyFont="1" applyBorder="1" applyAlignment="1">
      <alignment horizontal="center" vertical="center" shrinkToFit="1"/>
    </xf>
    <xf numFmtId="176" fontId="0" fillId="0" borderId="18" xfId="0" applyNumberFormat="1" applyBorder="1" applyAlignment="1">
      <alignment horizontal="left" vertical="center"/>
    </xf>
    <xf numFmtId="177" fontId="0" fillId="0" borderId="13" xfId="0" applyNumberFormat="1" applyFill="1" applyBorder="1" applyAlignment="1">
      <alignment vertical="center" shrinkToFit="1"/>
    </xf>
    <xf numFmtId="177" fontId="0" fillId="0" borderId="14" xfId="0" applyNumberFormat="1" applyFont="1" applyFill="1" applyBorder="1" applyAlignment="1">
      <alignment vertical="center" shrinkToFit="1"/>
    </xf>
    <xf numFmtId="177" fontId="0" fillId="0" borderId="15" xfId="0" applyNumberFormat="1" applyFont="1" applyFill="1" applyBorder="1" applyAlignment="1">
      <alignment vertical="center" shrinkToFit="1"/>
    </xf>
    <xf numFmtId="177" fontId="0" fillId="0" borderId="85" xfId="0" applyNumberFormat="1" applyFill="1" applyBorder="1" applyAlignment="1">
      <alignment vertical="center"/>
    </xf>
    <xf numFmtId="0" fontId="0" fillId="0" borderId="85" xfId="0" applyFont="1" applyFill="1" applyBorder="1" applyAlignment="1">
      <alignment vertical="center"/>
    </xf>
    <xf numFmtId="0" fontId="0" fillId="0" borderId="72" xfId="0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4" xfId="0" applyNumberFormat="1" applyFill="1" applyBorder="1" applyAlignment="1">
      <alignment vertical="center" shrinkToFit="1"/>
    </xf>
    <xf numFmtId="177" fontId="0" fillId="0" borderId="15" xfId="0" applyNumberFormat="1" applyFill="1" applyBorder="1" applyAlignment="1">
      <alignment vertical="center" shrinkToFit="1"/>
    </xf>
    <xf numFmtId="177" fontId="0" fillId="0" borderId="121" xfId="0" applyNumberFormat="1" applyBorder="1" applyAlignment="1">
      <alignment horizontal="center" vertical="center" textRotation="255" shrinkToFit="1"/>
    </xf>
    <xf numFmtId="177" fontId="0" fillId="0" borderId="54" xfId="0" applyNumberFormat="1" applyBorder="1" applyAlignment="1">
      <alignment horizontal="center" vertical="center" textRotation="255" shrinkToFit="1"/>
    </xf>
    <xf numFmtId="177" fontId="0" fillId="0" borderId="31" xfId="0" applyNumberFormat="1" applyBorder="1" applyAlignment="1">
      <alignment horizontal="center" vertical="center" textRotation="255" shrinkToFit="1"/>
    </xf>
    <xf numFmtId="177" fontId="0" fillId="0" borderId="13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177" fontId="0" fillId="0" borderId="102" xfId="0" applyNumberFormat="1" applyFont="1" applyFill="1" applyBorder="1" applyAlignment="1">
      <alignment horizontal="center" vertical="center"/>
    </xf>
    <xf numFmtId="177" fontId="0" fillId="2" borderId="25" xfId="0" applyNumberFormat="1" applyFont="1" applyFill="1" applyBorder="1" applyAlignment="1">
      <alignment horizontal="right" vertical="center" shrinkToFit="1"/>
    </xf>
    <xf numFmtId="177" fontId="0" fillId="2" borderId="27" xfId="0" applyNumberFormat="1" applyFont="1" applyFill="1" applyBorder="1" applyAlignment="1">
      <alignment horizontal="right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02" xfId="0" applyNumberFormat="1" applyFont="1" applyFill="1" applyBorder="1" applyAlignment="1">
      <alignment horizontal="center" vertical="center" shrinkToFit="1"/>
    </xf>
    <xf numFmtId="177" fontId="0" fillId="0" borderId="119" xfId="0" applyNumberFormat="1" applyFont="1" applyBorder="1" applyAlignment="1">
      <alignment vertical="center"/>
    </xf>
    <xf numFmtId="177" fontId="0" fillId="0" borderId="127" xfId="0" applyNumberFormat="1" applyFont="1" applyBorder="1" applyAlignment="1">
      <alignment vertical="center"/>
    </xf>
    <xf numFmtId="177" fontId="0" fillId="0" borderId="146" xfId="0" applyNumberFormat="1" applyFont="1" applyBorder="1" applyAlignment="1">
      <alignment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7" fontId="0" fillId="0" borderId="3" xfId="0" applyNumberForma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55" xfId="0" applyNumberFormat="1" applyFont="1" applyFill="1" applyBorder="1" applyAlignment="1">
      <alignment horizontal="center" vertical="center" shrinkToFit="1"/>
    </xf>
    <xf numFmtId="177" fontId="0" fillId="0" borderId="23" xfId="0" applyNumberFormat="1" applyFont="1" applyFill="1" applyBorder="1" applyAlignment="1">
      <alignment vertical="center" shrinkToFit="1"/>
    </xf>
    <xf numFmtId="177" fontId="0" fillId="0" borderId="82" xfId="0" applyNumberFormat="1" applyFont="1" applyFill="1" applyBorder="1" applyAlignment="1">
      <alignment vertical="center" shrinkToFit="1"/>
    </xf>
    <xf numFmtId="177" fontId="0" fillId="0" borderId="16" xfId="0" applyNumberFormat="1" applyFont="1" applyFill="1" applyBorder="1" applyAlignment="1">
      <alignment vertical="center" shrinkToFit="1"/>
    </xf>
    <xf numFmtId="177" fontId="0" fillId="0" borderId="84" xfId="0" applyNumberFormat="1" applyFont="1" applyBorder="1" applyAlignment="1">
      <alignment horizontal="center" vertical="center" shrinkToFit="1"/>
    </xf>
    <xf numFmtId="177" fontId="0" fillId="0" borderId="85" xfId="0" applyNumberFormat="1" applyFont="1" applyBorder="1" applyAlignment="1">
      <alignment horizontal="center" vertical="center" shrinkToFit="1"/>
    </xf>
    <xf numFmtId="177" fontId="0" fillId="0" borderId="3" xfId="0" applyNumberFormat="1" applyFont="1" applyBorder="1" applyAlignment="1">
      <alignment horizontal="center" vertical="center" shrinkToFit="1"/>
    </xf>
    <xf numFmtId="177" fontId="0" fillId="0" borderId="4" xfId="0" applyNumberFormat="1" applyFont="1" applyBorder="1" applyAlignment="1">
      <alignment horizontal="center" vertical="center" shrinkToFit="1"/>
    </xf>
    <xf numFmtId="177" fontId="0" fillId="0" borderId="83" xfId="0" applyNumberFormat="1" applyFont="1" applyBorder="1" applyAlignment="1">
      <alignment horizontal="center" vertical="center" shrinkToFit="1"/>
    </xf>
    <xf numFmtId="177" fontId="0" fillId="0" borderId="23" xfId="0" applyNumberFormat="1" applyFill="1" applyBorder="1" applyAlignment="1">
      <alignment horizontal="center" vertical="center" textRotation="255" shrinkToFit="1"/>
    </xf>
    <xf numFmtId="177" fontId="0" fillId="0" borderId="16" xfId="0" applyNumberFormat="1" applyFill="1" applyBorder="1" applyAlignment="1">
      <alignment horizontal="center" vertical="center" textRotation="255" shrinkToFit="1"/>
    </xf>
    <xf numFmtId="177" fontId="0" fillId="0" borderId="82" xfId="0" applyNumberFormat="1" applyFill="1" applyBorder="1" applyAlignment="1">
      <alignment horizontal="center" vertical="center" textRotation="255" shrinkToFit="1"/>
    </xf>
    <xf numFmtId="177" fontId="0" fillId="0" borderId="133" xfId="0" applyNumberFormat="1" applyBorder="1" applyAlignment="1">
      <alignment horizontal="center" vertical="center" textRotation="255" shrinkToFit="1"/>
    </xf>
    <xf numFmtId="177" fontId="0" fillId="0" borderId="9" xfId="0" applyNumberFormat="1" applyBorder="1" applyAlignment="1">
      <alignment horizontal="center" vertical="center" textRotation="255" shrinkToFit="1"/>
    </xf>
    <xf numFmtId="177" fontId="0" fillId="0" borderId="134" xfId="0" applyNumberFormat="1" applyBorder="1" applyAlignment="1">
      <alignment horizontal="center" vertical="center" textRotation="255" shrinkToFit="1"/>
    </xf>
    <xf numFmtId="177" fontId="0" fillId="0" borderId="96" xfId="3" applyNumberFormat="1" applyFont="1" applyBorder="1" applyAlignment="1">
      <alignment horizontal="center" vertical="center" textRotation="255"/>
    </xf>
    <xf numFmtId="177" fontId="0" fillId="0" borderId="95" xfId="3" applyNumberFormat="1" applyFont="1" applyBorder="1" applyAlignment="1">
      <alignment horizontal="center" vertical="center" textRotation="255"/>
    </xf>
    <xf numFmtId="177" fontId="0" fillId="0" borderId="97" xfId="3" applyNumberFormat="1" applyFont="1" applyBorder="1" applyAlignment="1">
      <alignment horizontal="center" vertical="center" textRotation="255"/>
    </xf>
    <xf numFmtId="0" fontId="0" fillId="0" borderId="35" xfId="0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/>
    </xf>
    <xf numFmtId="177" fontId="0" fillId="0" borderId="85" xfId="0" applyNumberFormat="1" applyFont="1" applyFill="1" applyBorder="1" applyAlignment="1">
      <alignment vertical="center" shrinkToFit="1"/>
    </xf>
    <xf numFmtId="0" fontId="0" fillId="0" borderId="129" xfId="0" applyFill="1" applyBorder="1" applyAlignment="1">
      <alignment horizontal="center" vertical="center" textRotation="255" wrapText="1"/>
    </xf>
    <xf numFmtId="0" fontId="0" fillId="0" borderId="40" xfId="0" applyFont="1" applyFill="1" applyBorder="1" applyAlignment="1">
      <alignment horizontal="center" vertical="center" textRotation="255" wrapText="1"/>
    </xf>
    <xf numFmtId="0" fontId="0" fillId="0" borderId="74" xfId="0" applyFont="1" applyFill="1" applyBorder="1" applyAlignment="1">
      <alignment horizontal="center" vertical="center" textRotation="255" wrapText="1"/>
    </xf>
    <xf numFmtId="0" fontId="0" fillId="6" borderId="43" xfId="0" applyFill="1" applyBorder="1" applyAlignment="1">
      <alignment horizontal="left" vertical="center"/>
    </xf>
    <xf numFmtId="0" fontId="0" fillId="6" borderId="59" xfId="0" applyFont="1" applyFill="1" applyBorder="1" applyAlignment="1">
      <alignment horizontal="left" vertical="center"/>
    </xf>
    <xf numFmtId="177" fontId="0" fillId="2" borderId="130" xfId="0" applyNumberFormat="1" applyFill="1" applyBorder="1" applyAlignment="1">
      <alignment horizontal="center" vertical="center" shrinkToFit="1"/>
    </xf>
    <xf numFmtId="177" fontId="0" fillId="2" borderId="131" xfId="0" applyNumberFormat="1" applyFill="1" applyBorder="1" applyAlignment="1">
      <alignment horizontal="center" vertical="center" shrinkToFit="1"/>
    </xf>
    <xf numFmtId="177" fontId="0" fillId="0" borderId="85" xfId="0" applyNumberFormat="1" applyFont="1" applyFill="1" applyBorder="1" applyAlignment="1">
      <alignment vertical="center"/>
    </xf>
    <xf numFmtId="176" fontId="0" fillId="0" borderId="121" xfId="0" applyNumberFormat="1" applyFont="1" applyBorder="1" applyAlignment="1">
      <alignment horizontal="center" vertical="center" textRotation="255" shrinkToFit="1"/>
    </xf>
    <xf numFmtId="176" fontId="0" fillId="0" borderId="116" xfId="0" applyNumberFormat="1" applyFont="1" applyBorder="1" applyAlignment="1">
      <alignment horizontal="center" vertical="center" textRotation="255" shrinkToFit="1"/>
    </xf>
    <xf numFmtId="177" fontId="0" fillId="0" borderId="33" xfId="3" applyNumberFormat="1" applyFont="1" applyBorder="1" applyAlignment="1">
      <alignment horizontal="center" vertical="center" shrinkToFit="1"/>
    </xf>
    <xf numFmtId="177" fontId="0" fillId="0" borderId="62" xfId="3" applyNumberFormat="1" applyFont="1" applyBorder="1" applyAlignment="1">
      <alignment horizontal="center" vertical="center" shrinkToFit="1"/>
    </xf>
    <xf numFmtId="177" fontId="0" fillId="0" borderId="35" xfId="3" applyNumberFormat="1" applyFont="1" applyBorder="1" applyAlignment="1">
      <alignment horizontal="center" vertical="center" shrinkToFit="1"/>
    </xf>
    <xf numFmtId="176" fontId="0" fillId="0" borderId="135" xfId="0" applyNumberFormat="1" applyFont="1" applyBorder="1" applyAlignment="1">
      <alignment horizontal="center" vertical="center" textRotation="255" shrinkToFit="1"/>
    </xf>
    <xf numFmtId="176" fontId="0" fillId="0" borderId="31" xfId="0" applyNumberFormat="1" applyFont="1" applyBorder="1" applyAlignment="1">
      <alignment horizontal="center" vertical="center" textRotation="255" shrinkToFit="1"/>
    </xf>
    <xf numFmtId="177" fontId="0" fillId="2" borderId="160" xfId="0" applyNumberFormat="1" applyFont="1" applyFill="1" applyBorder="1" applyAlignment="1">
      <alignment horizontal="center" vertical="center" shrinkToFit="1"/>
    </xf>
    <xf numFmtId="177" fontId="0" fillId="2" borderId="161" xfId="0" applyNumberFormat="1" applyFont="1" applyFill="1" applyBorder="1" applyAlignment="1">
      <alignment horizontal="center" vertical="center" shrinkToFit="1"/>
    </xf>
    <xf numFmtId="3" fontId="0" fillId="0" borderId="49" xfId="5" applyNumberFormat="1" applyFont="1" applyFill="1" applyBorder="1" applyAlignment="1">
      <alignment horizontal="center" vertical="center" shrinkToFit="1"/>
    </xf>
    <xf numFmtId="3" fontId="0" fillId="0" borderId="40" xfId="5" applyNumberFormat="1" applyFont="1" applyFill="1" applyBorder="1" applyAlignment="1">
      <alignment horizontal="center" vertical="center" shrinkToFit="1"/>
    </xf>
    <xf numFmtId="3" fontId="0" fillId="0" borderId="125" xfId="5" applyNumberFormat="1" applyFont="1" applyFill="1" applyBorder="1" applyAlignment="1">
      <alignment horizontal="center" vertical="center" shrinkToFit="1"/>
    </xf>
    <xf numFmtId="177" fontId="0" fillId="0" borderId="164" xfId="3" applyNumberFormat="1" applyFont="1" applyBorder="1" applyAlignment="1">
      <alignment horizontal="center" vertical="center" shrinkToFit="1"/>
    </xf>
    <xf numFmtId="177" fontId="0" fillId="0" borderId="95" xfId="3" applyNumberFormat="1" applyFont="1" applyBorder="1" applyAlignment="1">
      <alignment horizontal="center" vertical="center" shrinkToFit="1"/>
    </xf>
    <xf numFmtId="177" fontId="0" fillId="0" borderId="165" xfId="3" applyNumberFormat="1" applyFont="1" applyBorder="1" applyAlignment="1">
      <alignment horizontal="center" vertical="center" shrinkToFit="1"/>
    </xf>
    <xf numFmtId="177" fontId="0" fillId="0" borderId="148" xfId="3" applyNumberFormat="1" applyFont="1" applyBorder="1" applyAlignment="1">
      <alignment horizontal="center" vertical="center" shrinkToFit="1"/>
    </xf>
    <xf numFmtId="177" fontId="0" fillId="0" borderId="157" xfId="3" applyNumberFormat="1" applyFont="1" applyBorder="1" applyAlignment="1">
      <alignment horizontal="center" vertical="center" shrinkToFit="1"/>
    </xf>
    <xf numFmtId="177" fontId="0" fillId="2" borderId="80" xfId="0" applyNumberFormat="1" applyFont="1" applyFill="1" applyBorder="1" applyAlignment="1">
      <alignment horizontal="center" vertical="center" shrinkToFit="1"/>
    </xf>
    <xf numFmtId="177" fontId="0" fillId="2" borderId="81" xfId="0" applyNumberFormat="1" applyFont="1" applyFill="1" applyBorder="1" applyAlignment="1">
      <alignment horizontal="center" vertical="center" shrinkToFit="1"/>
    </xf>
    <xf numFmtId="176" fontId="0" fillId="0" borderId="24" xfId="0" applyNumberFormat="1" applyFont="1" applyBorder="1" applyAlignment="1">
      <alignment vertical="center"/>
    </xf>
    <xf numFmtId="177" fontId="0" fillId="0" borderId="148" xfId="3" applyNumberFormat="1" applyFont="1" applyBorder="1" applyAlignment="1">
      <alignment horizontal="center" vertical="center" textRotation="255" shrinkToFit="1"/>
    </xf>
    <xf numFmtId="0" fontId="0" fillId="0" borderId="95" xfId="0" applyFont="1" applyBorder="1">
      <alignment vertical="center"/>
    </xf>
    <xf numFmtId="0" fontId="0" fillId="0" borderId="157" xfId="0" applyFont="1" applyBorder="1">
      <alignment vertical="center"/>
    </xf>
    <xf numFmtId="176" fontId="0" fillId="2" borderId="48" xfId="0" applyNumberFormat="1" applyFont="1" applyFill="1" applyBorder="1" applyAlignment="1">
      <alignment vertical="center" shrinkToFit="1"/>
    </xf>
    <xf numFmtId="176" fontId="0" fillId="0" borderId="48" xfId="0" applyNumberFormat="1" applyFont="1" applyBorder="1" applyAlignment="1">
      <alignment vertical="center"/>
    </xf>
    <xf numFmtId="176" fontId="0" fillId="2" borderId="119" xfId="0" applyNumberFormat="1" applyFont="1" applyFill="1" applyBorder="1" applyAlignment="1">
      <alignment horizontal="center" vertical="center" shrinkToFit="1"/>
    </xf>
    <xf numFmtId="176" fontId="0" fillId="2" borderId="81" xfId="0" applyNumberFormat="1" applyFont="1" applyFill="1" applyBorder="1" applyAlignment="1">
      <alignment horizontal="center" vertical="center" shrinkToFit="1"/>
    </xf>
    <xf numFmtId="176" fontId="0" fillId="0" borderId="152" xfId="0" applyNumberFormat="1" applyFont="1" applyBorder="1" applyAlignment="1">
      <alignment vertical="center"/>
    </xf>
    <xf numFmtId="177" fontId="0" fillId="0" borderId="13" xfId="0" applyNumberFormat="1" applyFont="1" applyBorder="1" applyAlignment="1">
      <alignment horizontal="center" vertical="center" shrinkToFit="1"/>
    </xf>
    <xf numFmtId="177" fontId="0" fillId="0" borderId="47" xfId="0" applyNumberFormat="1" applyFont="1" applyBorder="1" applyAlignment="1">
      <alignment horizontal="center" vertical="center" shrinkToFit="1"/>
    </xf>
    <xf numFmtId="176" fontId="0" fillId="0" borderId="122" xfId="0" applyNumberFormat="1" applyFont="1" applyBorder="1" applyAlignment="1">
      <alignment horizontal="center" vertical="center" shrinkToFit="1"/>
    </xf>
    <xf numFmtId="176" fontId="0" fillId="0" borderId="125" xfId="0" applyNumberFormat="1" applyFont="1" applyBorder="1" applyAlignment="1">
      <alignment horizontal="center" vertical="center" shrinkToFit="1"/>
    </xf>
    <xf numFmtId="176" fontId="0" fillId="0" borderId="123" xfId="0" applyNumberFormat="1" applyFont="1" applyBorder="1" applyAlignment="1">
      <alignment horizontal="center" vertical="center" shrinkToFit="1"/>
    </xf>
    <xf numFmtId="176" fontId="0" fillId="0" borderId="126" xfId="0" applyNumberFormat="1" applyFont="1" applyBorder="1" applyAlignment="1">
      <alignment horizontal="center" vertical="center" shrinkToFit="1"/>
    </xf>
    <xf numFmtId="176" fontId="0" fillId="0" borderId="96" xfId="0" applyNumberFormat="1" applyFont="1" applyBorder="1" applyAlignment="1">
      <alignment horizontal="center" vertical="center" textRotation="255" shrinkToFit="1"/>
    </xf>
    <xf numFmtId="176" fontId="0" fillId="0" borderId="124" xfId="0" applyNumberFormat="1" applyFont="1" applyBorder="1" applyAlignment="1">
      <alignment horizontal="center" vertical="center" textRotation="255" shrinkToFit="1"/>
    </xf>
    <xf numFmtId="177" fontId="0" fillId="0" borderId="5" xfId="0" applyNumberFormat="1" applyFont="1" applyBorder="1" applyAlignment="1">
      <alignment horizontal="center" vertical="center" shrinkToFit="1"/>
    </xf>
    <xf numFmtId="177" fontId="0" fillId="0" borderId="151" xfId="3" applyNumberFormat="1" applyFont="1" applyBorder="1" applyAlignment="1">
      <alignment horizontal="center" vertical="center" textRotation="255" shrinkToFit="1"/>
    </xf>
    <xf numFmtId="177" fontId="0" fillId="0" borderId="92" xfId="3" applyNumberFormat="1" applyFont="1" applyBorder="1" applyAlignment="1">
      <alignment horizontal="center" vertical="center" textRotation="255" shrinkToFit="1"/>
    </xf>
    <xf numFmtId="176" fontId="0" fillId="0" borderId="154" xfId="3" applyNumberFormat="1" applyFont="1" applyFill="1" applyBorder="1" applyAlignment="1">
      <alignment vertical="center" shrinkToFit="1"/>
    </xf>
    <xf numFmtId="176" fontId="0" fillId="0" borderId="155" xfId="3" applyNumberFormat="1" applyFont="1" applyFill="1" applyBorder="1" applyAlignment="1">
      <alignment vertical="center" shrinkToFit="1"/>
    </xf>
    <xf numFmtId="176" fontId="0" fillId="0" borderId="32" xfId="3" applyNumberFormat="1" applyFont="1" applyFill="1" applyBorder="1" applyAlignment="1">
      <alignment vertical="center" shrinkToFit="1"/>
    </xf>
    <xf numFmtId="176" fontId="0" fillId="0" borderId="37" xfId="3" applyNumberFormat="1" applyFont="1" applyFill="1" applyBorder="1" applyAlignment="1">
      <alignment vertical="center" shrinkToFit="1"/>
    </xf>
    <xf numFmtId="176" fontId="0" fillId="0" borderId="32" xfId="0" applyNumberFormat="1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vertical="center"/>
    </xf>
    <xf numFmtId="176" fontId="0" fillId="2" borderId="38" xfId="0" applyNumberFormat="1" applyFont="1" applyFill="1" applyBorder="1" applyAlignment="1">
      <alignment vertical="center" shrinkToFit="1"/>
    </xf>
    <xf numFmtId="176" fontId="0" fillId="0" borderId="38" xfId="0" applyNumberFormat="1" applyFont="1" applyBorder="1" applyAlignment="1">
      <alignment vertical="center"/>
    </xf>
    <xf numFmtId="177" fontId="0" fillId="0" borderId="149" xfId="3" applyNumberFormat="1" applyFont="1" applyBorder="1" applyAlignment="1">
      <alignment horizontal="center" vertical="center" textRotation="255" shrinkToFit="1"/>
    </xf>
    <xf numFmtId="177" fontId="0" fillId="2" borderId="119" xfId="0" applyNumberFormat="1" applyFont="1" applyFill="1" applyBorder="1" applyAlignment="1">
      <alignment horizontal="center" vertical="center" shrinkToFit="1"/>
    </xf>
    <xf numFmtId="177" fontId="0" fillId="0" borderId="159" xfId="0" applyNumberFormat="1" applyFont="1" applyBorder="1" applyAlignment="1">
      <alignment horizontal="center" vertical="center" shrinkToFit="1"/>
    </xf>
    <xf numFmtId="177" fontId="0" fillId="0" borderId="188" xfId="0" applyNumberFormat="1" applyFont="1" applyBorder="1" applyAlignment="1">
      <alignment horizontal="center" vertical="center" shrinkToFit="1"/>
    </xf>
    <xf numFmtId="177" fontId="0" fillId="0" borderId="147" xfId="0" applyNumberFormat="1" applyBorder="1" applyAlignment="1">
      <alignment horizontal="center" vertical="center"/>
    </xf>
    <xf numFmtId="177" fontId="0" fillId="0" borderId="35" xfId="0" applyNumberFormat="1" applyBorder="1" applyAlignment="1">
      <alignment horizontal="center" vertical="center"/>
    </xf>
    <xf numFmtId="177" fontId="0" fillId="0" borderId="57" xfId="0" applyNumberFormat="1" applyBorder="1" applyAlignment="1">
      <alignment horizontal="center" vertical="center"/>
    </xf>
    <xf numFmtId="176" fontId="0" fillId="0" borderId="175" xfId="0" applyNumberFormat="1" applyFont="1" applyBorder="1" applyAlignment="1">
      <alignment horizontal="center" vertical="center" wrapText="1"/>
    </xf>
    <xf numFmtId="176" fontId="2" fillId="0" borderId="54" xfId="0" applyNumberFormat="1" applyFont="1" applyBorder="1" applyAlignment="1">
      <alignment horizontal="center" vertical="center"/>
    </xf>
    <xf numFmtId="176" fontId="2" fillId="0" borderId="116" xfId="0" applyNumberFormat="1" applyFont="1" applyBorder="1" applyAlignment="1">
      <alignment horizontal="center" vertical="center"/>
    </xf>
    <xf numFmtId="176" fontId="0" fillId="0" borderId="121" xfId="0" applyNumberFormat="1" applyFont="1" applyBorder="1" applyAlignment="1">
      <alignment horizontal="center" vertical="center" wrapText="1"/>
    </xf>
    <xf numFmtId="176" fontId="2" fillId="8" borderId="178" xfId="0" applyNumberFormat="1" applyFont="1" applyFill="1" applyBorder="1" applyAlignment="1">
      <alignment horizontal="center" vertical="center"/>
    </xf>
    <xf numFmtId="176" fontId="2" fillId="8" borderId="179" xfId="0" applyNumberFormat="1" applyFont="1" applyFill="1" applyBorder="1" applyAlignment="1">
      <alignment horizontal="center" vertical="center"/>
    </xf>
  </cellXfs>
  <cellStyles count="14">
    <cellStyle name="40% - アクセント 4" xfId="12" builtinId="43"/>
    <cellStyle name="パーセント" xfId="4" builtinId="5"/>
    <cellStyle name="パーセント 2" xfId="6"/>
    <cellStyle name="ハイパーリンク_20101209　経営改善計画検討手順（素案）" xfId="13"/>
    <cellStyle name="桁区切り" xfId="1" builtinId="6"/>
    <cellStyle name="桁区切り 2" xfId="7"/>
    <cellStyle name="桁区切り 3" xfId="10"/>
    <cellStyle name="標準" xfId="0" builtinId="0"/>
    <cellStyle name="標準 2" xfId="8"/>
    <cellStyle name="標準 3" xfId="11"/>
    <cellStyle name="標準_◇類型12（水稲24・大豆12・ぶどう4）" xfId="2"/>
    <cellStyle name="標準_水稲(24ha規模)＋大豆(6ｈａ)＋きゃべつ" xfId="3"/>
    <cellStyle name="標準_野菜計画(最終 ｱｽﾊﾟﾗ+ｺﾏﾂﾅ)" xfId="5"/>
    <cellStyle name="未定義" xfId="9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9528</xdr:colOff>
      <xdr:row>20</xdr:row>
      <xdr:rowOff>0</xdr:rowOff>
    </xdr:from>
    <xdr:to>
      <xdr:col>28</xdr:col>
      <xdr:colOff>13747</xdr:colOff>
      <xdr:row>21</xdr:row>
      <xdr:rowOff>4350</xdr:rowOff>
    </xdr:to>
    <xdr:sp macro="" textlink="">
      <xdr:nvSpPr>
        <xdr:cNvPr id="2" name="Rectangle 8" descr="10%"/>
        <xdr:cNvSpPr>
          <a:spLocks noChangeArrowheads="1"/>
        </xdr:cNvSpPr>
      </xdr:nvSpPr>
      <xdr:spPr bwMode="auto">
        <a:xfrm>
          <a:off x="8715378" y="5029200"/>
          <a:ext cx="537619" cy="2520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59532</xdr:colOff>
      <xdr:row>12</xdr:row>
      <xdr:rowOff>142875</xdr:rowOff>
    </xdr:from>
    <xdr:to>
      <xdr:col>13</xdr:col>
      <xdr:colOff>238125</xdr:colOff>
      <xdr:row>12</xdr:row>
      <xdr:rowOff>142875</xdr:rowOff>
    </xdr:to>
    <xdr:cxnSp macro="">
      <xdr:nvCxnSpPr>
        <xdr:cNvPr id="3" name="直線コネクタ 2"/>
        <xdr:cNvCxnSpPr/>
      </xdr:nvCxnSpPr>
      <xdr:spPr>
        <a:xfrm>
          <a:off x="3402807" y="3190875"/>
          <a:ext cx="207406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154782</xdr:colOff>
      <xdr:row>12</xdr:row>
      <xdr:rowOff>130969</xdr:rowOff>
    </xdr:from>
    <xdr:to>
      <xdr:col>41</xdr:col>
      <xdr:colOff>142875</xdr:colOff>
      <xdr:row>12</xdr:row>
      <xdr:rowOff>130969</xdr:rowOff>
    </xdr:to>
    <xdr:cxnSp macro="">
      <xdr:nvCxnSpPr>
        <xdr:cNvPr id="4" name="直線コネクタ 3"/>
        <xdr:cNvCxnSpPr/>
      </xdr:nvCxnSpPr>
      <xdr:spPr>
        <a:xfrm>
          <a:off x="10994232" y="3178969"/>
          <a:ext cx="18549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50800</xdr:colOff>
      <xdr:row>14</xdr:row>
      <xdr:rowOff>139700</xdr:rowOff>
    </xdr:from>
    <xdr:to>
      <xdr:col>13</xdr:col>
      <xdr:colOff>229393</xdr:colOff>
      <xdr:row>14</xdr:row>
      <xdr:rowOff>139700</xdr:rowOff>
    </xdr:to>
    <xdr:cxnSp macro="">
      <xdr:nvCxnSpPr>
        <xdr:cNvPr id="5" name="直線コネクタ 4"/>
        <xdr:cNvCxnSpPr/>
      </xdr:nvCxnSpPr>
      <xdr:spPr>
        <a:xfrm>
          <a:off x="3394075" y="3683000"/>
          <a:ext cx="207406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50800</xdr:colOff>
      <xdr:row>14</xdr:row>
      <xdr:rowOff>139700</xdr:rowOff>
    </xdr:from>
    <xdr:to>
      <xdr:col>31</xdr:col>
      <xdr:colOff>152400</xdr:colOff>
      <xdr:row>14</xdr:row>
      <xdr:rowOff>139700</xdr:rowOff>
    </xdr:to>
    <xdr:cxnSp macro="">
      <xdr:nvCxnSpPr>
        <xdr:cNvPr id="6" name="直線コネクタ 5"/>
        <xdr:cNvCxnSpPr/>
      </xdr:nvCxnSpPr>
      <xdr:spPr>
        <a:xfrm>
          <a:off x="5822950" y="3683000"/>
          <a:ext cx="43688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76200</xdr:colOff>
      <xdr:row>14</xdr:row>
      <xdr:rowOff>114300</xdr:rowOff>
    </xdr:from>
    <xdr:to>
      <xdr:col>41</xdr:col>
      <xdr:colOff>241300</xdr:colOff>
      <xdr:row>14</xdr:row>
      <xdr:rowOff>114300</xdr:rowOff>
    </xdr:to>
    <xdr:cxnSp macro="">
      <xdr:nvCxnSpPr>
        <xdr:cNvPr id="7" name="直線コネクタ 6"/>
        <xdr:cNvCxnSpPr/>
      </xdr:nvCxnSpPr>
      <xdr:spPr>
        <a:xfrm>
          <a:off x="11182350" y="3657600"/>
          <a:ext cx="17653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88900</xdr:colOff>
      <xdr:row>13</xdr:row>
      <xdr:rowOff>63500</xdr:rowOff>
    </xdr:from>
    <xdr:to>
      <xdr:col>8</xdr:col>
      <xdr:colOff>241300</xdr:colOff>
      <xdr:row>13</xdr:row>
      <xdr:rowOff>177800</xdr:rowOff>
    </xdr:to>
    <xdr:sp macro="" textlink="">
      <xdr:nvSpPr>
        <xdr:cNvPr id="8" name="上矢印 7"/>
        <xdr:cNvSpPr/>
      </xdr:nvSpPr>
      <xdr:spPr>
        <a:xfrm>
          <a:off x="3975100" y="3359150"/>
          <a:ext cx="152400" cy="114300"/>
        </a:xfrm>
        <a:prstGeom prst="upArrow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76200</xdr:colOff>
      <xdr:row>13</xdr:row>
      <xdr:rowOff>127000</xdr:rowOff>
    </xdr:from>
    <xdr:to>
      <xdr:col>26</xdr:col>
      <xdr:colOff>38100</xdr:colOff>
      <xdr:row>13</xdr:row>
      <xdr:rowOff>127000</xdr:rowOff>
    </xdr:to>
    <xdr:cxnSp macro="">
      <xdr:nvCxnSpPr>
        <xdr:cNvPr id="9" name="直線コネクタ 8"/>
        <xdr:cNvCxnSpPr/>
      </xdr:nvCxnSpPr>
      <xdr:spPr>
        <a:xfrm>
          <a:off x="4248150" y="3422650"/>
          <a:ext cx="44958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13</xdr:row>
      <xdr:rowOff>127000</xdr:rowOff>
    </xdr:from>
    <xdr:to>
      <xdr:col>7</xdr:col>
      <xdr:colOff>215900</xdr:colOff>
      <xdr:row>13</xdr:row>
      <xdr:rowOff>127000</xdr:rowOff>
    </xdr:to>
    <xdr:cxnSp macro="">
      <xdr:nvCxnSpPr>
        <xdr:cNvPr id="10" name="直線コネクタ 9"/>
        <xdr:cNvCxnSpPr/>
      </xdr:nvCxnSpPr>
      <xdr:spPr>
        <a:xfrm>
          <a:off x="3381375" y="3422650"/>
          <a:ext cx="4445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152400</xdr:colOff>
      <xdr:row>13</xdr:row>
      <xdr:rowOff>139700</xdr:rowOff>
    </xdr:from>
    <xdr:to>
      <xdr:col>41</xdr:col>
      <xdr:colOff>165100</xdr:colOff>
      <xdr:row>13</xdr:row>
      <xdr:rowOff>139700</xdr:rowOff>
    </xdr:to>
    <xdr:cxnSp macro="">
      <xdr:nvCxnSpPr>
        <xdr:cNvPr id="11" name="直線コネクタ 10"/>
        <xdr:cNvCxnSpPr/>
      </xdr:nvCxnSpPr>
      <xdr:spPr>
        <a:xfrm>
          <a:off x="9925050" y="3435350"/>
          <a:ext cx="29464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25400</xdr:colOff>
      <xdr:row>12</xdr:row>
      <xdr:rowOff>127000</xdr:rowOff>
    </xdr:from>
    <xdr:to>
      <xdr:col>30</xdr:col>
      <xdr:colOff>203200</xdr:colOff>
      <xdr:row>12</xdr:row>
      <xdr:rowOff>127000</xdr:rowOff>
    </xdr:to>
    <xdr:cxnSp macro="">
      <xdr:nvCxnSpPr>
        <xdr:cNvPr id="12" name="直線コネクタ 11"/>
        <xdr:cNvCxnSpPr/>
      </xdr:nvCxnSpPr>
      <xdr:spPr>
        <a:xfrm>
          <a:off x="5797550" y="3175000"/>
          <a:ext cx="41783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6</xdr:col>
      <xdr:colOff>152400</xdr:colOff>
      <xdr:row>5</xdr:row>
      <xdr:rowOff>114300</xdr:rowOff>
    </xdr:to>
    <xdr:sp macro="" textlink="">
      <xdr:nvSpPr>
        <xdr:cNvPr id="4" name="上矢印 3"/>
        <xdr:cNvSpPr/>
      </xdr:nvSpPr>
      <xdr:spPr>
        <a:xfrm>
          <a:off x="3698875" y="1206500"/>
          <a:ext cx="152400" cy="114300"/>
        </a:xfrm>
        <a:prstGeom prst="upArrow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11906</xdr:colOff>
      <xdr:row>5</xdr:row>
      <xdr:rowOff>130969</xdr:rowOff>
    </xdr:from>
    <xdr:to>
      <xdr:col>9</xdr:col>
      <xdr:colOff>404813</xdr:colOff>
      <xdr:row>5</xdr:row>
      <xdr:rowOff>130969</xdr:rowOff>
    </xdr:to>
    <xdr:cxnSp macro="">
      <xdr:nvCxnSpPr>
        <xdr:cNvPr id="3" name="直線コネクタ 2"/>
        <xdr:cNvCxnSpPr/>
      </xdr:nvCxnSpPr>
      <xdr:spPr>
        <a:xfrm>
          <a:off x="1857375" y="1309688"/>
          <a:ext cx="364331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35718</xdr:colOff>
      <xdr:row>5</xdr:row>
      <xdr:rowOff>130970</xdr:rowOff>
    </xdr:from>
    <xdr:to>
      <xdr:col>26</xdr:col>
      <xdr:colOff>423334</xdr:colOff>
      <xdr:row>5</xdr:row>
      <xdr:rowOff>136071</xdr:rowOff>
    </xdr:to>
    <xdr:cxnSp macro="">
      <xdr:nvCxnSpPr>
        <xdr:cNvPr id="4" name="直線コネクタ 3"/>
        <xdr:cNvCxnSpPr/>
      </xdr:nvCxnSpPr>
      <xdr:spPr>
        <a:xfrm>
          <a:off x="6098456" y="1295137"/>
          <a:ext cx="7417973" cy="510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453571</xdr:colOff>
      <xdr:row>5</xdr:row>
      <xdr:rowOff>151190</xdr:rowOff>
    </xdr:from>
    <xdr:to>
      <xdr:col>37</xdr:col>
      <xdr:colOff>452437</xdr:colOff>
      <xdr:row>5</xdr:row>
      <xdr:rowOff>154782</xdr:rowOff>
    </xdr:to>
    <xdr:cxnSp macro="">
      <xdr:nvCxnSpPr>
        <xdr:cNvPr id="7" name="直線コネクタ 6"/>
        <xdr:cNvCxnSpPr/>
      </xdr:nvCxnSpPr>
      <xdr:spPr>
        <a:xfrm>
          <a:off x="14952738" y="1315357"/>
          <a:ext cx="3748389" cy="359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92075</xdr:colOff>
      <xdr:row>5</xdr:row>
      <xdr:rowOff>74613</xdr:rowOff>
    </xdr:from>
    <xdr:to>
      <xdr:col>6</xdr:col>
      <xdr:colOff>244475</xdr:colOff>
      <xdr:row>5</xdr:row>
      <xdr:rowOff>188913</xdr:rowOff>
    </xdr:to>
    <xdr:sp macro="" textlink="">
      <xdr:nvSpPr>
        <xdr:cNvPr id="2" name="上矢印 1"/>
        <xdr:cNvSpPr/>
      </xdr:nvSpPr>
      <xdr:spPr>
        <a:xfrm>
          <a:off x="3825875" y="1281113"/>
          <a:ext cx="152400" cy="114300"/>
        </a:xfrm>
        <a:prstGeom prst="upArrow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101600</xdr:colOff>
      <xdr:row>5</xdr:row>
      <xdr:rowOff>127000</xdr:rowOff>
    </xdr:from>
    <xdr:to>
      <xdr:col>9</xdr:col>
      <xdr:colOff>455613</xdr:colOff>
      <xdr:row>5</xdr:row>
      <xdr:rowOff>127000</xdr:rowOff>
    </xdr:to>
    <xdr:cxnSp macro="">
      <xdr:nvCxnSpPr>
        <xdr:cNvPr id="3" name="直線コネクタ 2"/>
        <xdr:cNvCxnSpPr/>
      </xdr:nvCxnSpPr>
      <xdr:spPr>
        <a:xfrm>
          <a:off x="1955800" y="1333500"/>
          <a:ext cx="364331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76200</xdr:colOff>
      <xdr:row>5</xdr:row>
      <xdr:rowOff>139700</xdr:rowOff>
    </xdr:from>
    <xdr:to>
      <xdr:col>23</xdr:col>
      <xdr:colOff>330200</xdr:colOff>
      <xdr:row>5</xdr:row>
      <xdr:rowOff>139702</xdr:rowOff>
    </xdr:to>
    <xdr:cxnSp macro="">
      <xdr:nvCxnSpPr>
        <xdr:cNvPr id="4" name="直線コネクタ 3"/>
        <xdr:cNvCxnSpPr/>
      </xdr:nvCxnSpPr>
      <xdr:spPr>
        <a:xfrm flipV="1">
          <a:off x="6159500" y="1346200"/>
          <a:ext cx="5892800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88900</xdr:colOff>
      <xdr:row>5</xdr:row>
      <xdr:rowOff>127000</xdr:rowOff>
    </xdr:from>
    <xdr:to>
      <xdr:col>37</xdr:col>
      <xdr:colOff>88900</xdr:colOff>
      <xdr:row>5</xdr:row>
      <xdr:rowOff>127000</xdr:rowOff>
    </xdr:to>
    <xdr:cxnSp macro="">
      <xdr:nvCxnSpPr>
        <xdr:cNvPr id="10" name="直線コネクタ 9"/>
        <xdr:cNvCxnSpPr/>
      </xdr:nvCxnSpPr>
      <xdr:spPr>
        <a:xfrm>
          <a:off x="13690600" y="1333500"/>
          <a:ext cx="4699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690562</xdr:colOff>
      <xdr:row>4</xdr:row>
      <xdr:rowOff>71437</xdr:rowOff>
    </xdr:from>
    <xdr:to>
      <xdr:col>30</xdr:col>
      <xdr:colOff>678656</xdr:colOff>
      <xdr:row>7</xdr:row>
      <xdr:rowOff>130968</xdr:rowOff>
    </xdr:to>
    <xdr:sp macro="" textlink="">
      <xdr:nvSpPr>
        <xdr:cNvPr id="2" name="正方形/長方形 1"/>
        <xdr:cNvSpPr/>
      </xdr:nvSpPr>
      <xdr:spPr>
        <a:xfrm>
          <a:off x="18085593" y="881062"/>
          <a:ext cx="2059782" cy="631031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収量　</a:t>
          </a:r>
          <a:r>
            <a:rPr kumimoji="1" lang="en-US" altLang="ja-JP" sz="1100">
              <a:solidFill>
                <a:schemeClr val="bg1"/>
              </a:solidFill>
            </a:rPr>
            <a:t>1800kg/10a</a:t>
          </a:r>
        </a:p>
        <a:p>
          <a:pPr algn="l"/>
          <a:r>
            <a:rPr kumimoji="1" lang="en-US" altLang="ja-JP" sz="1100">
              <a:solidFill>
                <a:schemeClr val="bg1"/>
              </a:solidFill>
            </a:rPr>
            <a:t>600g/</a:t>
          </a:r>
          <a:r>
            <a:rPr kumimoji="1" lang="ja-JP" altLang="en-US" sz="1100">
              <a:solidFill>
                <a:schemeClr val="bg1"/>
              </a:solidFill>
            </a:rPr>
            <a:t>房とすると</a:t>
          </a:r>
          <a:r>
            <a:rPr kumimoji="1" lang="en-US" altLang="ja-JP" sz="1100">
              <a:solidFill>
                <a:schemeClr val="bg1"/>
              </a:solidFill>
            </a:rPr>
            <a:t>3000</a:t>
          </a:r>
          <a:r>
            <a:rPr kumimoji="1" lang="ja-JP" altLang="en-US" sz="1100">
              <a:solidFill>
                <a:schemeClr val="bg1"/>
              </a:solidFill>
            </a:rPr>
            <a:t>房</a:t>
          </a:r>
          <a:r>
            <a:rPr kumimoji="1" lang="en-US" altLang="ja-JP" sz="1100">
              <a:solidFill>
                <a:schemeClr val="bg1"/>
              </a:solidFill>
            </a:rPr>
            <a:t>/10a</a:t>
          </a:r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25</xdr:col>
      <xdr:colOff>11906</xdr:colOff>
      <xdr:row>28</xdr:row>
      <xdr:rowOff>190499</xdr:rowOff>
    </xdr:from>
    <xdr:to>
      <xdr:col>28</xdr:col>
      <xdr:colOff>273843</xdr:colOff>
      <xdr:row>31</xdr:row>
      <xdr:rowOff>154780</xdr:rowOff>
    </xdr:to>
    <xdr:sp macro="" textlink="">
      <xdr:nvSpPr>
        <xdr:cNvPr id="3" name="正方形/長方形 2"/>
        <xdr:cNvSpPr/>
      </xdr:nvSpPr>
      <xdr:spPr>
        <a:xfrm>
          <a:off x="16025812" y="5572124"/>
          <a:ext cx="2333625" cy="535781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秤とデジタルスケールは（株）三商の研究実験用総合カタログより</a:t>
          </a:r>
          <a:endParaRPr kumimoji="1" lang="en-US" altLang="ja-JP" sz="1100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0;&#24193;/&#65298;&#65296;&#65296;&#37096;&#23616;&#38291;&#20849;&#26377;/080&#36786;&#26519;&#27700;&#29987;&#20849;&#26377;/H26&#24180;&#24230;/F001%20&#36786;&#26989;&#25216;&#34899;&#35506;&#12304;&#36786;&#25216;&#12305;/&#65318;&#12288;&#25216;&#34899;&#20225;&#30011;&#65319;/600%20%20&#36786;&#26989;&#32076;&#21942;&#25351;&#27161;/10&#12288;&#12304;&#26368;&#26032;&#29256;&#12305;&#32076;&#21942;&#25351;&#27161;&#12288;&#9733;&#20462;&#27491;&#12398;&#38555;&#12399;&#25216;&#34899;&#35506;&#12395;&#36899;&#32097;&#12367;&#12384;&#12373;&#12356;&#9733;/03&#12288;&#26524;&#27193;/150115&#20462;&#27491;&#21069;/22&#12304;&#12406;&#12393;&#12358;&#12305;&#65288;&#36786;&#26989;&#21442;&#20837;&#20225;&#26989;3ha&#65289;1501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　対象経営の概要，２　前提条件"/>
      <sheetName val="３－１　ピオーネ（加温）標準技術"/>
      <sheetName val="３－２　ピオーネ（トンネル）標準技術"/>
      <sheetName val="３－３　シャイン（加温）標準技術"/>
      <sheetName val="３－４　シャイン（トンネル）標準技術 "/>
      <sheetName val="３－５　サニールージュ標準技術 "/>
      <sheetName val="４　経営収支"/>
      <sheetName val="作業時間まとめ"/>
      <sheetName val="５－１　ピオーネ(加温)作業時間"/>
      <sheetName val="５－２　ピオーネ（トンネル）作業時間"/>
      <sheetName val="５－３　シャイン（加温）作業時間"/>
      <sheetName val="５－４　シャイン（トンネル）作業時間"/>
      <sheetName val="５－５　サニールージュ作業時間"/>
      <sheetName val="６　固定資本装備と減価償却費"/>
      <sheetName val="（参考）ピオーネハウス資本装備"/>
      <sheetName val="（参考）ピオーネトンネル被覆資本装備"/>
      <sheetName val="（参考）シャイントハウス資本装備"/>
      <sheetName val="（参考）シャイントンネル被覆資本装備"/>
      <sheetName val="（参考）サニールージュトンネル被覆資本装備"/>
      <sheetName val="７－１　ピオーネ（加温）部門収支"/>
      <sheetName val="７－２　ピオーネ（トンネル）部門収支"/>
      <sheetName val="７－３　シャイン（加温）部門収支"/>
      <sheetName val="７－４　シャイン（トンネル）部門収支"/>
      <sheetName val="７－５　サニールージュ部門収支"/>
      <sheetName val="８－１　ピオーネ（加温）算出基礎"/>
      <sheetName val="８－２　ピオーネ（トンネル）算出基礎"/>
      <sheetName val="８－３　シャイン（加温）算出基礎 "/>
      <sheetName val="８－４　シャイン（トンネル）算出基礎 "/>
      <sheetName val="８－５　サニールージュ算出基礎"/>
      <sheetName val="肥料算出基礎"/>
      <sheetName val="農薬算出基礎"/>
      <sheetName val="９－１　ピオーネ単価算出基礎"/>
      <sheetName val="9-3　シャインマスカット単価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H4">
            <v>1</v>
          </cell>
          <cell r="I4">
            <v>1</v>
          </cell>
          <cell r="J4">
            <v>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0"/>
  <sheetViews>
    <sheetView tabSelected="1" zoomScale="75" zoomScaleNormal="75" zoomScaleSheetLayoutView="74" workbookViewId="0"/>
  </sheetViews>
  <sheetFormatPr defaultRowHeight="13.5" x14ac:dyDescent="0.15"/>
  <cols>
    <col min="1" max="1" width="1.625" style="144" customWidth="1"/>
    <col min="2" max="3" width="7.625" style="144" customWidth="1"/>
    <col min="4" max="6" width="9" style="144"/>
    <col min="7" max="7" width="3.5" style="144" customWidth="1"/>
    <col min="8" max="8" width="3.625" style="144" customWidth="1"/>
    <col min="9" max="9" width="3.75" style="144" customWidth="1"/>
    <col min="10" max="42" width="3.5" style="144" customWidth="1"/>
    <col min="43" max="43" width="1.375" style="144" customWidth="1"/>
    <col min="44" max="16384" width="9" style="144"/>
  </cols>
  <sheetData>
    <row r="1" spans="1:42" ht="9.9499999999999993" customHeight="1" thickBot="1" x14ac:dyDescent="0.2"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42" ht="39.950000000000003" customHeight="1" thickBot="1" x14ac:dyDescent="0.2">
      <c r="A2" s="149"/>
      <c r="B2" s="665" t="s">
        <v>701</v>
      </c>
      <c r="C2" s="807" t="s">
        <v>479</v>
      </c>
      <c r="D2" s="808"/>
      <c r="E2" s="666" t="s">
        <v>71</v>
      </c>
      <c r="F2" s="807" t="s">
        <v>702</v>
      </c>
      <c r="G2" s="809"/>
      <c r="H2" s="809"/>
      <c r="I2" s="809"/>
      <c r="J2" s="809"/>
      <c r="K2" s="809"/>
      <c r="L2" s="809"/>
      <c r="M2" s="809"/>
      <c r="N2" s="808"/>
      <c r="O2" s="810" t="s">
        <v>72</v>
      </c>
      <c r="P2" s="811"/>
      <c r="Q2" s="812"/>
      <c r="R2" s="813" t="s">
        <v>480</v>
      </c>
      <c r="S2" s="814"/>
      <c r="T2" s="814"/>
      <c r="U2" s="814"/>
      <c r="V2" s="815" t="s">
        <v>73</v>
      </c>
      <c r="W2" s="814"/>
      <c r="X2" s="814"/>
      <c r="Y2" s="804" t="s">
        <v>666</v>
      </c>
      <c r="Z2" s="805"/>
      <c r="AA2" s="806"/>
      <c r="AB2" s="150"/>
      <c r="AC2" s="150"/>
      <c r="AD2" s="150"/>
    </row>
    <row r="3" spans="1:42" ht="9.9499999999999993" customHeight="1" x14ac:dyDescent="0.15">
      <c r="B3" s="151"/>
    </row>
    <row r="4" spans="1:42" ht="24.95" customHeight="1" thickBot="1" x14ac:dyDescent="0.2">
      <c r="B4" s="144" t="s">
        <v>703</v>
      </c>
    </row>
    <row r="5" spans="1:42" ht="20.100000000000001" customHeight="1" x14ac:dyDescent="0.15">
      <c r="B5" s="818" t="s">
        <v>103</v>
      </c>
      <c r="C5" s="819"/>
      <c r="D5" s="820" t="s">
        <v>761</v>
      </c>
      <c r="E5" s="821"/>
      <c r="F5" s="821"/>
      <c r="G5" s="822"/>
      <c r="H5" s="823" t="s">
        <v>704</v>
      </c>
      <c r="I5" s="819"/>
      <c r="J5" s="819"/>
      <c r="K5" s="819"/>
      <c r="L5" s="819"/>
      <c r="M5" s="819"/>
      <c r="N5" s="819"/>
      <c r="O5" s="819"/>
      <c r="P5" s="819"/>
      <c r="Q5" s="819"/>
      <c r="R5" s="819"/>
      <c r="S5" s="819"/>
      <c r="T5" s="819"/>
      <c r="U5" s="819"/>
      <c r="V5" s="819"/>
      <c r="W5" s="819"/>
      <c r="X5" s="819"/>
      <c r="Y5" s="819"/>
      <c r="Z5" s="819"/>
      <c r="AA5" s="824"/>
      <c r="AD5" s="150"/>
      <c r="AE5" s="150"/>
      <c r="AF5" s="150"/>
      <c r="AG5" s="150"/>
      <c r="AH5" s="150"/>
      <c r="AI5" s="150"/>
      <c r="AJ5" s="150"/>
      <c r="AK5" s="150"/>
      <c r="AL5" s="150"/>
    </row>
    <row r="6" spans="1:42" ht="20.100000000000001" customHeight="1" x14ac:dyDescent="0.15">
      <c r="B6" s="825" t="s">
        <v>705</v>
      </c>
      <c r="C6" s="826"/>
      <c r="D6" s="826"/>
      <c r="E6" s="826"/>
      <c r="F6" s="826"/>
      <c r="G6" s="827"/>
      <c r="H6" s="827" t="s">
        <v>706</v>
      </c>
      <c r="I6" s="828"/>
      <c r="J6" s="828"/>
      <c r="K6" s="828"/>
      <c r="L6" s="828"/>
      <c r="M6" s="828"/>
      <c r="N6" s="827" t="s">
        <v>707</v>
      </c>
      <c r="O6" s="828"/>
      <c r="P6" s="828"/>
      <c r="Q6" s="827" t="s">
        <v>708</v>
      </c>
      <c r="R6" s="828"/>
      <c r="S6" s="828"/>
      <c r="T6" s="828"/>
      <c r="U6" s="828"/>
      <c r="V6" s="828"/>
      <c r="W6" s="828"/>
      <c r="X6" s="829"/>
      <c r="Y6" s="828" t="s">
        <v>709</v>
      </c>
      <c r="Z6" s="828"/>
      <c r="AA6" s="830"/>
    </row>
    <row r="7" spans="1:42" ht="20.100000000000001" customHeight="1" x14ac:dyDescent="0.15">
      <c r="B7" s="831" t="s">
        <v>710</v>
      </c>
      <c r="C7" s="832"/>
      <c r="D7" s="833"/>
      <c r="E7" s="834"/>
      <c r="F7" s="834"/>
      <c r="G7" s="834"/>
      <c r="H7" s="835"/>
      <c r="I7" s="836"/>
      <c r="J7" s="836"/>
      <c r="K7" s="836"/>
      <c r="L7" s="836"/>
      <c r="M7" s="837"/>
      <c r="N7" s="835"/>
      <c r="O7" s="836"/>
      <c r="P7" s="837"/>
      <c r="Q7" s="838"/>
      <c r="R7" s="839"/>
      <c r="S7" s="839"/>
      <c r="T7" s="839"/>
      <c r="U7" s="839"/>
      <c r="V7" s="839"/>
      <c r="W7" s="839"/>
      <c r="X7" s="840"/>
      <c r="Y7" s="816"/>
      <c r="Z7" s="816"/>
      <c r="AA7" s="817"/>
    </row>
    <row r="8" spans="1:42" ht="20.100000000000001" customHeight="1" x14ac:dyDescent="0.15">
      <c r="B8" s="825" t="s">
        <v>711</v>
      </c>
      <c r="C8" s="826"/>
      <c r="D8" s="841"/>
      <c r="E8" s="841"/>
      <c r="F8" s="841"/>
      <c r="G8" s="842"/>
      <c r="H8" s="827"/>
      <c r="I8" s="828"/>
      <c r="J8" s="828"/>
      <c r="K8" s="828"/>
      <c r="L8" s="828"/>
      <c r="M8" s="829"/>
      <c r="N8" s="827"/>
      <c r="O8" s="828"/>
      <c r="P8" s="829"/>
      <c r="Q8" s="843"/>
      <c r="R8" s="844"/>
      <c r="S8" s="844"/>
      <c r="T8" s="844"/>
      <c r="U8" s="844"/>
      <c r="V8" s="844"/>
      <c r="W8" s="844"/>
      <c r="X8" s="845"/>
      <c r="Y8" s="827"/>
      <c r="Z8" s="828"/>
      <c r="AA8" s="830"/>
    </row>
    <row r="9" spans="1:42" ht="20.100000000000001" customHeight="1" x14ac:dyDescent="0.15">
      <c r="B9" s="825" t="s">
        <v>712</v>
      </c>
      <c r="C9" s="826"/>
      <c r="D9" s="841"/>
      <c r="E9" s="841"/>
      <c r="F9" s="841"/>
      <c r="G9" s="842"/>
      <c r="H9" s="827" t="s">
        <v>713</v>
      </c>
      <c r="I9" s="828"/>
      <c r="J9" s="828"/>
      <c r="K9" s="828"/>
      <c r="L9" s="828"/>
      <c r="M9" s="829"/>
      <c r="N9" s="827" t="s">
        <v>714</v>
      </c>
      <c r="O9" s="828"/>
      <c r="P9" s="829"/>
      <c r="Q9" s="843"/>
      <c r="R9" s="844"/>
      <c r="S9" s="844"/>
      <c r="T9" s="844"/>
      <c r="U9" s="844"/>
      <c r="V9" s="844"/>
      <c r="W9" s="844"/>
      <c r="X9" s="845"/>
      <c r="Y9" s="827"/>
      <c r="Z9" s="828"/>
      <c r="AA9" s="830"/>
    </row>
    <row r="10" spans="1:42" ht="20.100000000000001" customHeight="1" x14ac:dyDescent="0.15">
      <c r="B10" s="825" t="s">
        <v>715</v>
      </c>
      <c r="C10" s="826"/>
      <c r="D10" s="841"/>
      <c r="E10" s="841"/>
      <c r="F10" s="841"/>
      <c r="G10" s="842"/>
      <c r="H10" s="848"/>
      <c r="I10" s="849"/>
      <c r="J10" s="849"/>
      <c r="K10" s="849"/>
      <c r="L10" s="849"/>
      <c r="M10" s="849"/>
      <c r="N10" s="827"/>
      <c r="O10" s="828"/>
      <c r="P10" s="829"/>
      <c r="Q10" s="843"/>
      <c r="R10" s="844"/>
      <c r="S10" s="844"/>
      <c r="T10" s="844"/>
      <c r="U10" s="844"/>
      <c r="V10" s="844"/>
      <c r="W10" s="844"/>
      <c r="X10" s="845"/>
      <c r="Y10" s="828"/>
      <c r="Z10" s="828"/>
      <c r="AA10" s="830"/>
    </row>
    <row r="11" spans="1:42" ht="20.100000000000001" customHeight="1" thickBot="1" x14ac:dyDescent="0.2">
      <c r="B11" s="852" t="s">
        <v>716</v>
      </c>
      <c r="C11" s="832"/>
      <c r="D11" s="853"/>
      <c r="E11" s="853"/>
      <c r="F11" s="853"/>
      <c r="G11" s="854"/>
      <c r="H11" s="855"/>
      <c r="I11" s="856"/>
      <c r="J11" s="856"/>
      <c r="K11" s="856"/>
      <c r="L11" s="856"/>
      <c r="M11" s="856"/>
      <c r="N11" s="857"/>
      <c r="O11" s="846"/>
      <c r="P11" s="846"/>
      <c r="Q11" s="862"/>
      <c r="R11" s="863"/>
      <c r="S11" s="863"/>
      <c r="T11" s="863"/>
      <c r="U11" s="863"/>
      <c r="V11" s="863"/>
      <c r="W11" s="863"/>
      <c r="X11" s="864"/>
      <c r="Y11" s="846"/>
      <c r="Z11" s="846"/>
      <c r="AA11" s="847"/>
    </row>
    <row r="12" spans="1:42" ht="20.100000000000001" customHeight="1" x14ac:dyDescent="0.15">
      <c r="B12" s="874" t="s">
        <v>102</v>
      </c>
      <c r="C12" s="823" t="s">
        <v>717</v>
      </c>
      <c r="D12" s="819"/>
      <c r="E12" s="858"/>
      <c r="F12" s="667" t="s">
        <v>718</v>
      </c>
      <c r="G12" s="823">
        <v>1</v>
      </c>
      <c r="H12" s="819"/>
      <c r="I12" s="819"/>
      <c r="J12" s="823">
        <v>2</v>
      </c>
      <c r="K12" s="819"/>
      <c r="L12" s="858"/>
      <c r="M12" s="819">
        <v>3</v>
      </c>
      <c r="N12" s="819"/>
      <c r="O12" s="859"/>
      <c r="P12" s="823">
        <v>4</v>
      </c>
      <c r="Q12" s="819"/>
      <c r="R12" s="858"/>
      <c r="S12" s="873">
        <v>5</v>
      </c>
      <c r="T12" s="819"/>
      <c r="U12" s="859"/>
      <c r="V12" s="823">
        <v>6</v>
      </c>
      <c r="W12" s="819"/>
      <c r="X12" s="858"/>
      <c r="Y12" s="873">
        <v>7</v>
      </c>
      <c r="Z12" s="819"/>
      <c r="AA12" s="859"/>
      <c r="AB12" s="823">
        <v>8</v>
      </c>
      <c r="AC12" s="819"/>
      <c r="AD12" s="858"/>
      <c r="AE12" s="873">
        <v>9</v>
      </c>
      <c r="AF12" s="819"/>
      <c r="AG12" s="859"/>
      <c r="AH12" s="823">
        <v>10</v>
      </c>
      <c r="AI12" s="819"/>
      <c r="AJ12" s="858"/>
      <c r="AK12" s="823">
        <v>11</v>
      </c>
      <c r="AL12" s="819"/>
      <c r="AM12" s="858"/>
      <c r="AN12" s="819">
        <v>12</v>
      </c>
      <c r="AO12" s="819"/>
      <c r="AP12" s="824"/>
    </row>
    <row r="13" spans="1:42" ht="20.100000000000001" customHeight="1" x14ac:dyDescent="0.15">
      <c r="B13" s="875"/>
      <c r="C13" s="860" t="s">
        <v>481</v>
      </c>
      <c r="D13" s="861"/>
      <c r="E13" s="861"/>
      <c r="F13" s="668">
        <f>'[1]４　経営収支'!H4</f>
        <v>1</v>
      </c>
      <c r="G13" s="669"/>
      <c r="H13" s="670"/>
      <c r="I13" s="670"/>
      <c r="J13" s="669"/>
      <c r="K13" s="670"/>
      <c r="L13" s="152"/>
      <c r="M13" s="670"/>
      <c r="N13" s="670"/>
      <c r="O13" s="585" t="s">
        <v>719</v>
      </c>
      <c r="P13" s="671"/>
      <c r="Q13" s="670"/>
      <c r="R13" s="152"/>
      <c r="S13" s="154"/>
      <c r="T13" s="670"/>
      <c r="U13" s="153"/>
      <c r="V13" s="669"/>
      <c r="W13" s="670"/>
      <c r="X13" s="152"/>
      <c r="Y13" s="154"/>
      <c r="Z13" s="670"/>
      <c r="AA13" s="153"/>
      <c r="AB13" s="669"/>
      <c r="AC13" s="670"/>
      <c r="AD13" s="152"/>
      <c r="AE13" s="672"/>
      <c r="AF13" s="673"/>
      <c r="AG13" s="587"/>
      <c r="AH13" s="674"/>
      <c r="AI13" s="675"/>
      <c r="AJ13" s="584"/>
      <c r="AK13" s="671"/>
      <c r="AL13" s="670"/>
      <c r="AM13" s="152"/>
      <c r="AN13" s="670"/>
      <c r="AO13" s="670"/>
      <c r="AP13" s="676"/>
    </row>
    <row r="14" spans="1:42" ht="20.100000000000001" customHeight="1" x14ac:dyDescent="0.15">
      <c r="B14" s="875"/>
      <c r="C14" s="871" t="s">
        <v>482</v>
      </c>
      <c r="D14" s="872"/>
      <c r="E14" s="872"/>
      <c r="F14" s="668">
        <f>'[1]４　経営収支'!I4</f>
        <v>1</v>
      </c>
      <c r="G14" s="669"/>
      <c r="H14" s="670"/>
      <c r="I14" s="670"/>
      <c r="J14" s="669"/>
      <c r="K14" s="670"/>
      <c r="L14" s="152"/>
      <c r="M14" s="670"/>
      <c r="N14" s="670"/>
      <c r="O14" s="153"/>
      <c r="P14" s="669"/>
      <c r="Q14" s="670"/>
      <c r="R14" s="152"/>
      <c r="S14" s="154"/>
      <c r="T14" s="670"/>
      <c r="U14" s="153"/>
      <c r="V14" s="669"/>
      <c r="W14" s="670"/>
      <c r="X14" s="152"/>
      <c r="Y14" s="154"/>
      <c r="Z14" s="670"/>
      <c r="AA14" s="153"/>
      <c r="AB14" s="677"/>
      <c r="AC14" s="678"/>
      <c r="AD14" s="586"/>
      <c r="AE14" s="669"/>
      <c r="AF14" s="670"/>
      <c r="AG14" s="152"/>
      <c r="AH14" s="669"/>
      <c r="AI14" s="670"/>
      <c r="AJ14" s="152"/>
      <c r="AK14" s="669"/>
      <c r="AL14" s="670"/>
      <c r="AM14" s="152"/>
      <c r="AN14" s="670"/>
      <c r="AO14" s="670"/>
      <c r="AP14" s="676"/>
    </row>
    <row r="15" spans="1:42" ht="20.100000000000001" customHeight="1" x14ac:dyDescent="0.15">
      <c r="B15" s="875"/>
      <c r="C15" s="860" t="s">
        <v>483</v>
      </c>
      <c r="D15" s="861"/>
      <c r="E15" s="861"/>
      <c r="F15" s="668">
        <f>'[1]４　経営収支'!J4</f>
        <v>1</v>
      </c>
      <c r="G15" s="669"/>
      <c r="H15" s="670"/>
      <c r="I15" s="670"/>
      <c r="J15" s="669"/>
      <c r="K15" s="670"/>
      <c r="L15" s="152"/>
      <c r="M15" s="670"/>
      <c r="N15" s="670"/>
      <c r="O15" s="585" t="s">
        <v>719</v>
      </c>
      <c r="P15" s="669"/>
      <c r="Q15" s="670"/>
      <c r="R15" s="152"/>
      <c r="S15" s="154"/>
      <c r="T15" s="670"/>
      <c r="U15" s="153"/>
      <c r="V15" s="669"/>
      <c r="W15" s="670"/>
      <c r="X15" s="152"/>
      <c r="Y15" s="154"/>
      <c r="Z15" s="670"/>
      <c r="AA15" s="153"/>
      <c r="AB15" s="669"/>
      <c r="AC15" s="670"/>
      <c r="AD15" s="152"/>
      <c r="AE15" s="669"/>
      <c r="AF15" s="670"/>
      <c r="AG15" s="586"/>
      <c r="AH15" s="677"/>
      <c r="AI15" s="678"/>
      <c r="AJ15" s="152"/>
      <c r="AK15" s="669"/>
      <c r="AL15" s="670"/>
      <c r="AM15" s="152"/>
      <c r="AN15" s="670"/>
      <c r="AO15" s="670"/>
      <c r="AP15" s="676"/>
    </row>
    <row r="16" spans="1:42" ht="20.100000000000001" customHeight="1" x14ac:dyDescent="0.15">
      <c r="B16" s="875"/>
      <c r="C16" s="679"/>
      <c r="D16" s="680"/>
      <c r="E16" s="680"/>
      <c r="F16" s="681"/>
      <c r="G16" s="669"/>
      <c r="H16" s="670"/>
      <c r="I16" s="670"/>
      <c r="J16" s="669"/>
      <c r="K16" s="670"/>
      <c r="L16" s="152"/>
      <c r="M16" s="670"/>
      <c r="N16" s="670"/>
      <c r="O16" s="585"/>
      <c r="P16" s="669"/>
      <c r="Q16" s="670"/>
      <c r="R16" s="152"/>
      <c r="S16" s="154"/>
      <c r="T16" s="670"/>
      <c r="U16" s="153"/>
      <c r="V16" s="669"/>
      <c r="W16" s="670"/>
      <c r="X16" s="152"/>
      <c r="Y16" s="154"/>
      <c r="Z16" s="670"/>
      <c r="AA16" s="153"/>
      <c r="AB16" s="669"/>
      <c r="AC16" s="670"/>
      <c r="AD16" s="152"/>
      <c r="AE16" s="669"/>
      <c r="AF16" s="670"/>
      <c r="AG16" s="584"/>
      <c r="AH16" s="672"/>
      <c r="AI16" s="675"/>
      <c r="AJ16" s="152"/>
      <c r="AK16" s="669"/>
      <c r="AL16" s="670"/>
      <c r="AM16" s="152"/>
      <c r="AN16" s="670"/>
      <c r="AO16" s="670"/>
      <c r="AP16" s="676"/>
    </row>
    <row r="17" spans="2:42" ht="20.100000000000001" customHeight="1" x14ac:dyDescent="0.15">
      <c r="B17" s="875"/>
      <c r="C17" s="860"/>
      <c r="D17" s="861"/>
      <c r="E17" s="861"/>
      <c r="F17" s="681"/>
      <c r="G17" s="669"/>
      <c r="H17" s="670"/>
      <c r="I17" s="670"/>
      <c r="J17" s="669"/>
      <c r="K17" s="670"/>
      <c r="L17" s="152"/>
      <c r="M17" s="670"/>
      <c r="N17" s="670"/>
      <c r="O17" s="585"/>
      <c r="P17" s="669"/>
      <c r="Q17" s="670"/>
      <c r="R17" s="152"/>
      <c r="S17" s="154"/>
      <c r="T17" s="670"/>
      <c r="U17" s="153"/>
      <c r="V17" s="669"/>
      <c r="W17" s="670"/>
      <c r="X17" s="152"/>
      <c r="Y17" s="154"/>
      <c r="Z17" s="670"/>
      <c r="AA17" s="153"/>
      <c r="AB17" s="672"/>
      <c r="AC17" s="675"/>
      <c r="AD17" s="584"/>
      <c r="AE17" s="672"/>
      <c r="AF17" s="675"/>
      <c r="AG17" s="152"/>
      <c r="AH17" s="669"/>
      <c r="AI17" s="670"/>
      <c r="AJ17" s="152"/>
      <c r="AK17" s="669"/>
      <c r="AL17" s="670"/>
      <c r="AM17" s="152"/>
      <c r="AN17" s="670"/>
      <c r="AO17" s="670"/>
      <c r="AP17" s="676"/>
    </row>
    <row r="18" spans="2:42" ht="20.100000000000001" customHeight="1" x14ac:dyDescent="0.15">
      <c r="B18" s="875"/>
      <c r="C18" s="860"/>
      <c r="D18" s="861"/>
      <c r="E18" s="861"/>
      <c r="F18" s="682"/>
      <c r="G18" s="669"/>
      <c r="H18" s="670"/>
      <c r="I18" s="670"/>
      <c r="J18" s="669"/>
      <c r="K18" s="670"/>
      <c r="L18" s="152"/>
      <c r="M18" s="670"/>
      <c r="N18" s="670"/>
      <c r="O18" s="153"/>
      <c r="P18" s="669"/>
      <c r="Q18" s="670"/>
      <c r="R18" s="152"/>
      <c r="S18" s="154"/>
      <c r="T18" s="670"/>
      <c r="U18" s="153"/>
      <c r="V18" s="669"/>
      <c r="W18" s="670"/>
      <c r="X18" s="152"/>
      <c r="Y18" s="154"/>
      <c r="Z18" s="670"/>
      <c r="AA18" s="153"/>
      <c r="AB18" s="669"/>
      <c r="AC18" s="670"/>
      <c r="AD18" s="152"/>
      <c r="AE18" s="669"/>
      <c r="AF18" s="670"/>
      <c r="AG18" s="152"/>
      <c r="AH18" s="669"/>
      <c r="AI18" s="670"/>
      <c r="AJ18" s="152"/>
      <c r="AK18" s="669"/>
      <c r="AL18" s="670"/>
      <c r="AM18" s="152"/>
      <c r="AN18" s="670"/>
      <c r="AO18" s="670"/>
      <c r="AP18" s="676"/>
    </row>
    <row r="19" spans="2:42" ht="20.100000000000001" customHeight="1" x14ac:dyDescent="0.15">
      <c r="B19" s="876"/>
      <c r="C19" s="850"/>
      <c r="D19" s="851"/>
      <c r="E19" s="851"/>
      <c r="F19" s="155"/>
      <c r="G19" s="656"/>
      <c r="H19" s="156"/>
      <c r="I19" s="156"/>
      <c r="J19" s="683"/>
      <c r="K19" s="684"/>
      <c r="L19" s="685"/>
      <c r="M19" s="156"/>
      <c r="N19" s="156"/>
      <c r="O19" s="157"/>
      <c r="P19" s="683"/>
      <c r="Q19" s="684"/>
      <c r="R19" s="685"/>
      <c r="S19" s="158"/>
      <c r="T19" s="156"/>
      <c r="U19" s="157"/>
      <c r="V19" s="683"/>
      <c r="W19" s="684"/>
      <c r="X19" s="685"/>
      <c r="Y19" s="158"/>
      <c r="Z19" s="156"/>
      <c r="AA19" s="157"/>
      <c r="AB19" s="683"/>
      <c r="AC19" s="684"/>
      <c r="AD19" s="685"/>
      <c r="AE19" s="683"/>
      <c r="AF19" s="684"/>
      <c r="AG19" s="685"/>
      <c r="AH19" s="683"/>
      <c r="AI19" s="684"/>
      <c r="AJ19" s="685"/>
      <c r="AK19" s="683"/>
      <c r="AL19" s="684"/>
      <c r="AM19" s="685"/>
      <c r="AN19" s="684"/>
      <c r="AO19" s="684"/>
      <c r="AP19" s="686"/>
    </row>
    <row r="20" spans="2:42" ht="20.100000000000001" customHeight="1" x14ac:dyDescent="0.15">
      <c r="B20" s="877" t="s">
        <v>720</v>
      </c>
      <c r="C20" s="878"/>
      <c r="D20" s="879"/>
      <c r="E20" s="879"/>
      <c r="F20" s="879"/>
      <c r="G20" s="879"/>
      <c r="H20" s="879"/>
      <c r="I20" s="879"/>
      <c r="J20" s="879"/>
      <c r="K20" s="879"/>
      <c r="L20" s="879"/>
      <c r="M20" s="879"/>
      <c r="N20" s="879"/>
      <c r="O20" s="879"/>
      <c r="P20" s="879"/>
      <c r="Q20" s="879"/>
      <c r="R20" s="879"/>
      <c r="S20" s="879"/>
      <c r="T20" s="879"/>
      <c r="U20" s="879"/>
      <c r="V20" s="879"/>
      <c r="W20" s="879"/>
      <c r="X20" s="879"/>
      <c r="Y20" s="879"/>
      <c r="Z20" s="879"/>
      <c r="AA20" s="879"/>
      <c r="AB20" s="879"/>
      <c r="AC20" s="879"/>
      <c r="AD20" s="879"/>
      <c r="AE20" s="879"/>
      <c r="AF20" s="879"/>
      <c r="AG20" s="879"/>
      <c r="AH20" s="879"/>
      <c r="AI20" s="879"/>
      <c r="AJ20" s="879"/>
      <c r="AK20" s="879"/>
      <c r="AL20" s="879"/>
      <c r="AM20" s="879"/>
      <c r="AN20" s="879"/>
      <c r="AO20" s="879"/>
      <c r="AP20" s="880"/>
    </row>
    <row r="21" spans="2:42" ht="20.100000000000001" customHeight="1" x14ac:dyDescent="0.15">
      <c r="B21" s="831"/>
      <c r="C21" s="881" t="s">
        <v>478</v>
      </c>
      <c r="D21" s="882"/>
      <c r="E21" s="882"/>
      <c r="F21" s="882"/>
      <c r="G21" s="882"/>
      <c r="H21" s="882"/>
      <c r="I21" s="882"/>
      <c r="J21" s="882"/>
      <c r="K21" s="882"/>
      <c r="L21" s="882"/>
      <c r="M21" s="882"/>
      <c r="N21" s="882"/>
      <c r="O21" s="882"/>
      <c r="P21" s="882"/>
      <c r="Q21" s="882"/>
      <c r="R21" s="882"/>
      <c r="S21" s="882"/>
      <c r="T21" s="882"/>
      <c r="U21" s="882"/>
      <c r="V21" s="654"/>
      <c r="W21" s="654"/>
      <c r="Y21" s="834" t="s">
        <v>721</v>
      </c>
      <c r="Z21" s="834"/>
      <c r="AA21" s="834"/>
      <c r="AB21" s="834"/>
      <c r="AC21" s="654"/>
      <c r="AD21" s="654"/>
      <c r="AI21" s="654"/>
      <c r="AJ21" s="654"/>
      <c r="AK21" s="654"/>
      <c r="AL21" s="654"/>
      <c r="AM21" s="654"/>
      <c r="AN21" s="654"/>
      <c r="AO21" s="654"/>
      <c r="AP21" s="159"/>
    </row>
    <row r="22" spans="2:42" ht="20.100000000000001" customHeight="1" thickBot="1" x14ac:dyDescent="0.2">
      <c r="B22" s="852"/>
      <c r="C22" s="883"/>
      <c r="D22" s="884"/>
      <c r="E22" s="884"/>
      <c r="F22" s="884"/>
      <c r="G22" s="884"/>
      <c r="H22" s="884"/>
      <c r="I22" s="884"/>
      <c r="J22" s="884"/>
      <c r="K22" s="884"/>
      <c r="L22" s="884"/>
      <c r="M22" s="884"/>
      <c r="N22" s="884"/>
      <c r="O22" s="884"/>
      <c r="P22" s="884"/>
      <c r="Q22" s="884"/>
      <c r="R22" s="884"/>
      <c r="S22" s="884"/>
      <c r="T22" s="884"/>
      <c r="U22" s="884"/>
      <c r="V22" s="884"/>
      <c r="W22" s="884"/>
      <c r="X22" s="884"/>
      <c r="Y22" s="884"/>
      <c r="Z22" s="884"/>
      <c r="AA22" s="884"/>
      <c r="AB22" s="884"/>
      <c r="AC22" s="884"/>
      <c r="AD22" s="884"/>
      <c r="AE22" s="884"/>
      <c r="AF22" s="884"/>
      <c r="AG22" s="884"/>
      <c r="AH22" s="884"/>
      <c r="AI22" s="884"/>
      <c r="AJ22" s="884"/>
      <c r="AK22" s="884"/>
      <c r="AL22" s="884"/>
      <c r="AM22" s="884"/>
      <c r="AN22" s="884"/>
      <c r="AO22" s="884"/>
      <c r="AP22" s="885"/>
    </row>
    <row r="23" spans="2:42" ht="9.9499999999999993" customHeight="1" x14ac:dyDescent="0.15"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</row>
    <row r="24" spans="2:42" ht="24.95" customHeight="1" thickBot="1" x14ac:dyDescent="0.2">
      <c r="B24" s="144" t="s">
        <v>722</v>
      </c>
    </row>
    <row r="25" spans="2:42" ht="20.100000000000001" customHeight="1" thickBot="1" x14ac:dyDescent="0.2">
      <c r="B25" s="865" t="s">
        <v>18</v>
      </c>
      <c r="C25" s="866"/>
      <c r="D25" s="866"/>
      <c r="E25" s="866"/>
      <c r="F25" s="866"/>
      <c r="G25" s="866"/>
      <c r="H25" s="866"/>
      <c r="I25" s="866"/>
      <c r="J25" s="866"/>
      <c r="K25" s="866"/>
      <c r="L25" s="866"/>
      <c r="M25" s="866"/>
      <c r="N25" s="867"/>
      <c r="O25" s="868" t="s">
        <v>17</v>
      </c>
      <c r="P25" s="869"/>
      <c r="Q25" s="869"/>
      <c r="R25" s="869"/>
      <c r="S25" s="869"/>
      <c r="T25" s="869"/>
      <c r="U25" s="869"/>
      <c r="V25" s="869"/>
      <c r="W25" s="869"/>
      <c r="X25" s="869"/>
      <c r="Y25" s="869"/>
      <c r="Z25" s="869"/>
      <c r="AA25" s="869"/>
      <c r="AB25" s="869"/>
      <c r="AC25" s="869"/>
      <c r="AD25" s="869"/>
      <c r="AE25" s="869"/>
      <c r="AF25" s="869"/>
      <c r="AG25" s="869"/>
      <c r="AH25" s="869"/>
      <c r="AI25" s="869"/>
      <c r="AJ25" s="869"/>
      <c r="AK25" s="869"/>
      <c r="AL25" s="869"/>
      <c r="AM25" s="869"/>
      <c r="AN25" s="869"/>
      <c r="AO25" s="869"/>
      <c r="AP25" s="870"/>
    </row>
    <row r="26" spans="2:42" ht="39.950000000000003" customHeight="1" x14ac:dyDescent="0.15">
      <c r="B26" s="886" t="s">
        <v>13</v>
      </c>
      <c r="C26" s="887"/>
      <c r="D26" s="887"/>
      <c r="E26" s="888" t="s">
        <v>667</v>
      </c>
      <c r="F26" s="889"/>
      <c r="G26" s="889"/>
      <c r="H26" s="889"/>
      <c r="I26" s="889"/>
      <c r="J26" s="889"/>
      <c r="K26" s="889"/>
      <c r="L26" s="889"/>
      <c r="M26" s="889"/>
      <c r="N26" s="890"/>
      <c r="O26" s="891" t="s">
        <v>10</v>
      </c>
      <c r="P26" s="887"/>
      <c r="Q26" s="887"/>
      <c r="R26" s="887"/>
      <c r="S26" s="887"/>
      <c r="T26" s="892" t="s">
        <v>723</v>
      </c>
      <c r="U26" s="893"/>
      <c r="V26" s="893"/>
      <c r="W26" s="893"/>
      <c r="X26" s="893"/>
      <c r="Y26" s="893"/>
      <c r="Z26" s="893"/>
      <c r="AA26" s="893"/>
      <c r="AB26" s="893"/>
      <c r="AC26" s="893"/>
      <c r="AD26" s="893"/>
      <c r="AE26" s="893"/>
      <c r="AF26" s="893"/>
      <c r="AG26" s="893"/>
      <c r="AH26" s="893"/>
      <c r="AI26" s="893"/>
      <c r="AJ26" s="893"/>
      <c r="AK26" s="893"/>
      <c r="AL26" s="893"/>
      <c r="AM26" s="893"/>
      <c r="AN26" s="893"/>
      <c r="AO26" s="893"/>
      <c r="AP26" s="894"/>
    </row>
    <row r="27" spans="2:42" ht="39.950000000000003" customHeight="1" x14ac:dyDescent="0.15">
      <c r="B27" s="895" t="s">
        <v>14</v>
      </c>
      <c r="C27" s="896"/>
      <c r="D27" s="896"/>
      <c r="E27" s="897"/>
      <c r="F27" s="897"/>
      <c r="G27" s="897"/>
      <c r="H27" s="897"/>
      <c r="I27" s="897"/>
      <c r="J27" s="897"/>
      <c r="K27" s="897"/>
      <c r="L27" s="897"/>
      <c r="M27" s="897"/>
      <c r="N27" s="898"/>
      <c r="O27" s="899" t="s">
        <v>11</v>
      </c>
      <c r="P27" s="896"/>
      <c r="Q27" s="896"/>
      <c r="R27" s="896"/>
      <c r="S27" s="896"/>
      <c r="T27" s="900" t="s">
        <v>668</v>
      </c>
      <c r="U27" s="897"/>
      <c r="V27" s="897"/>
      <c r="W27" s="897"/>
      <c r="X27" s="897"/>
      <c r="Y27" s="897"/>
      <c r="Z27" s="897"/>
      <c r="AA27" s="897"/>
      <c r="AB27" s="897"/>
      <c r="AC27" s="897"/>
      <c r="AD27" s="897"/>
      <c r="AE27" s="897"/>
      <c r="AF27" s="897"/>
      <c r="AG27" s="897"/>
      <c r="AH27" s="897"/>
      <c r="AI27" s="897"/>
      <c r="AJ27" s="897"/>
      <c r="AK27" s="897"/>
      <c r="AL27" s="897"/>
      <c r="AM27" s="897"/>
      <c r="AN27" s="897"/>
      <c r="AO27" s="897"/>
      <c r="AP27" s="898"/>
    </row>
    <row r="28" spans="2:42" ht="39.950000000000003" customHeight="1" x14ac:dyDescent="0.15">
      <c r="B28" s="895" t="s">
        <v>15</v>
      </c>
      <c r="C28" s="896"/>
      <c r="D28" s="896"/>
      <c r="E28" s="900" t="s">
        <v>724</v>
      </c>
      <c r="F28" s="897"/>
      <c r="G28" s="897"/>
      <c r="H28" s="897"/>
      <c r="I28" s="897"/>
      <c r="J28" s="897"/>
      <c r="K28" s="897"/>
      <c r="L28" s="897"/>
      <c r="M28" s="897"/>
      <c r="N28" s="898"/>
      <c r="O28" s="899" t="s">
        <v>12</v>
      </c>
      <c r="P28" s="896"/>
      <c r="Q28" s="896"/>
      <c r="R28" s="896"/>
      <c r="S28" s="896"/>
      <c r="T28" s="900" t="s">
        <v>669</v>
      </c>
      <c r="U28" s="897"/>
      <c r="V28" s="897"/>
      <c r="W28" s="897"/>
      <c r="X28" s="897"/>
      <c r="Y28" s="897"/>
      <c r="Z28" s="897"/>
      <c r="AA28" s="897"/>
      <c r="AB28" s="897"/>
      <c r="AC28" s="897"/>
      <c r="AD28" s="897"/>
      <c r="AE28" s="897"/>
      <c r="AF28" s="897"/>
      <c r="AG28" s="897"/>
      <c r="AH28" s="897"/>
      <c r="AI28" s="897"/>
      <c r="AJ28" s="897"/>
      <c r="AK28" s="897"/>
      <c r="AL28" s="897"/>
      <c r="AM28" s="897"/>
      <c r="AN28" s="897"/>
      <c r="AO28" s="897"/>
      <c r="AP28" s="898"/>
    </row>
    <row r="29" spans="2:42" ht="39.950000000000003" customHeight="1" thickBot="1" x14ac:dyDescent="0.2">
      <c r="B29" s="905" t="s">
        <v>16</v>
      </c>
      <c r="C29" s="902"/>
      <c r="D29" s="902"/>
      <c r="E29" s="906" t="s">
        <v>621</v>
      </c>
      <c r="F29" s="903"/>
      <c r="G29" s="903"/>
      <c r="H29" s="903"/>
      <c r="I29" s="903"/>
      <c r="J29" s="903"/>
      <c r="K29" s="903"/>
      <c r="L29" s="903"/>
      <c r="M29" s="903"/>
      <c r="N29" s="904"/>
      <c r="O29" s="901"/>
      <c r="P29" s="902"/>
      <c r="Q29" s="902"/>
      <c r="R29" s="902"/>
      <c r="S29" s="902"/>
      <c r="T29" s="903"/>
      <c r="U29" s="903"/>
      <c r="V29" s="903"/>
      <c r="W29" s="903"/>
      <c r="X29" s="903"/>
      <c r="Y29" s="903"/>
      <c r="Z29" s="903"/>
      <c r="AA29" s="903"/>
      <c r="AB29" s="903"/>
      <c r="AC29" s="903"/>
      <c r="AD29" s="903"/>
      <c r="AE29" s="903"/>
      <c r="AF29" s="903"/>
      <c r="AG29" s="903"/>
      <c r="AH29" s="903"/>
      <c r="AI29" s="903"/>
      <c r="AJ29" s="903"/>
      <c r="AK29" s="903"/>
      <c r="AL29" s="903"/>
      <c r="AM29" s="903"/>
      <c r="AN29" s="903"/>
      <c r="AO29" s="903"/>
      <c r="AP29" s="904"/>
    </row>
    <row r="30" spans="2:42" ht="9.75" customHeight="1" x14ac:dyDescent="0.15">
      <c r="B30" s="148"/>
    </row>
  </sheetData>
  <mergeCells count="85">
    <mergeCell ref="B28:D28"/>
    <mergeCell ref="E28:N28"/>
    <mergeCell ref="O28:S29"/>
    <mergeCell ref="T28:AP29"/>
    <mergeCell ref="B29:D29"/>
    <mergeCell ref="E29:N29"/>
    <mergeCell ref="B26:D26"/>
    <mergeCell ref="E26:N26"/>
    <mergeCell ref="O26:S26"/>
    <mergeCell ref="T26:AP26"/>
    <mergeCell ref="B27:D27"/>
    <mergeCell ref="E27:N27"/>
    <mergeCell ref="O27:S27"/>
    <mergeCell ref="T27:AP27"/>
    <mergeCell ref="B20:B22"/>
    <mergeCell ref="C20:AP20"/>
    <mergeCell ref="C21:U21"/>
    <mergeCell ref="Y21:AB21"/>
    <mergeCell ref="C22:AP22"/>
    <mergeCell ref="B25:N25"/>
    <mergeCell ref="O25:AP25"/>
    <mergeCell ref="AK12:AM12"/>
    <mergeCell ref="AN12:AP12"/>
    <mergeCell ref="C13:E13"/>
    <mergeCell ref="C14:E14"/>
    <mergeCell ref="C15:E15"/>
    <mergeCell ref="C17:E17"/>
    <mergeCell ref="S12:U12"/>
    <mergeCell ref="V12:X12"/>
    <mergeCell ref="Y12:AA12"/>
    <mergeCell ref="AB12:AD12"/>
    <mergeCell ref="AE12:AG12"/>
    <mergeCell ref="AH12:AJ12"/>
    <mergeCell ref="B12:B19"/>
    <mergeCell ref="C12:E12"/>
    <mergeCell ref="C19:E19"/>
    <mergeCell ref="B11:C11"/>
    <mergeCell ref="D11:G11"/>
    <mergeCell ref="H11:M11"/>
    <mergeCell ref="N11:P11"/>
    <mergeCell ref="G12:I12"/>
    <mergeCell ref="J12:L12"/>
    <mergeCell ref="M12:O12"/>
    <mergeCell ref="P12:R12"/>
    <mergeCell ref="C18:E18"/>
    <mergeCell ref="Q11:X11"/>
    <mergeCell ref="Y11:AA11"/>
    <mergeCell ref="B10:C10"/>
    <mergeCell ref="D10:G10"/>
    <mergeCell ref="H10:M10"/>
    <mergeCell ref="N10:P10"/>
    <mergeCell ref="Q10:X10"/>
    <mergeCell ref="Y10:AA10"/>
    <mergeCell ref="Y9:AA9"/>
    <mergeCell ref="B8:C8"/>
    <mergeCell ref="D8:G8"/>
    <mergeCell ref="H8:M8"/>
    <mergeCell ref="N8:P8"/>
    <mergeCell ref="Q8:X8"/>
    <mergeCell ref="Y8:AA8"/>
    <mergeCell ref="B9:C9"/>
    <mergeCell ref="D9:G9"/>
    <mergeCell ref="H9:M9"/>
    <mergeCell ref="N9:P9"/>
    <mergeCell ref="Q9:X9"/>
    <mergeCell ref="Y7:AA7"/>
    <mergeCell ref="B5:C5"/>
    <mergeCell ref="D5:G5"/>
    <mergeCell ref="H5:AA5"/>
    <mergeCell ref="B6:G6"/>
    <mergeCell ref="H6:M6"/>
    <mergeCell ref="N6:P6"/>
    <mergeCell ref="Q6:X6"/>
    <mergeCell ref="Y6:AA6"/>
    <mergeCell ref="B7:C7"/>
    <mergeCell ref="D7:G7"/>
    <mergeCell ref="H7:M7"/>
    <mergeCell ref="N7:P7"/>
    <mergeCell ref="Q7:X7"/>
    <mergeCell ref="Y2:AA2"/>
    <mergeCell ref="C2:D2"/>
    <mergeCell ref="F2:N2"/>
    <mergeCell ref="O2:Q2"/>
    <mergeCell ref="R2:U2"/>
    <mergeCell ref="V2:X2"/>
  </mergeCells>
  <phoneticPr fontId="5"/>
  <pageMargins left="0.78740157480314965" right="0.78740157480314965" top="0.78740157480314965" bottom="0.78740157480314965" header="0.39370078740157483" footer="0.39370078740157483"/>
  <pageSetup paperSize="9" scale="76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J42"/>
  <sheetViews>
    <sheetView zoomScale="75" zoomScaleNormal="75" zoomScaleSheetLayoutView="80" workbookViewId="0"/>
  </sheetViews>
  <sheetFormatPr defaultRowHeight="13.5" x14ac:dyDescent="0.15"/>
  <cols>
    <col min="1" max="1" width="1.625" style="93" customWidth="1"/>
    <col min="2" max="2" width="22.625" style="93" customWidth="1"/>
    <col min="3" max="38" width="6.125" style="93" customWidth="1"/>
    <col min="39" max="39" width="7" style="93" customWidth="1"/>
    <col min="40" max="40" width="1.5" style="93" customWidth="1"/>
    <col min="41" max="45" width="0" style="93" hidden="1" customWidth="1"/>
    <col min="46" max="16384" width="9" style="93"/>
  </cols>
  <sheetData>
    <row r="1" spans="2:62" ht="9.9499999999999993" customHeight="1" x14ac:dyDescent="0.15"/>
    <row r="2" spans="2:62" ht="24.95" customHeight="1" thickBot="1" x14ac:dyDescent="0.2">
      <c r="B2" s="13" t="s">
        <v>748</v>
      </c>
      <c r="C2" s="13"/>
      <c r="D2" s="13"/>
      <c r="E2" s="13"/>
      <c r="F2" s="13"/>
      <c r="G2" s="13"/>
      <c r="H2" s="13"/>
      <c r="I2" s="13"/>
      <c r="J2" s="13"/>
      <c r="K2" s="371" t="s">
        <v>264</v>
      </c>
      <c r="L2" s="370" t="s">
        <v>500</v>
      </c>
      <c r="M2" s="144"/>
      <c r="N2" s="371" t="s">
        <v>265</v>
      </c>
      <c r="O2" s="370" t="s">
        <v>484</v>
      </c>
      <c r="P2" s="13"/>
      <c r="Q2" s="13"/>
      <c r="R2" s="13"/>
      <c r="S2" s="13"/>
      <c r="T2" s="13"/>
      <c r="U2" s="13"/>
      <c r="V2" s="95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</row>
    <row r="3" spans="2:62" ht="20.100000000000001" customHeight="1" x14ac:dyDescent="0.15">
      <c r="B3" s="981" t="s">
        <v>112</v>
      </c>
      <c r="C3" s="973">
        <v>1</v>
      </c>
      <c r="D3" s="974"/>
      <c r="E3" s="975"/>
      <c r="F3" s="973">
        <v>2</v>
      </c>
      <c r="G3" s="974"/>
      <c r="H3" s="975"/>
      <c r="I3" s="973">
        <v>3</v>
      </c>
      <c r="J3" s="974"/>
      <c r="K3" s="975"/>
      <c r="L3" s="973">
        <v>4</v>
      </c>
      <c r="M3" s="974"/>
      <c r="N3" s="975"/>
      <c r="O3" s="973">
        <v>5</v>
      </c>
      <c r="P3" s="974"/>
      <c r="Q3" s="975"/>
      <c r="R3" s="973">
        <v>6</v>
      </c>
      <c r="S3" s="974"/>
      <c r="T3" s="975"/>
      <c r="U3" s="973">
        <v>7</v>
      </c>
      <c r="V3" s="974"/>
      <c r="W3" s="975"/>
      <c r="X3" s="973">
        <v>8</v>
      </c>
      <c r="Y3" s="974"/>
      <c r="Z3" s="975"/>
      <c r="AA3" s="973">
        <v>9</v>
      </c>
      <c r="AB3" s="974"/>
      <c r="AC3" s="975"/>
      <c r="AD3" s="973">
        <v>10</v>
      </c>
      <c r="AE3" s="974"/>
      <c r="AF3" s="975"/>
      <c r="AG3" s="973">
        <v>11</v>
      </c>
      <c r="AH3" s="974"/>
      <c r="AI3" s="975"/>
      <c r="AJ3" s="973">
        <v>12</v>
      </c>
      <c r="AK3" s="974"/>
      <c r="AL3" s="975"/>
      <c r="AM3" s="976" t="s">
        <v>33</v>
      </c>
      <c r="AO3" s="719" t="s">
        <v>645</v>
      </c>
      <c r="AP3" s="719" t="s">
        <v>646</v>
      </c>
      <c r="AQ3" s="719" t="s">
        <v>24</v>
      </c>
    </row>
    <row r="4" spans="2:62" ht="20.100000000000001" customHeight="1" x14ac:dyDescent="0.15">
      <c r="B4" s="980"/>
      <c r="C4" s="123" t="s">
        <v>34</v>
      </c>
      <c r="D4" s="124" t="s">
        <v>35</v>
      </c>
      <c r="E4" s="125" t="s">
        <v>36</v>
      </c>
      <c r="F4" s="123" t="s">
        <v>34</v>
      </c>
      <c r="G4" s="125" t="s">
        <v>35</v>
      </c>
      <c r="H4" s="125" t="s">
        <v>36</v>
      </c>
      <c r="I4" s="123" t="s">
        <v>34</v>
      </c>
      <c r="J4" s="125" t="s">
        <v>35</v>
      </c>
      <c r="K4" s="125" t="s">
        <v>36</v>
      </c>
      <c r="L4" s="123" t="s">
        <v>34</v>
      </c>
      <c r="M4" s="125" t="s">
        <v>35</v>
      </c>
      <c r="N4" s="125" t="s">
        <v>36</v>
      </c>
      <c r="O4" s="123" t="s">
        <v>34</v>
      </c>
      <c r="P4" s="125" t="s">
        <v>35</v>
      </c>
      <c r="Q4" s="125" t="s">
        <v>36</v>
      </c>
      <c r="R4" s="123" t="s">
        <v>34</v>
      </c>
      <c r="S4" s="126" t="s">
        <v>35</v>
      </c>
      <c r="T4" s="126" t="s">
        <v>36</v>
      </c>
      <c r="U4" s="123" t="s">
        <v>34</v>
      </c>
      <c r="V4" s="125" t="s">
        <v>35</v>
      </c>
      <c r="W4" s="125" t="s">
        <v>36</v>
      </c>
      <c r="X4" s="123" t="s">
        <v>34</v>
      </c>
      <c r="Y4" s="125" t="s">
        <v>35</v>
      </c>
      <c r="Z4" s="125" t="s">
        <v>36</v>
      </c>
      <c r="AA4" s="123" t="s">
        <v>34</v>
      </c>
      <c r="AB4" s="125" t="s">
        <v>35</v>
      </c>
      <c r="AC4" s="125" t="s">
        <v>36</v>
      </c>
      <c r="AD4" s="123" t="s">
        <v>34</v>
      </c>
      <c r="AE4" s="125" t="s">
        <v>35</v>
      </c>
      <c r="AF4" s="125" t="s">
        <v>36</v>
      </c>
      <c r="AG4" s="123" t="s">
        <v>34</v>
      </c>
      <c r="AH4" s="125" t="s">
        <v>35</v>
      </c>
      <c r="AI4" s="125" t="s">
        <v>36</v>
      </c>
      <c r="AJ4" s="123" t="s">
        <v>34</v>
      </c>
      <c r="AK4" s="125" t="s">
        <v>35</v>
      </c>
      <c r="AL4" s="125" t="s">
        <v>36</v>
      </c>
      <c r="AM4" s="977"/>
      <c r="AO4" s="720"/>
      <c r="AP4" s="720"/>
      <c r="AQ4" s="720"/>
    </row>
    <row r="5" spans="2:62" ht="20.100000000000001" customHeight="1" x14ac:dyDescent="0.15">
      <c r="B5" s="978" t="s">
        <v>113</v>
      </c>
      <c r="C5" s="127"/>
      <c r="D5" s="13"/>
      <c r="E5" s="13"/>
      <c r="F5" s="13"/>
      <c r="G5" s="13"/>
      <c r="H5" s="13"/>
      <c r="I5" s="13"/>
      <c r="J5" s="13"/>
      <c r="K5" s="13"/>
      <c r="L5" s="13"/>
      <c r="M5" s="13"/>
      <c r="N5" s="95"/>
      <c r="O5" s="95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28"/>
      <c r="AO5" s="720"/>
      <c r="AP5" s="720"/>
      <c r="AQ5" s="720"/>
    </row>
    <row r="6" spans="2:62" ht="20.100000000000001" customHeight="1" x14ac:dyDescent="0.15">
      <c r="B6" s="979"/>
      <c r="C6" s="127"/>
      <c r="D6" s="13"/>
      <c r="E6" s="13"/>
      <c r="F6" s="13"/>
      <c r="G6" s="13"/>
      <c r="H6" s="13"/>
      <c r="I6" s="13"/>
      <c r="J6" s="13"/>
      <c r="K6" s="546" t="s">
        <v>620</v>
      </c>
      <c r="L6" s="545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662"/>
      <c r="AB6" s="544"/>
      <c r="AC6" s="544"/>
      <c r="AD6" s="663"/>
      <c r="AE6" s="239"/>
      <c r="AF6" s="239"/>
      <c r="AG6" s="546"/>
      <c r="AH6" s="13"/>
      <c r="AI6" s="13"/>
      <c r="AJ6" s="13"/>
      <c r="AK6" s="13"/>
      <c r="AL6" s="13"/>
      <c r="AM6" s="128"/>
      <c r="AO6" s="720"/>
      <c r="AP6" s="720"/>
      <c r="AQ6" s="720"/>
    </row>
    <row r="7" spans="2:62" ht="20.100000000000001" customHeight="1" x14ac:dyDescent="0.15">
      <c r="B7" s="980"/>
      <c r="C7" s="129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1"/>
      <c r="AO7" s="720"/>
      <c r="AP7" s="720"/>
      <c r="AQ7" s="720"/>
    </row>
    <row r="8" spans="2:62" ht="20.100000000000001" customHeight="1" x14ac:dyDescent="0.15">
      <c r="B8" s="132" t="s">
        <v>375</v>
      </c>
      <c r="C8" s="92"/>
      <c r="D8" s="623"/>
      <c r="E8" s="623"/>
      <c r="F8" s="92"/>
      <c r="G8" s="623">
        <v>20</v>
      </c>
      <c r="H8" s="623">
        <v>20</v>
      </c>
      <c r="I8" s="92">
        <v>20</v>
      </c>
      <c r="J8" s="623"/>
      <c r="K8" s="623"/>
      <c r="L8" s="92"/>
      <c r="M8" s="623"/>
      <c r="N8" s="623"/>
      <c r="O8" s="92"/>
      <c r="P8" s="623"/>
      <c r="Q8" s="623"/>
      <c r="R8" s="92"/>
      <c r="S8" s="623"/>
      <c r="T8" s="623"/>
      <c r="U8" s="92"/>
      <c r="V8" s="623"/>
      <c r="W8" s="623"/>
      <c r="X8" s="92"/>
      <c r="Y8" s="623"/>
      <c r="Z8" s="623"/>
      <c r="AA8" s="92"/>
      <c r="AB8" s="623"/>
      <c r="AC8" s="623"/>
      <c r="AD8" s="92"/>
      <c r="AE8" s="623"/>
      <c r="AF8" s="623"/>
      <c r="AG8" s="92"/>
      <c r="AH8" s="623"/>
      <c r="AI8" s="623"/>
      <c r="AJ8" s="92">
        <v>20</v>
      </c>
      <c r="AK8" s="623">
        <v>20</v>
      </c>
      <c r="AL8" s="623">
        <v>20</v>
      </c>
      <c r="AM8" s="201">
        <f>SUM(C8:AL8)</f>
        <v>120</v>
      </c>
      <c r="AN8" s="93">
        <v>12</v>
      </c>
      <c r="AO8" s="721"/>
      <c r="AP8" s="721">
        <v>120</v>
      </c>
      <c r="AQ8" s="722">
        <f>+SUM(AO8:AP8)</f>
        <v>120</v>
      </c>
    </row>
    <row r="9" spans="2:62" ht="20.100000000000001" customHeight="1" x14ac:dyDescent="0.15">
      <c r="B9" s="132" t="s">
        <v>376</v>
      </c>
      <c r="C9" s="92"/>
      <c r="D9" s="623"/>
      <c r="E9" s="623"/>
      <c r="F9" s="92"/>
      <c r="G9" s="623"/>
      <c r="H9" s="623"/>
      <c r="I9" s="92"/>
      <c r="J9" s="623"/>
      <c r="K9" s="623"/>
      <c r="L9" s="92"/>
      <c r="M9" s="623"/>
      <c r="N9" s="623"/>
      <c r="O9" s="92"/>
      <c r="P9" s="623">
        <v>30</v>
      </c>
      <c r="Q9" s="623">
        <v>30</v>
      </c>
      <c r="R9" s="92">
        <v>120</v>
      </c>
      <c r="S9" s="623">
        <v>60</v>
      </c>
      <c r="T9" s="623">
        <v>30</v>
      </c>
      <c r="U9" s="92">
        <v>30</v>
      </c>
      <c r="V9" s="623"/>
      <c r="W9" s="623">
        <v>30</v>
      </c>
      <c r="X9" s="92"/>
      <c r="Y9" s="623"/>
      <c r="Z9" s="623"/>
      <c r="AA9" s="92"/>
      <c r="AB9" s="623"/>
      <c r="AC9" s="623"/>
      <c r="AD9" s="92"/>
      <c r="AE9" s="623"/>
      <c r="AF9" s="623"/>
      <c r="AG9" s="92"/>
      <c r="AH9" s="623"/>
      <c r="AI9" s="623"/>
      <c r="AJ9" s="92"/>
      <c r="AK9" s="623"/>
      <c r="AL9" s="623"/>
      <c r="AM9" s="201">
        <f t="shared" ref="AM9:AM32" si="0">SUM(C9:AL9)</f>
        <v>330</v>
      </c>
      <c r="AN9" s="93">
        <v>80</v>
      </c>
      <c r="AO9" s="721"/>
      <c r="AP9" s="721">
        <v>800</v>
      </c>
      <c r="AQ9" s="722">
        <f t="shared" ref="AQ9:AQ19" si="1">+SUM(AO9:AP9)</f>
        <v>800</v>
      </c>
    </row>
    <row r="10" spans="2:62" ht="20.100000000000001" customHeight="1" x14ac:dyDescent="0.15">
      <c r="B10" s="132" t="s">
        <v>377</v>
      </c>
      <c r="C10" s="92"/>
      <c r="D10" s="623"/>
      <c r="E10" s="623"/>
      <c r="F10" s="92"/>
      <c r="G10" s="623"/>
      <c r="H10" s="623"/>
      <c r="I10" s="114"/>
      <c r="J10" s="717">
        <v>15</v>
      </c>
      <c r="K10" s="717"/>
      <c r="L10" s="114"/>
      <c r="M10" s="717"/>
      <c r="N10" s="717"/>
      <c r="O10" s="114"/>
      <c r="P10" s="717"/>
      <c r="Q10" s="717"/>
      <c r="R10" s="114"/>
      <c r="S10" s="717"/>
      <c r="T10" s="717"/>
      <c r="U10" s="114"/>
      <c r="V10" s="717"/>
      <c r="W10" s="717"/>
      <c r="X10" s="114"/>
      <c r="Y10" s="717"/>
      <c r="Z10" s="717"/>
      <c r="AA10" s="114"/>
      <c r="AB10" s="623"/>
      <c r="AC10" s="623"/>
      <c r="AD10" s="92">
        <v>15</v>
      </c>
      <c r="AE10" s="623"/>
      <c r="AF10" s="623"/>
      <c r="AG10" s="92">
        <v>15</v>
      </c>
      <c r="AH10" s="623"/>
      <c r="AI10" s="623"/>
      <c r="AJ10" s="92"/>
      <c r="AK10" s="623"/>
      <c r="AL10" s="623"/>
      <c r="AM10" s="201">
        <f t="shared" si="0"/>
        <v>45</v>
      </c>
      <c r="AN10" s="93">
        <v>9</v>
      </c>
      <c r="AO10" s="721"/>
      <c r="AP10" s="721">
        <v>30</v>
      </c>
      <c r="AQ10" s="722">
        <f t="shared" si="1"/>
        <v>30</v>
      </c>
    </row>
    <row r="11" spans="2:62" ht="20.100000000000001" customHeight="1" x14ac:dyDescent="0.15">
      <c r="B11" s="132" t="s">
        <v>378</v>
      </c>
      <c r="C11" s="92"/>
      <c r="D11" s="623"/>
      <c r="E11" s="623"/>
      <c r="F11" s="92"/>
      <c r="G11" s="623"/>
      <c r="H11" s="623"/>
      <c r="I11" s="114">
        <v>20</v>
      </c>
      <c r="J11" s="717">
        <v>20</v>
      </c>
      <c r="K11" s="717"/>
      <c r="L11" s="114">
        <v>5</v>
      </c>
      <c r="M11" s="717"/>
      <c r="N11" s="717">
        <v>5</v>
      </c>
      <c r="O11" s="114">
        <v>5</v>
      </c>
      <c r="P11" s="717">
        <v>5</v>
      </c>
      <c r="Q11" s="717">
        <v>5</v>
      </c>
      <c r="R11" s="114"/>
      <c r="S11" s="717">
        <v>5</v>
      </c>
      <c r="T11" s="717"/>
      <c r="U11" s="114">
        <v>5</v>
      </c>
      <c r="V11" s="717">
        <v>5</v>
      </c>
      <c r="W11" s="717">
        <v>5</v>
      </c>
      <c r="X11" s="114"/>
      <c r="Y11" s="717"/>
      <c r="Z11" s="717"/>
      <c r="AA11" s="114"/>
      <c r="AB11" s="623"/>
      <c r="AC11" s="623"/>
      <c r="AD11" s="92"/>
      <c r="AE11" s="623">
        <v>5</v>
      </c>
      <c r="AF11" s="623"/>
      <c r="AG11" s="92"/>
      <c r="AH11" s="623"/>
      <c r="AI11" s="623"/>
      <c r="AJ11" s="92"/>
      <c r="AK11" s="623"/>
      <c r="AL11" s="623"/>
      <c r="AM11" s="201">
        <f t="shared" si="0"/>
        <v>90</v>
      </c>
      <c r="AN11" s="93">
        <v>16.5</v>
      </c>
      <c r="AO11" s="721">
        <v>90</v>
      </c>
      <c r="AP11" s="721">
        <v>60</v>
      </c>
      <c r="AQ11" s="722">
        <f t="shared" si="1"/>
        <v>150</v>
      </c>
    </row>
    <row r="12" spans="2:62" ht="20.100000000000001" customHeight="1" x14ac:dyDescent="0.15">
      <c r="B12" s="132" t="s">
        <v>379</v>
      </c>
      <c r="C12" s="92"/>
      <c r="D12" s="623"/>
      <c r="E12" s="623"/>
      <c r="F12" s="92"/>
      <c r="G12" s="623"/>
      <c r="H12" s="623"/>
      <c r="I12" s="92"/>
      <c r="J12" s="623"/>
      <c r="K12" s="623"/>
      <c r="L12" s="92"/>
      <c r="M12" s="623"/>
      <c r="N12" s="623"/>
      <c r="O12" s="92"/>
      <c r="P12" s="623"/>
      <c r="Q12" s="623"/>
      <c r="R12" s="92">
        <v>120</v>
      </c>
      <c r="S12" s="623">
        <v>120</v>
      </c>
      <c r="T12" s="623">
        <v>120</v>
      </c>
      <c r="U12" s="92">
        <v>300</v>
      </c>
      <c r="V12" s="623">
        <v>300</v>
      </c>
      <c r="W12" s="623">
        <v>60</v>
      </c>
      <c r="X12" s="92"/>
      <c r="Y12" s="623"/>
      <c r="Z12" s="623"/>
      <c r="AA12" s="92"/>
      <c r="AB12" s="623"/>
      <c r="AC12" s="623"/>
      <c r="AD12" s="92"/>
      <c r="AE12" s="623"/>
      <c r="AF12" s="623"/>
      <c r="AG12" s="92"/>
      <c r="AH12" s="623"/>
      <c r="AI12" s="623"/>
      <c r="AJ12" s="92"/>
      <c r="AK12" s="623"/>
      <c r="AL12" s="623"/>
      <c r="AM12" s="201">
        <f t="shared" si="0"/>
        <v>1020</v>
      </c>
      <c r="AN12" s="93">
        <v>135</v>
      </c>
      <c r="AO12" s="721"/>
      <c r="AP12" s="721">
        <v>1350</v>
      </c>
      <c r="AQ12" s="722">
        <f t="shared" si="1"/>
        <v>1350</v>
      </c>
    </row>
    <row r="13" spans="2:62" ht="20.100000000000001" customHeight="1" x14ac:dyDescent="0.15">
      <c r="B13" s="132" t="s">
        <v>380</v>
      </c>
      <c r="C13" s="92"/>
      <c r="D13" s="623"/>
      <c r="E13" s="623"/>
      <c r="F13" s="92"/>
      <c r="G13" s="623"/>
      <c r="H13" s="623"/>
      <c r="I13" s="92"/>
      <c r="J13" s="623"/>
      <c r="K13" s="623"/>
      <c r="L13" s="92"/>
      <c r="M13" s="623"/>
      <c r="N13" s="623"/>
      <c r="O13" s="92"/>
      <c r="P13" s="623"/>
      <c r="Q13" s="623"/>
      <c r="R13" s="92"/>
      <c r="S13" s="623"/>
      <c r="T13" s="623"/>
      <c r="U13" s="92"/>
      <c r="V13" s="623"/>
      <c r="W13" s="623">
        <v>80</v>
      </c>
      <c r="X13" s="92"/>
      <c r="Y13" s="623"/>
      <c r="Z13" s="623"/>
      <c r="AA13" s="92"/>
      <c r="AB13" s="623"/>
      <c r="AC13" s="623"/>
      <c r="AD13" s="92"/>
      <c r="AE13" s="623"/>
      <c r="AF13" s="623"/>
      <c r="AG13" s="92"/>
      <c r="AH13" s="623"/>
      <c r="AI13" s="623"/>
      <c r="AJ13" s="92"/>
      <c r="AK13" s="623"/>
      <c r="AL13" s="623"/>
      <c r="AM13" s="201">
        <f t="shared" si="0"/>
        <v>80</v>
      </c>
      <c r="AN13" s="93">
        <v>22</v>
      </c>
      <c r="AO13" s="721"/>
      <c r="AP13" s="721">
        <v>220</v>
      </c>
      <c r="AQ13" s="722">
        <f t="shared" si="1"/>
        <v>220</v>
      </c>
    </row>
    <row r="14" spans="2:62" ht="20.100000000000001" customHeight="1" x14ac:dyDescent="0.15">
      <c r="B14" s="132" t="s">
        <v>381</v>
      </c>
      <c r="C14" s="92"/>
      <c r="D14" s="623"/>
      <c r="E14" s="623"/>
      <c r="F14" s="92"/>
      <c r="G14" s="623"/>
      <c r="H14" s="623"/>
      <c r="I14" s="92"/>
      <c r="J14" s="623"/>
      <c r="K14" s="623"/>
      <c r="L14" s="92"/>
      <c r="M14" s="623">
        <v>10</v>
      </c>
      <c r="N14" s="623"/>
      <c r="O14" s="92"/>
      <c r="P14" s="623">
        <v>10</v>
      </c>
      <c r="Q14" s="623"/>
      <c r="R14" s="92"/>
      <c r="S14" s="623">
        <v>10</v>
      </c>
      <c r="T14" s="623"/>
      <c r="U14" s="92"/>
      <c r="V14" s="623">
        <v>10</v>
      </c>
      <c r="W14" s="623"/>
      <c r="X14" s="92"/>
      <c r="Y14" s="623"/>
      <c r="Z14" s="623">
        <v>10</v>
      </c>
      <c r="AA14" s="92"/>
      <c r="AB14" s="623"/>
      <c r="AC14" s="623"/>
      <c r="AD14" s="92"/>
      <c r="AE14" s="623"/>
      <c r="AF14" s="623"/>
      <c r="AG14" s="92"/>
      <c r="AH14" s="623"/>
      <c r="AI14" s="623"/>
      <c r="AJ14" s="92"/>
      <c r="AK14" s="623"/>
      <c r="AL14" s="623"/>
      <c r="AM14" s="201">
        <f t="shared" si="0"/>
        <v>50</v>
      </c>
      <c r="AN14" s="93">
        <v>5</v>
      </c>
      <c r="AO14" s="721"/>
      <c r="AP14" s="721">
        <v>60</v>
      </c>
      <c r="AQ14" s="722">
        <f t="shared" si="1"/>
        <v>60</v>
      </c>
    </row>
    <row r="15" spans="2:62" ht="20.100000000000001" customHeight="1" x14ac:dyDescent="0.15">
      <c r="B15" s="132" t="s">
        <v>382</v>
      </c>
      <c r="C15" s="92"/>
      <c r="D15" s="623"/>
      <c r="E15" s="623"/>
      <c r="F15" s="92"/>
      <c r="G15" s="623"/>
      <c r="H15" s="623"/>
      <c r="I15" s="92"/>
      <c r="J15" s="623"/>
      <c r="K15" s="623">
        <v>2</v>
      </c>
      <c r="L15" s="92">
        <v>2</v>
      </c>
      <c r="M15" s="623">
        <v>2</v>
      </c>
      <c r="N15" s="623">
        <v>2</v>
      </c>
      <c r="O15" s="92">
        <v>2</v>
      </c>
      <c r="P15" s="623">
        <v>2</v>
      </c>
      <c r="Q15" s="623">
        <v>2</v>
      </c>
      <c r="R15" s="92">
        <v>2</v>
      </c>
      <c r="S15" s="623">
        <v>2</v>
      </c>
      <c r="T15" s="623">
        <v>2</v>
      </c>
      <c r="U15" s="92">
        <v>2</v>
      </c>
      <c r="V15" s="623">
        <v>2</v>
      </c>
      <c r="W15" s="623">
        <v>2</v>
      </c>
      <c r="X15" s="92">
        <v>2</v>
      </c>
      <c r="Y15" s="623">
        <v>2</v>
      </c>
      <c r="Z15" s="623">
        <v>2</v>
      </c>
      <c r="AA15" s="92">
        <v>2</v>
      </c>
      <c r="AB15" s="623">
        <v>2</v>
      </c>
      <c r="AC15" s="623">
        <v>2</v>
      </c>
      <c r="AD15" s="92">
        <v>2</v>
      </c>
      <c r="AE15" s="623">
        <v>2</v>
      </c>
      <c r="AF15" s="623">
        <v>2</v>
      </c>
      <c r="AG15" s="92"/>
      <c r="AH15" s="623"/>
      <c r="AI15" s="623"/>
      <c r="AJ15" s="92"/>
      <c r="AK15" s="623"/>
      <c r="AL15" s="623"/>
      <c r="AM15" s="201">
        <f t="shared" si="0"/>
        <v>44</v>
      </c>
      <c r="AN15" s="93">
        <v>4.4000000000000012</v>
      </c>
      <c r="AO15" s="721"/>
      <c r="AP15" s="721">
        <v>44</v>
      </c>
      <c r="AQ15" s="722">
        <f t="shared" si="1"/>
        <v>44</v>
      </c>
    </row>
    <row r="16" spans="2:62" ht="20.100000000000001" customHeight="1" x14ac:dyDescent="0.15">
      <c r="B16" s="132" t="s">
        <v>383</v>
      </c>
      <c r="C16" s="92"/>
      <c r="D16" s="623"/>
      <c r="E16" s="623"/>
      <c r="F16" s="92"/>
      <c r="G16" s="623"/>
      <c r="H16" s="623"/>
      <c r="I16" s="92"/>
      <c r="J16" s="623"/>
      <c r="K16" s="623"/>
      <c r="L16" s="92"/>
      <c r="M16" s="623"/>
      <c r="N16" s="623"/>
      <c r="O16" s="92"/>
      <c r="P16" s="623"/>
      <c r="Q16" s="623"/>
      <c r="R16" s="92"/>
      <c r="S16" s="623"/>
      <c r="T16" s="623"/>
      <c r="U16" s="92"/>
      <c r="V16" s="623"/>
      <c r="W16" s="623"/>
      <c r="X16" s="92"/>
      <c r="Y16" s="623"/>
      <c r="Z16" s="623"/>
      <c r="AA16" s="92"/>
      <c r="AB16" s="623">
        <v>300</v>
      </c>
      <c r="AC16" s="623">
        <v>450</v>
      </c>
      <c r="AD16" s="92">
        <v>450</v>
      </c>
      <c r="AE16" s="623"/>
      <c r="AF16" s="623"/>
      <c r="AG16" s="92"/>
      <c r="AH16" s="623"/>
      <c r="AI16" s="623"/>
      <c r="AJ16" s="92"/>
      <c r="AK16" s="623"/>
      <c r="AL16" s="623"/>
      <c r="AM16" s="201">
        <f t="shared" si="0"/>
        <v>1200</v>
      </c>
      <c r="AN16" s="93">
        <v>180</v>
      </c>
      <c r="AO16" s="721"/>
      <c r="AP16" s="721">
        <v>1800</v>
      </c>
      <c r="AQ16" s="722">
        <f t="shared" si="1"/>
        <v>1800</v>
      </c>
    </row>
    <row r="17" spans="2:43" ht="20.100000000000001" customHeight="1" x14ac:dyDescent="0.15">
      <c r="B17" s="132" t="s">
        <v>384</v>
      </c>
      <c r="C17" s="92"/>
      <c r="D17" s="623"/>
      <c r="E17" s="623"/>
      <c r="F17" s="92"/>
      <c r="G17" s="623"/>
      <c r="H17" s="623"/>
      <c r="I17" s="92"/>
      <c r="J17" s="623"/>
      <c r="K17" s="623"/>
      <c r="L17" s="92"/>
      <c r="M17" s="623"/>
      <c r="N17" s="623"/>
      <c r="O17" s="92"/>
      <c r="P17" s="623"/>
      <c r="Q17" s="623"/>
      <c r="R17" s="92"/>
      <c r="S17" s="623"/>
      <c r="T17" s="623"/>
      <c r="U17" s="92"/>
      <c r="V17" s="623"/>
      <c r="W17" s="623"/>
      <c r="X17" s="92"/>
      <c r="Y17" s="623"/>
      <c r="Z17" s="623"/>
      <c r="AA17" s="92"/>
      <c r="AB17" s="623"/>
      <c r="AC17" s="623"/>
      <c r="AD17" s="92"/>
      <c r="AE17" s="623"/>
      <c r="AF17" s="623">
        <v>20</v>
      </c>
      <c r="AG17" s="92">
        <v>40</v>
      </c>
      <c r="AH17" s="623">
        <v>40</v>
      </c>
      <c r="AI17" s="623">
        <v>40</v>
      </c>
      <c r="AJ17" s="92"/>
      <c r="AK17" s="623"/>
      <c r="AL17" s="623"/>
      <c r="AM17" s="201">
        <f t="shared" si="0"/>
        <v>140</v>
      </c>
      <c r="AN17" s="93">
        <v>6</v>
      </c>
      <c r="AO17" s="721"/>
      <c r="AP17" s="721">
        <v>90</v>
      </c>
      <c r="AQ17" s="722">
        <f t="shared" si="1"/>
        <v>90</v>
      </c>
    </row>
    <row r="18" spans="2:43" ht="20.100000000000001" customHeight="1" x14ac:dyDescent="0.15">
      <c r="B18" s="132" t="s">
        <v>385</v>
      </c>
      <c r="C18" s="92"/>
      <c r="D18" s="623"/>
      <c r="E18" s="623"/>
      <c r="F18" s="92"/>
      <c r="G18" s="623"/>
      <c r="H18" s="623"/>
      <c r="I18" s="92"/>
      <c r="J18" s="623"/>
      <c r="K18" s="623">
        <v>160</v>
      </c>
      <c r="L18" s="92">
        <v>160</v>
      </c>
      <c r="M18" s="623"/>
      <c r="N18" s="623"/>
      <c r="O18" s="92"/>
      <c r="P18" s="623"/>
      <c r="Q18" s="623"/>
      <c r="R18" s="92"/>
      <c r="S18" s="623"/>
      <c r="T18" s="623"/>
      <c r="U18" s="92"/>
      <c r="V18" s="623"/>
      <c r="W18" s="623">
        <v>40</v>
      </c>
      <c r="X18" s="92">
        <v>40</v>
      </c>
      <c r="Y18" s="623"/>
      <c r="Z18" s="623"/>
      <c r="AA18" s="92"/>
      <c r="AB18" s="623"/>
      <c r="AC18" s="623"/>
      <c r="AD18" s="92"/>
      <c r="AE18" s="623"/>
      <c r="AF18" s="623"/>
      <c r="AG18" s="92"/>
      <c r="AH18" s="623"/>
      <c r="AI18" s="623"/>
      <c r="AJ18" s="92"/>
      <c r="AK18" s="623"/>
      <c r="AL18" s="623"/>
      <c r="AM18" s="201">
        <f t="shared" si="0"/>
        <v>400</v>
      </c>
      <c r="AN18" s="93">
        <v>20</v>
      </c>
      <c r="AO18" s="721"/>
      <c r="AP18" s="721">
        <v>300</v>
      </c>
      <c r="AQ18" s="723">
        <f t="shared" si="1"/>
        <v>300</v>
      </c>
    </row>
    <row r="19" spans="2:43" ht="20.100000000000001" customHeight="1" x14ac:dyDescent="0.15">
      <c r="B19" s="132" t="s">
        <v>386</v>
      </c>
      <c r="C19" s="92"/>
      <c r="D19" s="623"/>
      <c r="E19" s="623">
        <v>40</v>
      </c>
      <c r="F19" s="92"/>
      <c r="G19" s="623"/>
      <c r="H19" s="623">
        <v>40</v>
      </c>
      <c r="I19" s="92"/>
      <c r="J19" s="623"/>
      <c r="K19" s="623"/>
      <c r="L19" s="92"/>
      <c r="M19" s="623"/>
      <c r="N19" s="623"/>
      <c r="O19" s="92"/>
      <c r="P19" s="623"/>
      <c r="Q19" s="623"/>
      <c r="R19" s="92"/>
      <c r="S19" s="623"/>
      <c r="T19" s="623"/>
      <c r="U19" s="92"/>
      <c r="V19" s="623"/>
      <c r="W19" s="623"/>
      <c r="X19" s="92"/>
      <c r="Y19" s="623"/>
      <c r="Z19" s="623">
        <v>20</v>
      </c>
      <c r="AA19" s="92"/>
      <c r="AB19" s="623"/>
      <c r="AC19" s="623"/>
      <c r="AD19" s="92"/>
      <c r="AE19" s="623"/>
      <c r="AF19" s="623"/>
      <c r="AG19" s="92"/>
      <c r="AH19" s="623"/>
      <c r="AI19" s="623"/>
      <c r="AJ19" s="92">
        <v>40</v>
      </c>
      <c r="AK19" s="623"/>
      <c r="AL19" s="623"/>
      <c r="AM19" s="201">
        <f t="shared" si="0"/>
        <v>140</v>
      </c>
      <c r="AN19" s="93">
        <v>10</v>
      </c>
      <c r="AO19" s="721"/>
      <c r="AP19" s="721">
        <v>40</v>
      </c>
      <c r="AQ19" s="722">
        <f t="shared" si="1"/>
        <v>40</v>
      </c>
    </row>
    <row r="20" spans="2:43" ht="20.100000000000001" customHeight="1" x14ac:dyDescent="0.15">
      <c r="B20" s="132"/>
      <c r="C20" s="92"/>
      <c r="D20" s="623"/>
      <c r="E20" s="623"/>
      <c r="F20" s="92"/>
      <c r="G20" s="623"/>
      <c r="H20" s="623"/>
      <c r="I20" s="92"/>
      <c r="J20" s="623"/>
      <c r="K20" s="623"/>
      <c r="L20" s="92"/>
      <c r="M20" s="623"/>
      <c r="N20" s="623"/>
      <c r="O20" s="92"/>
      <c r="P20" s="623"/>
      <c r="Q20" s="623"/>
      <c r="R20" s="92"/>
      <c r="S20" s="623"/>
      <c r="T20" s="623"/>
      <c r="U20" s="92"/>
      <c r="V20" s="623"/>
      <c r="W20" s="623"/>
      <c r="X20" s="92"/>
      <c r="Y20" s="623"/>
      <c r="Z20" s="623"/>
      <c r="AA20" s="92"/>
      <c r="AB20" s="623"/>
      <c r="AC20" s="623"/>
      <c r="AD20" s="92"/>
      <c r="AE20" s="623"/>
      <c r="AF20" s="623"/>
      <c r="AG20" s="92"/>
      <c r="AH20" s="623"/>
      <c r="AI20" s="623"/>
      <c r="AJ20" s="92"/>
      <c r="AK20" s="623"/>
      <c r="AL20" s="623"/>
      <c r="AM20" s="201">
        <f t="shared" si="0"/>
        <v>0</v>
      </c>
      <c r="AO20" s="721"/>
      <c r="AP20" s="721"/>
      <c r="AQ20" s="722">
        <f t="shared" ref="AQ20:AQ33" si="2">SUM(AO20:AP20)</f>
        <v>0</v>
      </c>
    </row>
    <row r="21" spans="2:43" ht="20.100000000000001" customHeight="1" x14ac:dyDescent="0.15">
      <c r="B21" s="132"/>
      <c r="C21" s="92"/>
      <c r="D21" s="623"/>
      <c r="E21" s="623"/>
      <c r="F21" s="92"/>
      <c r="G21" s="623"/>
      <c r="H21" s="623"/>
      <c r="I21" s="92"/>
      <c r="J21" s="623"/>
      <c r="K21" s="623"/>
      <c r="L21" s="92"/>
      <c r="M21" s="623"/>
      <c r="N21" s="623"/>
      <c r="O21" s="92"/>
      <c r="P21" s="623"/>
      <c r="Q21" s="623"/>
      <c r="R21" s="92"/>
      <c r="S21" s="623"/>
      <c r="T21" s="623"/>
      <c r="U21" s="92"/>
      <c r="V21" s="623"/>
      <c r="W21" s="623"/>
      <c r="X21" s="92"/>
      <c r="Y21" s="623"/>
      <c r="Z21" s="623"/>
      <c r="AA21" s="92"/>
      <c r="AB21" s="623"/>
      <c r="AC21" s="623"/>
      <c r="AD21" s="92"/>
      <c r="AE21" s="623"/>
      <c r="AF21" s="623"/>
      <c r="AG21" s="92"/>
      <c r="AH21" s="623"/>
      <c r="AI21" s="623"/>
      <c r="AJ21" s="92"/>
      <c r="AK21" s="623"/>
      <c r="AL21" s="623"/>
      <c r="AM21" s="201">
        <f t="shared" si="0"/>
        <v>0</v>
      </c>
      <c r="AO21" s="722"/>
      <c r="AP21" s="722"/>
      <c r="AQ21" s="722">
        <f t="shared" si="2"/>
        <v>0</v>
      </c>
    </row>
    <row r="22" spans="2:43" ht="20.100000000000001" customHeight="1" x14ac:dyDescent="0.15">
      <c r="B22" s="132"/>
      <c r="C22" s="92"/>
      <c r="D22" s="623"/>
      <c r="E22" s="623"/>
      <c r="F22" s="92"/>
      <c r="G22" s="623"/>
      <c r="H22" s="623"/>
      <c r="I22" s="92"/>
      <c r="J22" s="623"/>
      <c r="K22" s="623"/>
      <c r="L22" s="92"/>
      <c r="M22" s="623"/>
      <c r="N22" s="623"/>
      <c r="O22" s="92"/>
      <c r="P22" s="623"/>
      <c r="Q22" s="623"/>
      <c r="R22" s="92"/>
      <c r="S22" s="623"/>
      <c r="T22" s="623"/>
      <c r="U22" s="92"/>
      <c r="V22" s="623"/>
      <c r="W22" s="623"/>
      <c r="X22" s="92"/>
      <c r="Y22" s="623"/>
      <c r="Z22" s="623"/>
      <c r="AA22" s="92"/>
      <c r="AB22" s="623"/>
      <c r="AC22" s="623"/>
      <c r="AD22" s="92"/>
      <c r="AE22" s="623"/>
      <c r="AF22" s="623"/>
      <c r="AG22" s="92"/>
      <c r="AH22" s="623"/>
      <c r="AI22" s="623"/>
      <c r="AJ22" s="92"/>
      <c r="AK22" s="623"/>
      <c r="AL22" s="623"/>
      <c r="AM22" s="201">
        <f t="shared" si="0"/>
        <v>0</v>
      </c>
      <c r="AO22" s="722"/>
      <c r="AP22" s="722"/>
      <c r="AQ22" s="722">
        <f t="shared" si="2"/>
        <v>0</v>
      </c>
    </row>
    <row r="23" spans="2:43" ht="20.100000000000001" customHeight="1" x14ac:dyDescent="0.15">
      <c r="B23" s="132"/>
      <c r="C23" s="92"/>
      <c r="D23" s="623"/>
      <c r="E23" s="623"/>
      <c r="F23" s="92"/>
      <c r="G23" s="623"/>
      <c r="H23" s="623"/>
      <c r="I23" s="92"/>
      <c r="J23" s="623"/>
      <c r="K23" s="623"/>
      <c r="L23" s="92"/>
      <c r="M23" s="623"/>
      <c r="N23" s="623"/>
      <c r="O23" s="92"/>
      <c r="P23" s="623"/>
      <c r="Q23" s="623"/>
      <c r="R23" s="92"/>
      <c r="S23" s="623"/>
      <c r="T23" s="623"/>
      <c r="U23" s="92"/>
      <c r="V23" s="623"/>
      <c r="W23" s="623"/>
      <c r="X23" s="92"/>
      <c r="Y23" s="623"/>
      <c r="Z23" s="623"/>
      <c r="AA23" s="92"/>
      <c r="AB23" s="623"/>
      <c r="AC23" s="623"/>
      <c r="AD23" s="92"/>
      <c r="AE23" s="623"/>
      <c r="AF23" s="623"/>
      <c r="AG23" s="92"/>
      <c r="AH23" s="623"/>
      <c r="AI23" s="623"/>
      <c r="AJ23" s="92"/>
      <c r="AK23" s="623"/>
      <c r="AL23" s="623"/>
      <c r="AM23" s="201">
        <f t="shared" si="0"/>
        <v>0</v>
      </c>
      <c r="AO23" s="722"/>
      <c r="AP23" s="722"/>
      <c r="AQ23" s="722">
        <f t="shared" si="2"/>
        <v>0</v>
      </c>
    </row>
    <row r="24" spans="2:43" ht="20.100000000000001" customHeight="1" x14ac:dyDescent="0.15">
      <c r="B24" s="132"/>
      <c r="C24" s="92"/>
      <c r="D24" s="623"/>
      <c r="E24" s="623"/>
      <c r="F24" s="92"/>
      <c r="G24" s="623"/>
      <c r="H24" s="623"/>
      <c r="I24" s="92"/>
      <c r="J24" s="623"/>
      <c r="K24" s="623"/>
      <c r="L24" s="92"/>
      <c r="M24" s="623"/>
      <c r="N24" s="623"/>
      <c r="O24" s="92"/>
      <c r="P24" s="623"/>
      <c r="Q24" s="623"/>
      <c r="R24" s="92"/>
      <c r="S24" s="623"/>
      <c r="T24" s="623"/>
      <c r="U24" s="92"/>
      <c r="V24" s="623"/>
      <c r="W24" s="623"/>
      <c r="X24" s="92"/>
      <c r="Y24" s="623"/>
      <c r="Z24" s="623"/>
      <c r="AA24" s="92"/>
      <c r="AB24" s="623"/>
      <c r="AC24" s="623"/>
      <c r="AD24" s="92"/>
      <c r="AE24" s="623"/>
      <c r="AF24" s="623"/>
      <c r="AG24" s="92"/>
      <c r="AH24" s="623"/>
      <c r="AI24" s="623"/>
      <c r="AJ24" s="92"/>
      <c r="AK24" s="623"/>
      <c r="AL24" s="623"/>
      <c r="AM24" s="201">
        <f t="shared" si="0"/>
        <v>0</v>
      </c>
      <c r="AO24" s="722"/>
      <c r="AP24" s="722"/>
      <c r="AQ24" s="722">
        <f t="shared" si="2"/>
        <v>0</v>
      </c>
    </row>
    <row r="25" spans="2:43" ht="20.100000000000001" customHeight="1" x14ac:dyDescent="0.15">
      <c r="B25" s="132"/>
      <c r="C25" s="92"/>
      <c r="D25" s="623"/>
      <c r="E25" s="623"/>
      <c r="F25" s="92"/>
      <c r="G25" s="623"/>
      <c r="H25" s="623"/>
      <c r="I25" s="92"/>
      <c r="J25" s="623"/>
      <c r="K25" s="623"/>
      <c r="L25" s="92"/>
      <c r="M25" s="623"/>
      <c r="N25" s="623"/>
      <c r="O25" s="92"/>
      <c r="P25" s="623"/>
      <c r="Q25" s="623"/>
      <c r="R25" s="92"/>
      <c r="S25" s="623"/>
      <c r="T25" s="623"/>
      <c r="U25" s="92"/>
      <c r="V25" s="623"/>
      <c r="W25" s="623"/>
      <c r="X25" s="92"/>
      <c r="Y25" s="623"/>
      <c r="Z25" s="623"/>
      <c r="AA25" s="92"/>
      <c r="AB25" s="623"/>
      <c r="AC25" s="623"/>
      <c r="AD25" s="92"/>
      <c r="AE25" s="623"/>
      <c r="AF25" s="623"/>
      <c r="AG25" s="92"/>
      <c r="AH25" s="623"/>
      <c r="AI25" s="623"/>
      <c r="AJ25" s="92"/>
      <c r="AK25" s="623"/>
      <c r="AL25" s="623"/>
      <c r="AM25" s="201">
        <f t="shared" si="0"/>
        <v>0</v>
      </c>
      <c r="AO25" s="722"/>
      <c r="AP25" s="722"/>
      <c r="AQ25" s="722">
        <f t="shared" si="2"/>
        <v>0</v>
      </c>
    </row>
    <row r="26" spans="2:43" ht="20.100000000000001" customHeight="1" x14ac:dyDescent="0.15">
      <c r="B26" s="132"/>
      <c r="C26" s="92"/>
      <c r="D26" s="623"/>
      <c r="E26" s="623"/>
      <c r="F26" s="92"/>
      <c r="G26" s="623"/>
      <c r="H26" s="623"/>
      <c r="I26" s="92"/>
      <c r="J26" s="623"/>
      <c r="K26" s="623"/>
      <c r="L26" s="92"/>
      <c r="M26" s="623"/>
      <c r="N26" s="623"/>
      <c r="O26" s="92"/>
      <c r="P26" s="623"/>
      <c r="Q26" s="623"/>
      <c r="R26" s="92"/>
      <c r="S26" s="623"/>
      <c r="T26" s="623"/>
      <c r="U26" s="92"/>
      <c r="V26" s="623"/>
      <c r="W26" s="623"/>
      <c r="X26" s="92"/>
      <c r="Y26" s="623"/>
      <c r="Z26" s="623"/>
      <c r="AA26" s="92"/>
      <c r="AB26" s="623"/>
      <c r="AC26" s="623"/>
      <c r="AD26" s="92"/>
      <c r="AE26" s="623"/>
      <c r="AF26" s="623"/>
      <c r="AG26" s="92"/>
      <c r="AH26" s="623"/>
      <c r="AI26" s="623"/>
      <c r="AJ26" s="92"/>
      <c r="AK26" s="623"/>
      <c r="AL26" s="623"/>
      <c r="AM26" s="201">
        <f t="shared" si="0"/>
        <v>0</v>
      </c>
      <c r="AO26" s="722"/>
      <c r="AP26" s="722"/>
      <c r="AQ26" s="722">
        <f t="shared" si="2"/>
        <v>0</v>
      </c>
    </row>
    <row r="27" spans="2:43" ht="20.100000000000001" customHeight="1" x14ac:dyDescent="0.15">
      <c r="B27" s="132"/>
      <c r="C27" s="92"/>
      <c r="D27" s="623"/>
      <c r="E27" s="623"/>
      <c r="F27" s="92"/>
      <c r="G27" s="623"/>
      <c r="H27" s="623"/>
      <c r="I27" s="92"/>
      <c r="J27" s="623"/>
      <c r="K27" s="623"/>
      <c r="L27" s="92"/>
      <c r="M27" s="623"/>
      <c r="N27" s="623"/>
      <c r="O27" s="92"/>
      <c r="P27" s="623"/>
      <c r="Q27" s="623"/>
      <c r="R27" s="92"/>
      <c r="S27" s="623"/>
      <c r="T27" s="623"/>
      <c r="U27" s="92"/>
      <c r="V27" s="623"/>
      <c r="W27" s="623"/>
      <c r="X27" s="92"/>
      <c r="Y27" s="623"/>
      <c r="Z27" s="623"/>
      <c r="AA27" s="92"/>
      <c r="AB27" s="623"/>
      <c r="AC27" s="623"/>
      <c r="AD27" s="92"/>
      <c r="AE27" s="623"/>
      <c r="AF27" s="623"/>
      <c r="AG27" s="92"/>
      <c r="AH27" s="623"/>
      <c r="AI27" s="623"/>
      <c r="AJ27" s="92"/>
      <c r="AK27" s="623"/>
      <c r="AL27" s="623"/>
      <c r="AM27" s="201">
        <f t="shared" si="0"/>
        <v>0</v>
      </c>
      <c r="AO27" s="722"/>
      <c r="AP27" s="722"/>
      <c r="AQ27" s="722">
        <f t="shared" si="2"/>
        <v>0</v>
      </c>
    </row>
    <row r="28" spans="2:43" ht="20.100000000000001" customHeight="1" x14ac:dyDescent="0.15">
      <c r="B28" s="132"/>
      <c r="C28" s="92"/>
      <c r="D28" s="623"/>
      <c r="E28" s="623"/>
      <c r="F28" s="92"/>
      <c r="G28" s="623"/>
      <c r="H28" s="623"/>
      <c r="I28" s="92"/>
      <c r="J28" s="623"/>
      <c r="K28" s="623"/>
      <c r="L28" s="92"/>
      <c r="M28" s="623"/>
      <c r="N28" s="623"/>
      <c r="O28" s="92"/>
      <c r="P28" s="623"/>
      <c r="Q28" s="623"/>
      <c r="R28" s="92"/>
      <c r="S28" s="623"/>
      <c r="T28" s="623"/>
      <c r="U28" s="92"/>
      <c r="V28" s="623"/>
      <c r="W28" s="623"/>
      <c r="X28" s="92"/>
      <c r="Y28" s="623"/>
      <c r="Z28" s="623"/>
      <c r="AA28" s="92"/>
      <c r="AB28" s="623"/>
      <c r="AC28" s="623"/>
      <c r="AD28" s="92"/>
      <c r="AE28" s="623"/>
      <c r="AF28" s="623"/>
      <c r="AG28" s="92"/>
      <c r="AH28" s="623"/>
      <c r="AI28" s="623"/>
      <c r="AJ28" s="92"/>
      <c r="AK28" s="623"/>
      <c r="AL28" s="623"/>
      <c r="AM28" s="201">
        <f t="shared" si="0"/>
        <v>0</v>
      </c>
      <c r="AO28" s="722"/>
      <c r="AP28" s="722"/>
      <c r="AQ28" s="722">
        <f t="shared" si="2"/>
        <v>0</v>
      </c>
    </row>
    <row r="29" spans="2:43" ht="20.100000000000001" customHeight="1" x14ac:dyDescent="0.15">
      <c r="B29" s="132"/>
      <c r="C29" s="92"/>
      <c r="D29" s="623"/>
      <c r="E29" s="623"/>
      <c r="F29" s="92"/>
      <c r="G29" s="623"/>
      <c r="H29" s="623"/>
      <c r="I29" s="92"/>
      <c r="J29" s="623"/>
      <c r="K29" s="623"/>
      <c r="L29" s="92"/>
      <c r="M29" s="623"/>
      <c r="N29" s="623"/>
      <c r="O29" s="92"/>
      <c r="P29" s="623"/>
      <c r="Q29" s="623"/>
      <c r="R29" s="92"/>
      <c r="S29" s="623"/>
      <c r="T29" s="623"/>
      <c r="U29" s="92"/>
      <c r="V29" s="623"/>
      <c r="W29" s="623"/>
      <c r="X29" s="92"/>
      <c r="Y29" s="623"/>
      <c r="Z29" s="623"/>
      <c r="AA29" s="92"/>
      <c r="AB29" s="623"/>
      <c r="AC29" s="623"/>
      <c r="AD29" s="92"/>
      <c r="AE29" s="623"/>
      <c r="AF29" s="623"/>
      <c r="AG29" s="92"/>
      <c r="AH29" s="623"/>
      <c r="AI29" s="623"/>
      <c r="AJ29" s="92"/>
      <c r="AK29" s="623"/>
      <c r="AL29" s="623"/>
      <c r="AM29" s="201">
        <f t="shared" si="0"/>
        <v>0</v>
      </c>
      <c r="AO29" s="722"/>
      <c r="AP29" s="722"/>
      <c r="AQ29" s="722">
        <f t="shared" si="2"/>
        <v>0</v>
      </c>
    </row>
    <row r="30" spans="2:43" ht="20.100000000000001" customHeight="1" x14ac:dyDescent="0.15">
      <c r="B30" s="132"/>
      <c r="C30" s="92"/>
      <c r="D30" s="623"/>
      <c r="E30" s="623"/>
      <c r="F30" s="92"/>
      <c r="G30" s="623"/>
      <c r="H30" s="623"/>
      <c r="I30" s="92"/>
      <c r="J30" s="623"/>
      <c r="K30" s="623"/>
      <c r="L30" s="92"/>
      <c r="M30" s="623"/>
      <c r="N30" s="623"/>
      <c r="O30" s="92"/>
      <c r="P30" s="623"/>
      <c r="Q30" s="623"/>
      <c r="R30" s="92"/>
      <c r="S30" s="623"/>
      <c r="T30" s="623"/>
      <c r="U30" s="92"/>
      <c r="V30" s="623"/>
      <c r="W30" s="623"/>
      <c r="X30" s="92"/>
      <c r="Y30" s="623"/>
      <c r="Z30" s="623"/>
      <c r="AA30" s="92"/>
      <c r="AB30" s="623"/>
      <c r="AC30" s="623"/>
      <c r="AD30" s="92"/>
      <c r="AE30" s="623"/>
      <c r="AF30" s="623"/>
      <c r="AG30" s="92"/>
      <c r="AH30" s="623"/>
      <c r="AI30" s="623"/>
      <c r="AJ30" s="92"/>
      <c r="AK30" s="623"/>
      <c r="AL30" s="623"/>
      <c r="AM30" s="201">
        <f t="shared" si="0"/>
        <v>0</v>
      </c>
      <c r="AO30" s="722"/>
      <c r="AP30" s="722"/>
      <c r="AQ30" s="722">
        <f t="shared" si="2"/>
        <v>0</v>
      </c>
    </row>
    <row r="31" spans="2:43" ht="20.100000000000001" customHeight="1" x14ac:dyDescent="0.15">
      <c r="B31" s="132"/>
      <c r="C31" s="92"/>
      <c r="D31" s="623"/>
      <c r="E31" s="623"/>
      <c r="F31" s="92"/>
      <c r="G31" s="623"/>
      <c r="H31" s="623"/>
      <c r="I31" s="92"/>
      <c r="J31" s="623"/>
      <c r="K31" s="623"/>
      <c r="L31" s="92"/>
      <c r="M31" s="623"/>
      <c r="N31" s="623"/>
      <c r="O31" s="92"/>
      <c r="P31" s="623"/>
      <c r="Q31" s="623"/>
      <c r="R31" s="92"/>
      <c r="S31" s="623"/>
      <c r="T31" s="623"/>
      <c r="U31" s="92"/>
      <c r="V31" s="623"/>
      <c r="W31" s="623"/>
      <c r="X31" s="92"/>
      <c r="Y31" s="623"/>
      <c r="Z31" s="623"/>
      <c r="AA31" s="92"/>
      <c r="AB31" s="623"/>
      <c r="AC31" s="623"/>
      <c r="AD31" s="92"/>
      <c r="AE31" s="623"/>
      <c r="AF31" s="623"/>
      <c r="AG31" s="92"/>
      <c r="AH31" s="623"/>
      <c r="AI31" s="623"/>
      <c r="AJ31" s="92"/>
      <c r="AK31" s="623"/>
      <c r="AL31" s="623"/>
      <c r="AM31" s="201">
        <f t="shared" si="0"/>
        <v>0</v>
      </c>
      <c r="AO31" s="722"/>
      <c r="AP31" s="722"/>
      <c r="AQ31" s="722">
        <f t="shared" si="2"/>
        <v>0</v>
      </c>
    </row>
    <row r="32" spans="2:43" ht="20.100000000000001" customHeight="1" x14ac:dyDescent="0.15">
      <c r="B32" s="132"/>
      <c r="C32" s="92"/>
      <c r="D32" s="623"/>
      <c r="E32" s="623"/>
      <c r="F32" s="92"/>
      <c r="G32" s="623"/>
      <c r="H32" s="623"/>
      <c r="I32" s="92"/>
      <c r="J32" s="623"/>
      <c r="K32" s="623"/>
      <c r="L32" s="92"/>
      <c r="M32" s="623"/>
      <c r="N32" s="623"/>
      <c r="O32" s="92"/>
      <c r="P32" s="623"/>
      <c r="Q32" s="623"/>
      <c r="R32" s="92"/>
      <c r="S32" s="623"/>
      <c r="T32" s="623"/>
      <c r="U32" s="92"/>
      <c r="V32" s="623"/>
      <c r="W32" s="623"/>
      <c r="X32" s="92"/>
      <c r="Y32" s="623"/>
      <c r="Z32" s="623"/>
      <c r="AA32" s="92"/>
      <c r="AB32" s="623"/>
      <c r="AC32" s="623"/>
      <c r="AD32" s="92"/>
      <c r="AE32" s="623"/>
      <c r="AF32" s="623"/>
      <c r="AG32" s="92"/>
      <c r="AH32" s="623"/>
      <c r="AI32" s="623"/>
      <c r="AJ32" s="92"/>
      <c r="AK32" s="623"/>
      <c r="AL32" s="623"/>
      <c r="AM32" s="201">
        <f t="shared" si="0"/>
        <v>0</v>
      </c>
      <c r="AO32" s="722"/>
      <c r="AP32" s="722"/>
      <c r="AQ32" s="722">
        <f t="shared" si="2"/>
        <v>0</v>
      </c>
    </row>
    <row r="33" spans="2:43" ht="20.100000000000001" customHeight="1" x14ac:dyDescent="0.15">
      <c r="B33" s="136" t="s">
        <v>114</v>
      </c>
      <c r="C33" s="92">
        <f t="shared" ref="C33:AL33" si="3">SUM(C8:C32)</f>
        <v>0</v>
      </c>
      <c r="D33" s="624">
        <f t="shared" si="3"/>
        <v>0</v>
      </c>
      <c r="E33" s="625">
        <f t="shared" si="3"/>
        <v>40</v>
      </c>
      <c r="F33" s="92">
        <f t="shared" si="3"/>
        <v>0</v>
      </c>
      <c r="G33" s="624">
        <f t="shared" si="3"/>
        <v>20</v>
      </c>
      <c r="H33" s="625">
        <f t="shared" si="3"/>
        <v>60</v>
      </c>
      <c r="I33" s="92">
        <f t="shared" si="3"/>
        <v>40</v>
      </c>
      <c r="J33" s="624">
        <f t="shared" si="3"/>
        <v>35</v>
      </c>
      <c r="K33" s="625">
        <f t="shared" si="3"/>
        <v>162</v>
      </c>
      <c r="L33" s="92">
        <f t="shared" si="3"/>
        <v>167</v>
      </c>
      <c r="M33" s="624">
        <f t="shared" si="3"/>
        <v>12</v>
      </c>
      <c r="N33" s="625">
        <f t="shared" si="3"/>
        <v>7</v>
      </c>
      <c r="O33" s="92">
        <f t="shared" si="3"/>
        <v>7</v>
      </c>
      <c r="P33" s="624">
        <f t="shared" si="3"/>
        <v>47</v>
      </c>
      <c r="Q33" s="625">
        <f t="shared" si="3"/>
        <v>37</v>
      </c>
      <c r="R33" s="92">
        <f t="shared" si="3"/>
        <v>242</v>
      </c>
      <c r="S33" s="624">
        <f t="shared" si="3"/>
        <v>197</v>
      </c>
      <c r="T33" s="625">
        <f t="shared" si="3"/>
        <v>152</v>
      </c>
      <c r="U33" s="92">
        <f t="shared" si="3"/>
        <v>337</v>
      </c>
      <c r="V33" s="624">
        <f t="shared" si="3"/>
        <v>317</v>
      </c>
      <c r="W33" s="625">
        <f t="shared" si="3"/>
        <v>217</v>
      </c>
      <c r="X33" s="92">
        <f t="shared" si="3"/>
        <v>42</v>
      </c>
      <c r="Y33" s="624">
        <f t="shared" si="3"/>
        <v>2</v>
      </c>
      <c r="Z33" s="625">
        <f t="shared" si="3"/>
        <v>32</v>
      </c>
      <c r="AA33" s="92">
        <f t="shared" si="3"/>
        <v>2</v>
      </c>
      <c r="AB33" s="624">
        <f t="shared" si="3"/>
        <v>302</v>
      </c>
      <c r="AC33" s="625">
        <f t="shared" si="3"/>
        <v>452</v>
      </c>
      <c r="AD33" s="92">
        <f t="shared" si="3"/>
        <v>467</v>
      </c>
      <c r="AE33" s="624">
        <f t="shared" si="3"/>
        <v>7</v>
      </c>
      <c r="AF33" s="625">
        <f t="shared" si="3"/>
        <v>22</v>
      </c>
      <c r="AG33" s="92">
        <f t="shared" si="3"/>
        <v>55</v>
      </c>
      <c r="AH33" s="624">
        <f t="shared" si="3"/>
        <v>40</v>
      </c>
      <c r="AI33" s="625">
        <f t="shared" si="3"/>
        <v>40</v>
      </c>
      <c r="AJ33" s="92">
        <f t="shared" si="3"/>
        <v>60</v>
      </c>
      <c r="AK33" s="624">
        <f t="shared" si="3"/>
        <v>20</v>
      </c>
      <c r="AL33" s="625">
        <f t="shared" si="3"/>
        <v>20</v>
      </c>
      <c r="AM33" s="201">
        <f t="shared" ref="AM33" si="4">SUM(C33:AL33)</f>
        <v>3659</v>
      </c>
      <c r="AO33" s="722"/>
      <c r="AP33" s="722"/>
      <c r="AQ33" s="722">
        <f t="shared" si="2"/>
        <v>0</v>
      </c>
    </row>
    <row r="34" spans="2:43" ht="20.100000000000001" customHeight="1" thickBot="1" x14ac:dyDescent="0.2">
      <c r="B34" s="139" t="s">
        <v>115</v>
      </c>
      <c r="C34" s="382"/>
      <c r="D34" s="626">
        <f>SUM(C33:E33)</f>
        <v>40</v>
      </c>
      <c r="E34" s="626"/>
      <c r="F34" s="382"/>
      <c r="G34" s="626">
        <f>SUM(F33:H33)</f>
        <v>80</v>
      </c>
      <c r="H34" s="626"/>
      <c r="I34" s="382"/>
      <c r="J34" s="626">
        <f>SUM(I33:K33)</f>
        <v>237</v>
      </c>
      <c r="K34" s="626"/>
      <c r="L34" s="382"/>
      <c r="M34" s="626">
        <f>SUM(L33:N33)</f>
        <v>186</v>
      </c>
      <c r="N34" s="626"/>
      <c r="O34" s="382"/>
      <c r="P34" s="626">
        <f>SUM(O33:Q33)</f>
        <v>91</v>
      </c>
      <c r="Q34" s="626"/>
      <c r="R34" s="382"/>
      <c r="S34" s="626">
        <f>SUM(R33:T33)</f>
        <v>591</v>
      </c>
      <c r="T34" s="626"/>
      <c r="U34" s="382"/>
      <c r="V34" s="626">
        <f>SUM(U33:W33)</f>
        <v>871</v>
      </c>
      <c r="W34" s="626"/>
      <c r="X34" s="382"/>
      <c r="Y34" s="626">
        <f>SUM(X33:Z33)</f>
        <v>76</v>
      </c>
      <c r="Z34" s="626"/>
      <c r="AA34" s="382"/>
      <c r="AB34" s="626">
        <f>SUM(AA33:AC33)</f>
        <v>756</v>
      </c>
      <c r="AC34" s="626"/>
      <c r="AD34" s="382"/>
      <c r="AE34" s="626">
        <f>SUM(AD33:AF33)</f>
        <v>496</v>
      </c>
      <c r="AF34" s="626"/>
      <c r="AG34" s="382"/>
      <c r="AH34" s="626">
        <f>SUM(AG33:AI33)</f>
        <v>135</v>
      </c>
      <c r="AI34" s="626"/>
      <c r="AJ34" s="382"/>
      <c r="AK34" s="626">
        <f>SUM(AJ33:AL33)</f>
        <v>100</v>
      </c>
      <c r="AL34" s="626"/>
      <c r="AM34" s="383">
        <f>SUM(AM8:AM32)</f>
        <v>3659</v>
      </c>
      <c r="AO34" s="722">
        <f>SUM(AO8:AO32)</f>
        <v>90</v>
      </c>
      <c r="AP34" s="722">
        <f t="shared" ref="AP34" si="5">SUM(AP8:AP32)</f>
        <v>4914</v>
      </c>
      <c r="AQ34" s="722">
        <f>SUM(AQ8:AQ33)</f>
        <v>5004</v>
      </c>
    </row>
    <row r="37" spans="2:43" ht="14.25" thickBot="1" x14ac:dyDescent="0.2"/>
    <row r="38" spans="2:43" ht="14.25" thickBot="1" x14ac:dyDescent="0.2">
      <c r="B38" s="1" t="s">
        <v>648</v>
      </c>
      <c r="C38" s="635">
        <f>'４　経営収支'!H4</f>
        <v>1</v>
      </c>
      <c r="D38" s="1" t="s">
        <v>651</v>
      </c>
    </row>
    <row r="39" spans="2:43" ht="14.25" thickBot="1" x14ac:dyDescent="0.2"/>
    <row r="40" spans="2:43" x14ac:dyDescent="0.15">
      <c r="B40" s="636" t="s">
        <v>649</v>
      </c>
      <c r="C40" s="982">
        <v>1</v>
      </c>
      <c r="D40" s="983"/>
      <c r="E40" s="984"/>
      <c r="F40" s="982">
        <v>2</v>
      </c>
      <c r="G40" s="983"/>
      <c r="H40" s="984"/>
      <c r="I40" s="982">
        <v>3</v>
      </c>
      <c r="J40" s="983"/>
      <c r="K40" s="984"/>
      <c r="L40" s="982">
        <v>4</v>
      </c>
      <c r="M40" s="983"/>
      <c r="N40" s="984"/>
      <c r="O40" s="982">
        <v>5</v>
      </c>
      <c r="P40" s="983"/>
      <c r="Q40" s="984"/>
      <c r="R40" s="982">
        <v>6</v>
      </c>
      <c r="S40" s="983"/>
      <c r="T40" s="984"/>
      <c r="U40" s="982">
        <v>7</v>
      </c>
      <c r="V40" s="983"/>
      <c r="W40" s="984"/>
      <c r="X40" s="982">
        <v>8</v>
      </c>
      <c r="Y40" s="983"/>
      <c r="Z40" s="984"/>
      <c r="AA40" s="982">
        <v>9</v>
      </c>
      <c r="AB40" s="983"/>
      <c r="AC40" s="984"/>
      <c r="AD40" s="982">
        <v>10</v>
      </c>
      <c r="AE40" s="983"/>
      <c r="AF40" s="984"/>
      <c r="AG40" s="982">
        <v>11</v>
      </c>
      <c r="AH40" s="983"/>
      <c r="AI40" s="984"/>
      <c r="AJ40" s="982">
        <v>12</v>
      </c>
      <c r="AK40" s="983"/>
      <c r="AL40" s="984"/>
      <c r="AM40" s="985" t="s">
        <v>33</v>
      </c>
    </row>
    <row r="41" spans="2:43" x14ac:dyDescent="0.15">
      <c r="B41" s="637"/>
      <c r="C41" s="628" t="s">
        <v>34</v>
      </c>
      <c r="D41" s="124" t="s">
        <v>35</v>
      </c>
      <c r="E41" s="125" t="s">
        <v>36</v>
      </c>
      <c r="F41" s="628" t="s">
        <v>34</v>
      </c>
      <c r="G41" s="125" t="s">
        <v>35</v>
      </c>
      <c r="H41" s="125" t="s">
        <v>36</v>
      </c>
      <c r="I41" s="628" t="s">
        <v>34</v>
      </c>
      <c r="J41" s="125" t="s">
        <v>35</v>
      </c>
      <c r="K41" s="125" t="s">
        <v>36</v>
      </c>
      <c r="L41" s="628" t="s">
        <v>34</v>
      </c>
      <c r="M41" s="125" t="s">
        <v>35</v>
      </c>
      <c r="N41" s="125" t="s">
        <v>36</v>
      </c>
      <c r="O41" s="628" t="s">
        <v>34</v>
      </c>
      <c r="P41" s="125" t="s">
        <v>35</v>
      </c>
      <c r="Q41" s="125" t="s">
        <v>36</v>
      </c>
      <c r="R41" s="628" t="s">
        <v>34</v>
      </c>
      <c r="S41" s="629" t="s">
        <v>35</v>
      </c>
      <c r="T41" s="629" t="s">
        <v>36</v>
      </c>
      <c r="U41" s="628" t="s">
        <v>34</v>
      </c>
      <c r="V41" s="125" t="s">
        <v>35</v>
      </c>
      <c r="W41" s="125" t="s">
        <v>36</v>
      </c>
      <c r="X41" s="628" t="s">
        <v>34</v>
      </c>
      <c r="Y41" s="125" t="s">
        <v>35</v>
      </c>
      <c r="Z41" s="125" t="s">
        <v>36</v>
      </c>
      <c r="AA41" s="628" t="s">
        <v>34</v>
      </c>
      <c r="AB41" s="125" t="s">
        <v>35</v>
      </c>
      <c r="AC41" s="125" t="s">
        <v>36</v>
      </c>
      <c r="AD41" s="628" t="s">
        <v>34</v>
      </c>
      <c r="AE41" s="125" t="s">
        <v>35</v>
      </c>
      <c r="AF41" s="125" t="s">
        <v>36</v>
      </c>
      <c r="AG41" s="628" t="s">
        <v>34</v>
      </c>
      <c r="AH41" s="125" t="s">
        <v>35</v>
      </c>
      <c r="AI41" s="125" t="s">
        <v>36</v>
      </c>
      <c r="AJ41" s="628" t="s">
        <v>34</v>
      </c>
      <c r="AK41" s="125" t="s">
        <v>35</v>
      </c>
      <c r="AL41" s="125" t="s">
        <v>36</v>
      </c>
      <c r="AM41" s="986"/>
    </row>
    <row r="42" spans="2:43" x14ac:dyDescent="0.15">
      <c r="B42" s="638" t="s">
        <v>650</v>
      </c>
      <c r="C42" s="630">
        <f>C33*$C$38</f>
        <v>0</v>
      </c>
      <c r="D42" s="630">
        <f t="shared" ref="D42:AL42" si="6">D33*$C$38</f>
        <v>0</v>
      </c>
      <c r="E42" s="630">
        <f t="shared" si="6"/>
        <v>40</v>
      </c>
      <c r="F42" s="630">
        <f t="shared" si="6"/>
        <v>0</v>
      </c>
      <c r="G42" s="630">
        <f t="shared" si="6"/>
        <v>20</v>
      </c>
      <c r="H42" s="630">
        <f t="shared" si="6"/>
        <v>60</v>
      </c>
      <c r="I42" s="630">
        <f t="shared" si="6"/>
        <v>40</v>
      </c>
      <c r="J42" s="630">
        <f t="shared" si="6"/>
        <v>35</v>
      </c>
      <c r="K42" s="630">
        <f t="shared" si="6"/>
        <v>162</v>
      </c>
      <c r="L42" s="630">
        <f t="shared" si="6"/>
        <v>167</v>
      </c>
      <c r="M42" s="630">
        <f t="shared" si="6"/>
        <v>12</v>
      </c>
      <c r="N42" s="630">
        <f t="shared" si="6"/>
        <v>7</v>
      </c>
      <c r="O42" s="630">
        <f t="shared" si="6"/>
        <v>7</v>
      </c>
      <c r="P42" s="630">
        <f t="shared" si="6"/>
        <v>47</v>
      </c>
      <c r="Q42" s="630">
        <f t="shared" si="6"/>
        <v>37</v>
      </c>
      <c r="R42" s="630">
        <f t="shared" si="6"/>
        <v>242</v>
      </c>
      <c r="S42" s="630">
        <f t="shared" si="6"/>
        <v>197</v>
      </c>
      <c r="T42" s="630">
        <f t="shared" si="6"/>
        <v>152</v>
      </c>
      <c r="U42" s="630">
        <f t="shared" si="6"/>
        <v>337</v>
      </c>
      <c r="V42" s="630">
        <f t="shared" si="6"/>
        <v>317</v>
      </c>
      <c r="W42" s="630">
        <f t="shared" si="6"/>
        <v>217</v>
      </c>
      <c r="X42" s="630">
        <f t="shared" si="6"/>
        <v>42</v>
      </c>
      <c r="Y42" s="630">
        <f t="shared" si="6"/>
        <v>2</v>
      </c>
      <c r="Z42" s="630">
        <f t="shared" si="6"/>
        <v>32</v>
      </c>
      <c r="AA42" s="630">
        <f t="shared" si="6"/>
        <v>2</v>
      </c>
      <c r="AB42" s="630">
        <f t="shared" si="6"/>
        <v>302</v>
      </c>
      <c r="AC42" s="630">
        <f t="shared" si="6"/>
        <v>452</v>
      </c>
      <c r="AD42" s="630">
        <f t="shared" si="6"/>
        <v>467</v>
      </c>
      <c r="AE42" s="630">
        <f t="shared" si="6"/>
        <v>7</v>
      </c>
      <c r="AF42" s="630">
        <f t="shared" si="6"/>
        <v>22</v>
      </c>
      <c r="AG42" s="630">
        <f t="shared" si="6"/>
        <v>55</v>
      </c>
      <c r="AH42" s="630">
        <f t="shared" si="6"/>
        <v>40</v>
      </c>
      <c r="AI42" s="630">
        <f t="shared" si="6"/>
        <v>40</v>
      </c>
      <c r="AJ42" s="630">
        <f t="shared" si="6"/>
        <v>60</v>
      </c>
      <c r="AK42" s="630">
        <f t="shared" si="6"/>
        <v>20</v>
      </c>
      <c r="AL42" s="630">
        <f t="shared" si="6"/>
        <v>20</v>
      </c>
      <c r="AM42" s="631">
        <f t="shared" ref="AM42" si="7">SUM(C42:AL42)</f>
        <v>3659</v>
      </c>
    </row>
  </sheetData>
  <mergeCells count="28">
    <mergeCell ref="AG40:AI40"/>
    <mergeCell ref="AJ40:AL40"/>
    <mergeCell ref="AM40:AM41"/>
    <mergeCell ref="R40:T40"/>
    <mergeCell ref="U40:W40"/>
    <mergeCell ref="X40:Z40"/>
    <mergeCell ref="AA40:AC40"/>
    <mergeCell ref="AD40:AF40"/>
    <mergeCell ref="C40:E40"/>
    <mergeCell ref="F40:H40"/>
    <mergeCell ref="I40:K40"/>
    <mergeCell ref="L40:N40"/>
    <mergeCell ref="O40:Q40"/>
    <mergeCell ref="AJ3:AL3"/>
    <mergeCell ref="AM3:AM4"/>
    <mergeCell ref="B5:B7"/>
    <mergeCell ref="R3:T3"/>
    <mergeCell ref="U3:W3"/>
    <mergeCell ref="X3:Z3"/>
    <mergeCell ref="AA3:AC3"/>
    <mergeCell ref="AD3:AF3"/>
    <mergeCell ref="AG3:AI3"/>
    <mergeCell ref="B3:B4"/>
    <mergeCell ref="C3:E3"/>
    <mergeCell ref="F3:H3"/>
    <mergeCell ref="I3:K3"/>
    <mergeCell ref="L3:N3"/>
    <mergeCell ref="O3:Q3"/>
  </mergeCells>
  <phoneticPr fontId="5"/>
  <pageMargins left="0.78740157480314965" right="0.78740157480314965" top="0.78740157480314965" bottom="0.78740157480314965" header="0.39370078740157483" footer="0.39370078740157483"/>
  <pageSetup paperSize="9" scale="51" orientation="landscape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J42"/>
  <sheetViews>
    <sheetView zoomScale="75" zoomScaleNormal="75" zoomScaleSheetLayoutView="80" workbookViewId="0"/>
  </sheetViews>
  <sheetFormatPr defaultRowHeight="13.5" x14ac:dyDescent="0.15"/>
  <cols>
    <col min="1" max="1" width="1.625" style="93" customWidth="1"/>
    <col min="2" max="2" width="22.625" style="93" customWidth="1"/>
    <col min="3" max="38" width="6.125" style="93" customWidth="1"/>
    <col min="39" max="39" width="7" style="93" customWidth="1"/>
    <col min="40" max="40" width="1.5" style="93" customWidth="1"/>
    <col min="41" max="47" width="0" style="93" hidden="1" customWidth="1"/>
    <col min="48" max="16384" width="9" style="93"/>
  </cols>
  <sheetData>
    <row r="1" spans="2:62" ht="9.9499999999999993" customHeight="1" x14ac:dyDescent="0.15"/>
    <row r="2" spans="2:62" ht="24.95" customHeight="1" thickBot="1" x14ac:dyDescent="0.2">
      <c r="B2" s="13" t="s">
        <v>749</v>
      </c>
      <c r="C2" s="13"/>
      <c r="D2" s="13"/>
      <c r="E2" s="13"/>
      <c r="F2" s="13"/>
      <c r="G2" s="13"/>
      <c r="H2" s="13"/>
      <c r="I2" s="13"/>
      <c r="J2" s="13"/>
      <c r="K2" s="371" t="s">
        <v>264</v>
      </c>
      <c r="L2" s="555" t="s">
        <v>494</v>
      </c>
      <c r="M2" s="144"/>
      <c r="N2" s="371" t="s">
        <v>265</v>
      </c>
      <c r="O2" s="370" t="s">
        <v>493</v>
      </c>
      <c r="P2" s="13"/>
      <c r="Q2" s="13"/>
      <c r="R2" s="13"/>
      <c r="S2" s="13"/>
      <c r="T2" s="13"/>
      <c r="U2" s="13"/>
      <c r="V2" s="95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</row>
    <row r="3" spans="2:62" ht="20.100000000000001" customHeight="1" x14ac:dyDescent="0.15">
      <c r="B3" s="981" t="s">
        <v>112</v>
      </c>
      <c r="C3" s="973">
        <v>1</v>
      </c>
      <c r="D3" s="974"/>
      <c r="E3" s="975"/>
      <c r="F3" s="973">
        <v>2</v>
      </c>
      <c r="G3" s="974"/>
      <c r="H3" s="975"/>
      <c r="I3" s="973">
        <v>3</v>
      </c>
      <c r="J3" s="974"/>
      <c r="K3" s="975"/>
      <c r="L3" s="973">
        <v>4</v>
      </c>
      <c r="M3" s="974"/>
      <c r="N3" s="975"/>
      <c r="O3" s="973">
        <v>5</v>
      </c>
      <c r="P3" s="974"/>
      <c r="Q3" s="975"/>
      <c r="R3" s="973">
        <v>6</v>
      </c>
      <c r="S3" s="974"/>
      <c r="T3" s="975"/>
      <c r="U3" s="973">
        <v>7</v>
      </c>
      <c r="V3" s="974"/>
      <c r="W3" s="975"/>
      <c r="X3" s="973">
        <v>8</v>
      </c>
      <c r="Y3" s="974"/>
      <c r="Z3" s="975"/>
      <c r="AA3" s="973">
        <v>9</v>
      </c>
      <c r="AB3" s="974"/>
      <c r="AC3" s="975"/>
      <c r="AD3" s="973">
        <v>10</v>
      </c>
      <c r="AE3" s="974"/>
      <c r="AF3" s="975"/>
      <c r="AG3" s="973">
        <v>11</v>
      </c>
      <c r="AH3" s="974"/>
      <c r="AI3" s="975"/>
      <c r="AJ3" s="973">
        <v>12</v>
      </c>
      <c r="AK3" s="974"/>
      <c r="AL3" s="975"/>
      <c r="AM3" s="976" t="s">
        <v>33</v>
      </c>
      <c r="AO3" s="719" t="s">
        <v>645</v>
      </c>
      <c r="AP3" s="719" t="s">
        <v>646</v>
      </c>
      <c r="AQ3" s="719" t="s">
        <v>24</v>
      </c>
    </row>
    <row r="4" spans="2:62" ht="20.100000000000001" customHeight="1" x14ac:dyDescent="0.15">
      <c r="B4" s="980"/>
      <c r="C4" s="123" t="s">
        <v>34</v>
      </c>
      <c r="D4" s="124" t="s">
        <v>35</v>
      </c>
      <c r="E4" s="125" t="s">
        <v>36</v>
      </c>
      <c r="F4" s="123" t="s">
        <v>34</v>
      </c>
      <c r="G4" s="125" t="s">
        <v>35</v>
      </c>
      <c r="H4" s="125" t="s">
        <v>36</v>
      </c>
      <c r="I4" s="123" t="s">
        <v>34</v>
      </c>
      <c r="J4" s="125" t="s">
        <v>35</v>
      </c>
      <c r="K4" s="125" t="s">
        <v>36</v>
      </c>
      <c r="L4" s="123" t="s">
        <v>34</v>
      </c>
      <c r="M4" s="125" t="s">
        <v>35</v>
      </c>
      <c r="N4" s="125" t="s">
        <v>36</v>
      </c>
      <c r="O4" s="123" t="s">
        <v>34</v>
      </c>
      <c r="P4" s="125" t="s">
        <v>35</v>
      </c>
      <c r="Q4" s="125" t="s">
        <v>36</v>
      </c>
      <c r="R4" s="123" t="s">
        <v>34</v>
      </c>
      <c r="S4" s="126" t="s">
        <v>35</v>
      </c>
      <c r="T4" s="126" t="s">
        <v>36</v>
      </c>
      <c r="U4" s="123" t="s">
        <v>34</v>
      </c>
      <c r="V4" s="125" t="s">
        <v>35</v>
      </c>
      <c r="W4" s="125" t="s">
        <v>36</v>
      </c>
      <c r="X4" s="123" t="s">
        <v>34</v>
      </c>
      <c r="Y4" s="125" t="s">
        <v>35</v>
      </c>
      <c r="Z4" s="125" t="s">
        <v>36</v>
      </c>
      <c r="AA4" s="123" t="s">
        <v>34</v>
      </c>
      <c r="AB4" s="125" t="s">
        <v>35</v>
      </c>
      <c r="AC4" s="125" t="s">
        <v>36</v>
      </c>
      <c r="AD4" s="123" t="s">
        <v>34</v>
      </c>
      <c r="AE4" s="125" t="s">
        <v>35</v>
      </c>
      <c r="AF4" s="125" t="s">
        <v>36</v>
      </c>
      <c r="AG4" s="123" t="s">
        <v>34</v>
      </c>
      <c r="AH4" s="125" t="s">
        <v>35</v>
      </c>
      <c r="AI4" s="125" t="s">
        <v>36</v>
      </c>
      <c r="AJ4" s="123" t="s">
        <v>34</v>
      </c>
      <c r="AK4" s="125" t="s">
        <v>35</v>
      </c>
      <c r="AL4" s="125" t="s">
        <v>36</v>
      </c>
      <c r="AM4" s="977"/>
      <c r="AO4" s="720"/>
      <c r="AP4" s="720"/>
      <c r="AQ4" s="720"/>
    </row>
    <row r="5" spans="2:62" ht="20.100000000000001" customHeight="1" x14ac:dyDescent="0.15">
      <c r="B5" s="978" t="s">
        <v>113</v>
      </c>
      <c r="C5" s="127"/>
      <c r="D5" s="13"/>
      <c r="E5" s="13"/>
      <c r="F5" s="13"/>
      <c r="G5" s="13"/>
      <c r="H5" s="13"/>
      <c r="I5" s="13"/>
      <c r="J5" s="13"/>
      <c r="K5" s="13"/>
      <c r="L5" s="13"/>
      <c r="M5" s="13"/>
      <c r="N5" s="95"/>
      <c r="O5" s="95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28"/>
      <c r="AO5" s="720"/>
      <c r="AP5" s="720"/>
      <c r="AQ5" s="720"/>
    </row>
    <row r="6" spans="2:62" ht="20.100000000000001" customHeight="1" x14ac:dyDescent="0.15">
      <c r="B6" s="979"/>
      <c r="C6" s="127"/>
      <c r="D6" s="13"/>
      <c r="E6" s="13"/>
      <c r="F6" s="13"/>
      <c r="G6" s="13"/>
      <c r="H6" s="13"/>
      <c r="I6" s="13"/>
      <c r="J6" s="13"/>
      <c r="K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544"/>
      <c r="Y6" s="544"/>
      <c r="Z6" s="544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28"/>
      <c r="AO6" s="720"/>
      <c r="AP6" s="720"/>
      <c r="AQ6" s="720"/>
    </row>
    <row r="7" spans="2:62" ht="20.100000000000001" customHeight="1" x14ac:dyDescent="0.15">
      <c r="B7" s="980"/>
      <c r="C7" s="129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1"/>
      <c r="AO7" s="720"/>
      <c r="AP7" s="720"/>
      <c r="AQ7" s="720"/>
    </row>
    <row r="8" spans="2:62" ht="20.100000000000001" customHeight="1" x14ac:dyDescent="0.15">
      <c r="B8" s="132" t="s">
        <v>375</v>
      </c>
      <c r="C8" s="92"/>
      <c r="D8" s="623"/>
      <c r="E8" s="623"/>
      <c r="F8" s="92"/>
      <c r="G8" s="623"/>
      <c r="H8" s="623"/>
      <c r="I8" s="92"/>
      <c r="J8" s="623"/>
      <c r="K8" s="623"/>
      <c r="L8" s="92"/>
      <c r="M8" s="623"/>
      <c r="N8" s="623"/>
      <c r="O8" s="92"/>
      <c r="P8" s="623"/>
      <c r="Q8" s="623"/>
      <c r="R8" s="92"/>
      <c r="S8" s="623"/>
      <c r="T8" s="623"/>
      <c r="U8" s="92"/>
      <c r="V8" s="623"/>
      <c r="W8" s="623"/>
      <c r="X8" s="92"/>
      <c r="Y8" s="623"/>
      <c r="Z8" s="623"/>
      <c r="AA8" s="92"/>
      <c r="AB8" s="623"/>
      <c r="AC8" s="623"/>
      <c r="AD8" s="92"/>
      <c r="AE8" s="623"/>
      <c r="AF8" s="623"/>
      <c r="AG8" s="92"/>
      <c r="AH8" s="623"/>
      <c r="AI8" s="623">
        <v>60</v>
      </c>
      <c r="AJ8" s="92">
        <v>60</v>
      </c>
      <c r="AK8" s="623">
        <v>40</v>
      </c>
      <c r="AL8" s="645"/>
      <c r="AM8" s="201">
        <f>SUM(C8:AL8)</f>
        <v>160</v>
      </c>
      <c r="AO8" s="721"/>
      <c r="AP8" s="721">
        <v>120</v>
      </c>
      <c r="AQ8" s="722">
        <f>+SUM(AO8:AP8)</f>
        <v>120</v>
      </c>
    </row>
    <row r="9" spans="2:62" ht="20.100000000000001" customHeight="1" x14ac:dyDescent="0.15">
      <c r="B9" s="132" t="s">
        <v>376</v>
      </c>
      <c r="C9" s="92"/>
      <c r="D9" s="623"/>
      <c r="E9" s="623"/>
      <c r="F9" s="92"/>
      <c r="G9" s="623"/>
      <c r="H9" s="623"/>
      <c r="I9" s="92"/>
      <c r="J9" s="623"/>
      <c r="K9" s="623">
        <v>30</v>
      </c>
      <c r="L9" s="92">
        <v>30</v>
      </c>
      <c r="M9" s="623">
        <v>30</v>
      </c>
      <c r="N9" s="623">
        <v>120</v>
      </c>
      <c r="O9" s="92">
        <v>60</v>
      </c>
      <c r="P9" s="623">
        <v>30</v>
      </c>
      <c r="Q9" s="623"/>
      <c r="R9" s="92"/>
      <c r="S9" s="623">
        <v>30</v>
      </c>
      <c r="T9" s="623"/>
      <c r="U9" s="92"/>
      <c r="V9" s="623"/>
      <c r="W9" s="623"/>
      <c r="X9" s="92"/>
      <c r="Y9" s="623"/>
      <c r="Z9" s="623"/>
      <c r="AA9" s="92"/>
      <c r="AB9" s="623"/>
      <c r="AC9" s="623"/>
      <c r="AD9" s="92"/>
      <c r="AE9" s="623"/>
      <c r="AF9" s="623"/>
      <c r="AG9" s="92"/>
      <c r="AH9" s="623"/>
      <c r="AI9" s="623"/>
      <c r="AJ9" s="92"/>
      <c r="AK9" s="623"/>
      <c r="AL9" s="623"/>
      <c r="AM9" s="201">
        <f t="shared" ref="AM9:AM33" si="0">SUM(C9:AL9)</f>
        <v>330</v>
      </c>
      <c r="AO9" s="721"/>
      <c r="AP9" s="721">
        <v>800</v>
      </c>
      <c r="AQ9" s="722">
        <f t="shared" ref="AQ9:AQ19" si="1">+SUM(AO9:AP9)</f>
        <v>800</v>
      </c>
    </row>
    <row r="10" spans="2:62" ht="20.100000000000001" customHeight="1" x14ac:dyDescent="0.15">
      <c r="B10" s="132" t="s">
        <v>377</v>
      </c>
      <c r="C10" s="92"/>
      <c r="D10" s="623"/>
      <c r="E10" s="623"/>
      <c r="F10" s="92">
        <v>15</v>
      </c>
      <c r="G10" s="623"/>
      <c r="H10" s="623"/>
      <c r="I10" s="92"/>
      <c r="J10" s="623"/>
      <c r="K10" s="623"/>
      <c r="L10" s="92"/>
      <c r="M10" s="623"/>
      <c r="N10" s="623"/>
      <c r="O10" s="92"/>
      <c r="P10" s="623"/>
      <c r="Q10" s="623"/>
      <c r="R10" s="92"/>
      <c r="S10" s="623"/>
      <c r="T10" s="623"/>
      <c r="U10" s="92"/>
      <c r="V10" s="623"/>
      <c r="W10" s="623"/>
      <c r="X10" s="92"/>
      <c r="Y10" s="623"/>
      <c r="Z10" s="623"/>
      <c r="AA10" s="92"/>
      <c r="AB10" s="623"/>
      <c r="AC10" s="623"/>
      <c r="AD10" s="114">
        <v>15</v>
      </c>
      <c r="AE10" s="717"/>
      <c r="AF10" s="717"/>
      <c r="AG10" s="92"/>
      <c r="AH10" s="623"/>
      <c r="AI10" s="623"/>
      <c r="AJ10" s="92"/>
      <c r="AK10" s="623"/>
      <c r="AL10" s="623"/>
      <c r="AM10" s="201">
        <f t="shared" si="0"/>
        <v>30</v>
      </c>
      <c r="AO10" s="721"/>
      <c r="AP10" s="721">
        <v>30</v>
      </c>
      <c r="AQ10" s="722">
        <f t="shared" si="1"/>
        <v>30</v>
      </c>
    </row>
    <row r="11" spans="2:62" ht="20.100000000000001" customHeight="1" x14ac:dyDescent="0.15">
      <c r="B11" s="132" t="s">
        <v>378</v>
      </c>
      <c r="C11" s="92">
        <v>20</v>
      </c>
      <c r="D11" s="623">
        <v>20</v>
      </c>
      <c r="E11" s="623"/>
      <c r="F11" s="92"/>
      <c r="G11" s="623">
        <v>5</v>
      </c>
      <c r="H11" s="623"/>
      <c r="I11" s="92"/>
      <c r="J11" s="623">
        <v>5</v>
      </c>
      <c r="K11" s="623">
        <v>5</v>
      </c>
      <c r="L11" s="92">
        <v>5</v>
      </c>
      <c r="M11" s="623">
        <v>5</v>
      </c>
      <c r="N11" s="623"/>
      <c r="O11" s="92">
        <v>5</v>
      </c>
      <c r="P11" s="623"/>
      <c r="Q11" s="623">
        <v>5</v>
      </c>
      <c r="R11" s="92"/>
      <c r="S11" s="623">
        <v>5</v>
      </c>
      <c r="T11" s="623">
        <v>5</v>
      </c>
      <c r="U11" s="92">
        <v>5</v>
      </c>
      <c r="V11" s="623"/>
      <c r="W11" s="623"/>
      <c r="X11" s="92"/>
      <c r="Y11" s="623"/>
      <c r="Z11" s="623"/>
      <c r="AA11" s="92">
        <v>5</v>
      </c>
      <c r="AB11" s="623"/>
      <c r="AC11" s="623">
        <v>5</v>
      </c>
      <c r="AD11" s="92"/>
      <c r="AE11" s="623"/>
      <c r="AF11" s="623"/>
      <c r="AG11" s="92"/>
      <c r="AH11" s="623"/>
      <c r="AI11" s="623"/>
      <c r="AJ11" s="92"/>
      <c r="AK11" s="623"/>
      <c r="AL11" s="623"/>
      <c r="AM11" s="201">
        <f t="shared" si="0"/>
        <v>100</v>
      </c>
      <c r="AO11" s="721">
        <v>100</v>
      </c>
      <c r="AP11" s="721"/>
      <c r="AQ11" s="722">
        <f t="shared" si="1"/>
        <v>100</v>
      </c>
    </row>
    <row r="12" spans="2:62" ht="20.100000000000001" customHeight="1" x14ac:dyDescent="0.15">
      <c r="B12" s="132" t="s">
        <v>379</v>
      </c>
      <c r="C12" s="92"/>
      <c r="D12" s="623"/>
      <c r="E12" s="623"/>
      <c r="F12" s="92"/>
      <c r="G12" s="623"/>
      <c r="H12" s="623"/>
      <c r="I12" s="92"/>
      <c r="J12" s="623"/>
      <c r="K12" s="623"/>
      <c r="L12" s="92"/>
      <c r="M12" s="623"/>
      <c r="N12" s="623">
        <v>120</v>
      </c>
      <c r="O12" s="92">
        <v>120</v>
      </c>
      <c r="P12" s="623">
        <v>120</v>
      </c>
      <c r="Q12" s="623">
        <v>300</v>
      </c>
      <c r="R12" s="92">
        <v>240</v>
      </c>
      <c r="S12" s="623">
        <v>60</v>
      </c>
      <c r="T12" s="623"/>
      <c r="U12" s="92"/>
      <c r="V12" s="623"/>
      <c r="W12" s="623"/>
      <c r="X12" s="92"/>
      <c r="Y12" s="623"/>
      <c r="Z12" s="623"/>
      <c r="AA12" s="92"/>
      <c r="AB12" s="623"/>
      <c r="AC12" s="623"/>
      <c r="AD12" s="92"/>
      <c r="AE12" s="623"/>
      <c r="AF12" s="623"/>
      <c r="AG12" s="92"/>
      <c r="AH12" s="623"/>
      <c r="AI12" s="623"/>
      <c r="AJ12" s="92"/>
      <c r="AK12" s="623"/>
      <c r="AL12" s="623"/>
      <c r="AM12" s="201">
        <f t="shared" si="0"/>
        <v>960</v>
      </c>
      <c r="AO12" s="721"/>
      <c r="AP12" s="721">
        <v>1350</v>
      </c>
      <c r="AQ12" s="722">
        <f t="shared" si="1"/>
        <v>1350</v>
      </c>
    </row>
    <row r="13" spans="2:62" ht="20.100000000000001" customHeight="1" x14ac:dyDescent="0.15">
      <c r="B13" s="132" t="s">
        <v>380</v>
      </c>
      <c r="C13" s="92"/>
      <c r="D13" s="623"/>
      <c r="E13" s="623"/>
      <c r="F13" s="92"/>
      <c r="G13" s="623"/>
      <c r="H13" s="623"/>
      <c r="I13" s="92"/>
      <c r="J13" s="623"/>
      <c r="K13" s="623"/>
      <c r="L13" s="92"/>
      <c r="M13" s="623"/>
      <c r="N13" s="623"/>
      <c r="O13" s="92"/>
      <c r="P13" s="623"/>
      <c r="Q13" s="623"/>
      <c r="R13" s="92"/>
      <c r="S13" s="623">
        <v>80</v>
      </c>
      <c r="T13" s="623"/>
      <c r="U13" s="92"/>
      <c r="V13" s="623"/>
      <c r="W13" s="623"/>
      <c r="X13" s="92"/>
      <c r="Y13" s="623"/>
      <c r="Z13" s="623"/>
      <c r="AA13" s="92"/>
      <c r="AB13" s="623"/>
      <c r="AC13" s="623"/>
      <c r="AD13" s="92"/>
      <c r="AE13" s="623"/>
      <c r="AF13" s="623"/>
      <c r="AG13" s="92"/>
      <c r="AH13" s="623"/>
      <c r="AI13" s="623"/>
      <c r="AJ13" s="92"/>
      <c r="AK13" s="623"/>
      <c r="AL13" s="623"/>
      <c r="AM13" s="201">
        <f t="shared" si="0"/>
        <v>80</v>
      </c>
      <c r="AO13" s="721"/>
      <c r="AP13" s="721">
        <v>220</v>
      </c>
      <c r="AQ13" s="722">
        <f t="shared" si="1"/>
        <v>220</v>
      </c>
    </row>
    <row r="14" spans="2:62" ht="20.100000000000001" customHeight="1" x14ac:dyDescent="0.15">
      <c r="B14" s="132" t="s">
        <v>381</v>
      </c>
      <c r="C14" s="92"/>
      <c r="D14" s="623"/>
      <c r="E14" s="623"/>
      <c r="F14" s="92"/>
      <c r="G14" s="623"/>
      <c r="H14" s="623"/>
      <c r="I14" s="92"/>
      <c r="J14" s="623"/>
      <c r="K14" s="623">
        <v>5</v>
      </c>
      <c r="L14" s="92"/>
      <c r="M14" s="623"/>
      <c r="N14" s="623"/>
      <c r="O14" s="92">
        <v>10</v>
      </c>
      <c r="P14" s="623"/>
      <c r="Q14" s="623"/>
      <c r="R14" s="92">
        <v>10</v>
      </c>
      <c r="S14" s="623"/>
      <c r="T14" s="623"/>
      <c r="U14" s="92"/>
      <c r="V14" s="623">
        <v>10</v>
      </c>
      <c r="W14" s="623"/>
      <c r="X14" s="92"/>
      <c r="Y14" s="623"/>
      <c r="Z14" s="623"/>
      <c r="AA14" s="92"/>
      <c r="AB14" s="623">
        <v>10</v>
      </c>
      <c r="AC14" s="623"/>
      <c r="AD14" s="92"/>
      <c r="AE14" s="623"/>
      <c r="AF14" s="623"/>
      <c r="AG14" s="92"/>
      <c r="AH14" s="623"/>
      <c r="AI14" s="623"/>
      <c r="AJ14" s="92"/>
      <c r="AK14" s="623"/>
      <c r="AL14" s="623"/>
      <c r="AM14" s="201">
        <f t="shared" si="0"/>
        <v>45</v>
      </c>
      <c r="AO14" s="721"/>
      <c r="AP14" s="721">
        <v>60</v>
      </c>
      <c r="AQ14" s="722">
        <f t="shared" si="1"/>
        <v>60</v>
      </c>
    </row>
    <row r="15" spans="2:62" ht="20.100000000000001" customHeight="1" x14ac:dyDescent="0.15">
      <c r="B15" s="132" t="s">
        <v>382</v>
      </c>
      <c r="C15" s="92"/>
      <c r="D15" s="623"/>
      <c r="E15" s="623"/>
      <c r="F15" s="92"/>
      <c r="G15" s="623">
        <v>4</v>
      </c>
      <c r="H15" s="623">
        <v>3</v>
      </c>
      <c r="I15" s="92">
        <v>2</v>
      </c>
      <c r="J15" s="623">
        <v>2</v>
      </c>
      <c r="K15" s="623">
        <v>2</v>
      </c>
      <c r="L15" s="92">
        <v>2</v>
      </c>
      <c r="M15" s="623">
        <v>2</v>
      </c>
      <c r="N15" s="623">
        <v>2</v>
      </c>
      <c r="O15" s="92">
        <v>2</v>
      </c>
      <c r="P15" s="623">
        <v>2</v>
      </c>
      <c r="Q15" s="623">
        <v>2</v>
      </c>
      <c r="R15" s="92">
        <v>2</v>
      </c>
      <c r="S15" s="623">
        <v>2</v>
      </c>
      <c r="T15" s="623">
        <v>2</v>
      </c>
      <c r="U15" s="92">
        <v>2</v>
      </c>
      <c r="V15" s="623">
        <v>2</v>
      </c>
      <c r="W15" s="623">
        <v>2</v>
      </c>
      <c r="X15" s="92">
        <v>2</v>
      </c>
      <c r="Y15" s="623">
        <v>2</v>
      </c>
      <c r="Z15" s="623">
        <v>2</v>
      </c>
      <c r="AA15" s="92"/>
      <c r="AB15" s="623">
        <v>2</v>
      </c>
      <c r="AC15" s="623"/>
      <c r="AD15" s="92"/>
      <c r="AE15" s="623">
        <v>2</v>
      </c>
      <c r="AF15" s="623"/>
      <c r="AG15" s="92"/>
      <c r="AH15" s="623"/>
      <c r="AI15" s="623"/>
      <c r="AJ15" s="92"/>
      <c r="AK15" s="623"/>
      <c r="AL15" s="623"/>
      <c r="AM15" s="201">
        <f t="shared" si="0"/>
        <v>47</v>
      </c>
      <c r="AO15" s="721"/>
      <c r="AP15" s="721">
        <v>40</v>
      </c>
      <c r="AQ15" s="722">
        <f t="shared" si="1"/>
        <v>40</v>
      </c>
    </row>
    <row r="16" spans="2:62" ht="20.100000000000001" customHeight="1" x14ac:dyDescent="0.15">
      <c r="B16" s="132" t="s">
        <v>383</v>
      </c>
      <c r="C16" s="92"/>
      <c r="D16" s="623"/>
      <c r="E16" s="623"/>
      <c r="F16" s="92"/>
      <c r="G16" s="623"/>
      <c r="H16" s="623"/>
      <c r="I16" s="92"/>
      <c r="J16" s="623"/>
      <c r="K16" s="623"/>
      <c r="L16" s="92"/>
      <c r="M16" s="623"/>
      <c r="N16" s="623"/>
      <c r="O16" s="92"/>
      <c r="P16" s="623"/>
      <c r="Q16" s="623"/>
      <c r="R16" s="92"/>
      <c r="S16" s="623"/>
      <c r="T16" s="623"/>
      <c r="U16" s="92"/>
      <c r="V16" s="623"/>
      <c r="W16" s="623"/>
      <c r="X16" s="92">
        <v>360</v>
      </c>
      <c r="Y16" s="623">
        <v>390</v>
      </c>
      <c r="Z16" s="623">
        <v>330</v>
      </c>
      <c r="AA16" s="92"/>
      <c r="AB16" s="623"/>
      <c r="AC16" s="623"/>
      <c r="AD16" s="92"/>
      <c r="AE16" s="623"/>
      <c r="AF16" s="623"/>
      <c r="AG16" s="92"/>
      <c r="AH16" s="623"/>
      <c r="AI16" s="623"/>
      <c r="AJ16" s="92"/>
      <c r="AK16" s="623"/>
      <c r="AL16" s="623"/>
      <c r="AM16" s="201">
        <f t="shared" si="0"/>
        <v>1080</v>
      </c>
      <c r="AO16" s="721"/>
      <c r="AP16" s="721">
        <v>1800</v>
      </c>
      <c r="AQ16" s="722">
        <f t="shared" si="1"/>
        <v>1800</v>
      </c>
    </row>
    <row r="17" spans="2:43" ht="20.100000000000001" customHeight="1" x14ac:dyDescent="0.15">
      <c r="B17" s="132" t="s">
        <v>384</v>
      </c>
      <c r="C17" s="92"/>
      <c r="D17" s="623"/>
      <c r="E17" s="623"/>
      <c r="F17" s="92"/>
      <c r="G17" s="623"/>
      <c r="H17" s="623"/>
      <c r="I17" s="92"/>
      <c r="J17" s="623"/>
      <c r="K17" s="623"/>
      <c r="L17" s="92"/>
      <c r="M17" s="623"/>
      <c r="N17" s="623"/>
      <c r="O17" s="92"/>
      <c r="P17" s="623"/>
      <c r="Q17" s="623"/>
      <c r="R17" s="92"/>
      <c r="S17" s="623"/>
      <c r="T17" s="623"/>
      <c r="U17" s="92"/>
      <c r="V17" s="623"/>
      <c r="W17" s="623"/>
      <c r="X17" s="92"/>
      <c r="Y17" s="623"/>
      <c r="Z17" s="623"/>
      <c r="AA17" s="92"/>
      <c r="AB17" s="623"/>
      <c r="AC17" s="623"/>
      <c r="AD17" s="92"/>
      <c r="AE17" s="623"/>
      <c r="AF17" s="623">
        <v>20</v>
      </c>
      <c r="AG17" s="92">
        <v>40</v>
      </c>
      <c r="AH17" s="623">
        <v>40</v>
      </c>
      <c r="AI17" s="623">
        <v>20</v>
      </c>
      <c r="AJ17" s="92"/>
      <c r="AK17" s="623"/>
      <c r="AL17" s="623"/>
      <c r="AM17" s="201">
        <f t="shared" si="0"/>
        <v>120</v>
      </c>
      <c r="AO17" s="721"/>
      <c r="AP17" s="721">
        <v>120</v>
      </c>
      <c r="AQ17" s="722">
        <f t="shared" si="1"/>
        <v>120</v>
      </c>
    </row>
    <row r="18" spans="2:43" ht="20.100000000000001" customHeight="1" x14ac:dyDescent="0.15">
      <c r="B18" s="132" t="s">
        <v>385</v>
      </c>
      <c r="C18" s="92"/>
      <c r="D18" s="623"/>
      <c r="E18" s="623">
        <v>260</v>
      </c>
      <c r="F18" s="92">
        <v>260</v>
      </c>
      <c r="G18" s="623">
        <v>120</v>
      </c>
      <c r="H18" s="623"/>
      <c r="I18" s="92"/>
      <c r="J18" s="623"/>
      <c r="K18" s="623"/>
      <c r="L18" s="92"/>
      <c r="M18" s="623"/>
      <c r="N18" s="623">
        <v>80</v>
      </c>
      <c r="O18" s="92"/>
      <c r="P18" s="623"/>
      <c r="Q18" s="623"/>
      <c r="R18" s="92">
        <v>80</v>
      </c>
      <c r="S18" s="623"/>
      <c r="T18" s="623"/>
      <c r="U18" s="92"/>
      <c r="V18" s="623"/>
      <c r="W18" s="623"/>
      <c r="X18" s="92"/>
      <c r="Y18" s="623"/>
      <c r="Z18" s="623"/>
      <c r="AA18" s="92">
        <v>80</v>
      </c>
      <c r="AB18" s="623">
        <v>80</v>
      </c>
      <c r="AC18" s="623"/>
      <c r="AD18" s="92"/>
      <c r="AE18" s="623"/>
      <c r="AF18" s="623"/>
      <c r="AG18" s="92"/>
      <c r="AH18" s="623"/>
      <c r="AI18" s="623"/>
      <c r="AJ18" s="92"/>
      <c r="AK18" s="623"/>
      <c r="AL18" s="623"/>
      <c r="AM18" s="201">
        <f t="shared" si="0"/>
        <v>960</v>
      </c>
      <c r="AO18" s="721"/>
      <c r="AP18" s="721">
        <v>1600</v>
      </c>
      <c r="AQ18" s="723">
        <f t="shared" si="1"/>
        <v>1600</v>
      </c>
    </row>
    <row r="19" spans="2:43" ht="20.100000000000001" customHeight="1" x14ac:dyDescent="0.15">
      <c r="B19" s="132" t="s">
        <v>386</v>
      </c>
      <c r="C19" s="92"/>
      <c r="D19" s="623"/>
      <c r="E19" s="623"/>
      <c r="F19" s="92"/>
      <c r="G19" s="623">
        <v>40</v>
      </c>
      <c r="H19" s="623">
        <v>40</v>
      </c>
      <c r="I19" s="92"/>
      <c r="J19" s="623"/>
      <c r="K19" s="623"/>
      <c r="L19" s="92"/>
      <c r="M19" s="623"/>
      <c r="N19" s="623"/>
      <c r="O19" s="92"/>
      <c r="P19" s="623"/>
      <c r="Q19" s="623"/>
      <c r="R19" s="92"/>
      <c r="S19" s="623"/>
      <c r="T19" s="623"/>
      <c r="U19" s="92"/>
      <c r="V19" s="623"/>
      <c r="W19" s="623"/>
      <c r="X19" s="92"/>
      <c r="Y19" s="623"/>
      <c r="Z19" s="623"/>
      <c r="AA19" s="92"/>
      <c r="AB19" s="623"/>
      <c r="AC19" s="623"/>
      <c r="AD19" s="92"/>
      <c r="AE19" s="623"/>
      <c r="AF19" s="623"/>
      <c r="AG19" s="92"/>
      <c r="AH19" s="623"/>
      <c r="AI19" s="623"/>
      <c r="AJ19" s="92">
        <v>40</v>
      </c>
      <c r="AK19" s="623"/>
      <c r="AL19" s="623"/>
      <c r="AM19" s="201">
        <f t="shared" si="0"/>
        <v>120</v>
      </c>
      <c r="AO19" s="721"/>
      <c r="AP19" s="721">
        <v>310</v>
      </c>
      <c r="AQ19" s="722">
        <f t="shared" si="1"/>
        <v>310</v>
      </c>
    </row>
    <row r="20" spans="2:43" ht="20.100000000000001" customHeight="1" x14ac:dyDescent="0.15">
      <c r="B20" s="132" t="s">
        <v>622</v>
      </c>
      <c r="C20" s="92"/>
      <c r="D20" s="623"/>
      <c r="E20" s="623"/>
      <c r="F20" s="92"/>
      <c r="G20" s="623">
        <v>30</v>
      </c>
      <c r="H20" s="623">
        <v>30</v>
      </c>
      <c r="I20" s="92">
        <v>30</v>
      </c>
      <c r="J20" s="623">
        <v>30</v>
      </c>
      <c r="K20" s="623">
        <v>30</v>
      </c>
      <c r="L20" s="92">
        <v>30</v>
      </c>
      <c r="M20" s="623">
        <v>30</v>
      </c>
      <c r="N20" s="623">
        <v>30</v>
      </c>
      <c r="O20" s="92">
        <v>30</v>
      </c>
      <c r="P20" s="623">
        <v>30</v>
      </c>
      <c r="Q20" s="623">
        <v>30</v>
      </c>
      <c r="R20" s="92">
        <v>30</v>
      </c>
      <c r="S20" s="623"/>
      <c r="T20" s="623"/>
      <c r="U20" s="92"/>
      <c r="V20" s="623"/>
      <c r="W20" s="623"/>
      <c r="X20" s="92"/>
      <c r="Y20" s="623"/>
      <c r="Z20" s="623"/>
      <c r="AA20" s="92"/>
      <c r="AB20" s="623"/>
      <c r="AC20" s="623"/>
      <c r="AD20" s="92"/>
      <c r="AE20" s="623"/>
      <c r="AF20" s="623"/>
      <c r="AG20" s="92"/>
      <c r="AH20" s="623"/>
      <c r="AI20" s="623"/>
      <c r="AJ20" s="92"/>
      <c r="AK20" s="623"/>
      <c r="AL20" s="623"/>
      <c r="AM20" s="201">
        <f t="shared" si="0"/>
        <v>360</v>
      </c>
      <c r="AO20" s="721"/>
      <c r="AP20" s="721">
        <v>40</v>
      </c>
      <c r="AQ20" s="722">
        <f t="shared" ref="AQ20:AQ33" si="2">SUM(AO20:AP20)</f>
        <v>40</v>
      </c>
    </row>
    <row r="21" spans="2:43" ht="20.100000000000001" customHeight="1" x14ac:dyDescent="0.15">
      <c r="B21" s="132"/>
      <c r="C21" s="92"/>
      <c r="D21" s="623"/>
      <c r="E21" s="623"/>
      <c r="F21" s="92"/>
      <c r="G21" s="623"/>
      <c r="H21" s="623"/>
      <c r="I21" s="92"/>
      <c r="J21" s="623"/>
      <c r="K21" s="623"/>
      <c r="L21" s="92"/>
      <c r="M21" s="623"/>
      <c r="N21" s="623"/>
      <c r="O21" s="92"/>
      <c r="P21" s="623"/>
      <c r="Q21" s="623"/>
      <c r="R21" s="92"/>
      <c r="S21" s="623"/>
      <c r="T21" s="623"/>
      <c r="U21" s="92"/>
      <c r="V21" s="623"/>
      <c r="W21" s="623"/>
      <c r="X21" s="92"/>
      <c r="Y21" s="623"/>
      <c r="Z21" s="623"/>
      <c r="AA21" s="92"/>
      <c r="AB21" s="623"/>
      <c r="AC21" s="623"/>
      <c r="AD21" s="92"/>
      <c r="AE21" s="623"/>
      <c r="AF21" s="623"/>
      <c r="AG21" s="92"/>
      <c r="AH21" s="623"/>
      <c r="AI21" s="623"/>
      <c r="AJ21" s="92"/>
      <c r="AK21" s="623"/>
      <c r="AL21" s="623"/>
      <c r="AM21" s="201">
        <f t="shared" si="0"/>
        <v>0</v>
      </c>
      <c r="AO21" s="722"/>
      <c r="AP21" s="722"/>
      <c r="AQ21" s="722">
        <f t="shared" si="2"/>
        <v>0</v>
      </c>
    </row>
    <row r="22" spans="2:43" ht="20.100000000000001" customHeight="1" x14ac:dyDescent="0.15">
      <c r="B22" s="132"/>
      <c r="C22" s="133"/>
      <c r="D22" s="134"/>
      <c r="E22" s="134"/>
      <c r="F22" s="133"/>
      <c r="G22" s="134"/>
      <c r="H22" s="134"/>
      <c r="I22" s="133"/>
      <c r="J22" s="134"/>
      <c r="K22" s="134"/>
      <c r="L22" s="133"/>
      <c r="M22" s="134"/>
      <c r="N22" s="134"/>
      <c r="O22" s="133"/>
      <c r="P22" s="134"/>
      <c r="Q22" s="134"/>
      <c r="R22" s="133"/>
      <c r="S22" s="134"/>
      <c r="T22" s="134"/>
      <c r="U22" s="133"/>
      <c r="V22" s="134"/>
      <c r="W22" s="134"/>
      <c r="X22" s="133"/>
      <c r="Y22" s="134"/>
      <c r="Z22" s="134"/>
      <c r="AA22" s="133"/>
      <c r="AB22" s="134"/>
      <c r="AC22" s="134"/>
      <c r="AD22" s="133"/>
      <c r="AE22" s="134"/>
      <c r="AF22" s="134"/>
      <c r="AG22" s="133"/>
      <c r="AH22" s="134"/>
      <c r="AI22" s="134"/>
      <c r="AJ22" s="133"/>
      <c r="AK22" s="134"/>
      <c r="AL22" s="134"/>
      <c r="AM22" s="135">
        <f t="shared" si="0"/>
        <v>0</v>
      </c>
      <c r="AO22" s="722"/>
      <c r="AP22" s="722"/>
      <c r="AQ22" s="722">
        <f t="shared" si="2"/>
        <v>0</v>
      </c>
    </row>
    <row r="23" spans="2:43" ht="20.100000000000001" customHeight="1" x14ac:dyDescent="0.15">
      <c r="B23" s="132"/>
      <c r="C23" s="133"/>
      <c r="D23" s="134"/>
      <c r="E23" s="134"/>
      <c r="F23" s="133"/>
      <c r="G23" s="134"/>
      <c r="H23" s="134"/>
      <c r="I23" s="133"/>
      <c r="J23" s="134"/>
      <c r="K23" s="134"/>
      <c r="L23" s="133"/>
      <c r="M23" s="134"/>
      <c r="N23" s="134"/>
      <c r="O23" s="133"/>
      <c r="P23" s="134"/>
      <c r="Q23" s="134"/>
      <c r="R23" s="133"/>
      <c r="S23" s="134"/>
      <c r="T23" s="134"/>
      <c r="U23" s="133"/>
      <c r="V23" s="134"/>
      <c r="W23" s="134"/>
      <c r="X23" s="133"/>
      <c r="Y23" s="134"/>
      <c r="Z23" s="134"/>
      <c r="AA23" s="133"/>
      <c r="AB23" s="134"/>
      <c r="AC23" s="134"/>
      <c r="AD23" s="133"/>
      <c r="AE23" s="134"/>
      <c r="AF23" s="134"/>
      <c r="AG23" s="133"/>
      <c r="AH23" s="134"/>
      <c r="AI23" s="134"/>
      <c r="AJ23" s="133"/>
      <c r="AK23" s="134"/>
      <c r="AL23" s="134"/>
      <c r="AM23" s="135">
        <f t="shared" si="0"/>
        <v>0</v>
      </c>
      <c r="AO23" s="722"/>
      <c r="AP23" s="722"/>
      <c r="AQ23" s="722">
        <f t="shared" si="2"/>
        <v>0</v>
      </c>
    </row>
    <row r="24" spans="2:43" ht="20.100000000000001" customHeight="1" x14ac:dyDescent="0.15">
      <c r="B24" s="132"/>
      <c r="C24" s="133"/>
      <c r="D24" s="134"/>
      <c r="E24" s="134"/>
      <c r="F24" s="133"/>
      <c r="G24" s="134"/>
      <c r="H24" s="134"/>
      <c r="I24" s="133"/>
      <c r="J24" s="134"/>
      <c r="K24" s="134"/>
      <c r="L24" s="133"/>
      <c r="M24" s="134"/>
      <c r="N24" s="134"/>
      <c r="O24" s="133"/>
      <c r="P24" s="134"/>
      <c r="Q24" s="134"/>
      <c r="R24" s="133"/>
      <c r="S24" s="134"/>
      <c r="T24" s="134"/>
      <c r="U24" s="133"/>
      <c r="V24" s="134"/>
      <c r="W24" s="134"/>
      <c r="X24" s="133"/>
      <c r="Y24" s="134"/>
      <c r="Z24" s="134"/>
      <c r="AA24" s="133"/>
      <c r="AB24" s="134"/>
      <c r="AC24" s="134"/>
      <c r="AD24" s="133"/>
      <c r="AE24" s="134"/>
      <c r="AF24" s="134"/>
      <c r="AG24" s="133"/>
      <c r="AH24" s="134"/>
      <c r="AI24" s="134"/>
      <c r="AJ24" s="133"/>
      <c r="AK24" s="134"/>
      <c r="AL24" s="134"/>
      <c r="AM24" s="135">
        <f t="shared" si="0"/>
        <v>0</v>
      </c>
      <c r="AO24" s="722"/>
      <c r="AP24" s="722"/>
      <c r="AQ24" s="722">
        <f t="shared" si="2"/>
        <v>0</v>
      </c>
    </row>
    <row r="25" spans="2:43" ht="20.100000000000001" customHeight="1" x14ac:dyDescent="0.15">
      <c r="B25" s="132"/>
      <c r="C25" s="133"/>
      <c r="D25" s="134"/>
      <c r="E25" s="134"/>
      <c r="F25" s="133"/>
      <c r="G25" s="134"/>
      <c r="H25" s="134"/>
      <c r="I25" s="133"/>
      <c r="J25" s="134"/>
      <c r="K25" s="134"/>
      <c r="L25" s="133"/>
      <c r="M25" s="134"/>
      <c r="N25" s="134"/>
      <c r="O25" s="133"/>
      <c r="P25" s="134"/>
      <c r="Q25" s="134"/>
      <c r="R25" s="133"/>
      <c r="S25" s="134"/>
      <c r="T25" s="134"/>
      <c r="U25" s="133"/>
      <c r="V25" s="134"/>
      <c r="W25" s="134"/>
      <c r="X25" s="133"/>
      <c r="Y25" s="134"/>
      <c r="Z25" s="134"/>
      <c r="AA25" s="133"/>
      <c r="AB25" s="134"/>
      <c r="AC25" s="134"/>
      <c r="AD25" s="133"/>
      <c r="AE25" s="134"/>
      <c r="AF25" s="134"/>
      <c r="AG25" s="133"/>
      <c r="AH25" s="134"/>
      <c r="AI25" s="134"/>
      <c r="AJ25" s="133"/>
      <c r="AK25" s="134"/>
      <c r="AL25" s="134"/>
      <c r="AM25" s="135">
        <f t="shared" si="0"/>
        <v>0</v>
      </c>
      <c r="AO25" s="722"/>
      <c r="AP25" s="722"/>
      <c r="AQ25" s="722">
        <f t="shared" si="2"/>
        <v>0</v>
      </c>
    </row>
    <row r="26" spans="2:43" ht="20.100000000000001" customHeight="1" x14ac:dyDescent="0.15">
      <c r="B26" s="132"/>
      <c r="C26" s="133"/>
      <c r="D26" s="134"/>
      <c r="E26" s="134"/>
      <c r="F26" s="133"/>
      <c r="G26" s="134"/>
      <c r="H26" s="134"/>
      <c r="I26" s="133"/>
      <c r="J26" s="134"/>
      <c r="K26" s="134"/>
      <c r="L26" s="133"/>
      <c r="M26" s="134"/>
      <c r="N26" s="134"/>
      <c r="O26" s="133"/>
      <c r="P26" s="134"/>
      <c r="Q26" s="134"/>
      <c r="R26" s="133"/>
      <c r="S26" s="134"/>
      <c r="T26" s="134"/>
      <c r="U26" s="133"/>
      <c r="V26" s="134"/>
      <c r="W26" s="134"/>
      <c r="X26" s="133"/>
      <c r="Y26" s="134"/>
      <c r="Z26" s="134"/>
      <c r="AA26" s="133"/>
      <c r="AB26" s="134"/>
      <c r="AC26" s="134"/>
      <c r="AD26" s="133"/>
      <c r="AE26" s="134"/>
      <c r="AF26" s="134"/>
      <c r="AG26" s="133"/>
      <c r="AH26" s="134"/>
      <c r="AI26" s="134"/>
      <c r="AJ26" s="133"/>
      <c r="AK26" s="134"/>
      <c r="AL26" s="134"/>
      <c r="AM26" s="135">
        <f t="shared" si="0"/>
        <v>0</v>
      </c>
      <c r="AO26" s="722"/>
      <c r="AP26" s="722"/>
      <c r="AQ26" s="722">
        <f t="shared" si="2"/>
        <v>0</v>
      </c>
    </row>
    <row r="27" spans="2:43" ht="20.100000000000001" customHeight="1" x14ac:dyDescent="0.15">
      <c r="B27" s="132"/>
      <c r="C27" s="133"/>
      <c r="D27" s="134"/>
      <c r="E27" s="134"/>
      <c r="F27" s="133"/>
      <c r="G27" s="134"/>
      <c r="H27" s="134"/>
      <c r="I27" s="133"/>
      <c r="J27" s="134"/>
      <c r="K27" s="134"/>
      <c r="L27" s="133"/>
      <c r="M27" s="134"/>
      <c r="N27" s="134"/>
      <c r="O27" s="133"/>
      <c r="P27" s="134"/>
      <c r="Q27" s="134"/>
      <c r="R27" s="133"/>
      <c r="S27" s="134"/>
      <c r="T27" s="134"/>
      <c r="U27" s="133"/>
      <c r="V27" s="134"/>
      <c r="W27" s="134"/>
      <c r="X27" s="133"/>
      <c r="Y27" s="134"/>
      <c r="Z27" s="134"/>
      <c r="AA27" s="133"/>
      <c r="AB27" s="134"/>
      <c r="AC27" s="134"/>
      <c r="AD27" s="133"/>
      <c r="AE27" s="134"/>
      <c r="AF27" s="134"/>
      <c r="AG27" s="133"/>
      <c r="AH27" s="134"/>
      <c r="AI27" s="134"/>
      <c r="AJ27" s="133"/>
      <c r="AK27" s="134"/>
      <c r="AL27" s="134"/>
      <c r="AM27" s="135">
        <f t="shared" si="0"/>
        <v>0</v>
      </c>
      <c r="AO27" s="722"/>
      <c r="AP27" s="722"/>
      <c r="AQ27" s="722">
        <f t="shared" si="2"/>
        <v>0</v>
      </c>
    </row>
    <row r="28" spans="2:43" ht="20.100000000000001" customHeight="1" x14ac:dyDescent="0.15">
      <c r="B28" s="132"/>
      <c r="C28" s="133"/>
      <c r="D28" s="134"/>
      <c r="E28" s="134"/>
      <c r="F28" s="133"/>
      <c r="G28" s="134"/>
      <c r="H28" s="134"/>
      <c r="I28" s="133"/>
      <c r="J28" s="134"/>
      <c r="K28" s="134"/>
      <c r="L28" s="133"/>
      <c r="M28" s="134"/>
      <c r="N28" s="134"/>
      <c r="O28" s="133"/>
      <c r="P28" s="134"/>
      <c r="Q28" s="134"/>
      <c r="R28" s="133"/>
      <c r="S28" s="134"/>
      <c r="T28" s="134"/>
      <c r="U28" s="133"/>
      <c r="V28" s="134"/>
      <c r="W28" s="134"/>
      <c r="X28" s="133"/>
      <c r="Y28" s="134"/>
      <c r="Z28" s="134"/>
      <c r="AA28" s="133"/>
      <c r="AB28" s="134"/>
      <c r="AC28" s="134"/>
      <c r="AD28" s="133"/>
      <c r="AE28" s="134"/>
      <c r="AF28" s="134"/>
      <c r="AG28" s="133"/>
      <c r="AH28" s="134"/>
      <c r="AI28" s="134"/>
      <c r="AJ28" s="133"/>
      <c r="AK28" s="134"/>
      <c r="AL28" s="134"/>
      <c r="AM28" s="135">
        <f t="shared" si="0"/>
        <v>0</v>
      </c>
      <c r="AO28" s="722"/>
      <c r="AP28" s="722"/>
      <c r="AQ28" s="722">
        <f t="shared" si="2"/>
        <v>0</v>
      </c>
    </row>
    <row r="29" spans="2:43" ht="20.100000000000001" customHeight="1" x14ac:dyDescent="0.15">
      <c r="B29" s="132"/>
      <c r="C29" s="133"/>
      <c r="D29" s="134"/>
      <c r="E29" s="134"/>
      <c r="F29" s="133"/>
      <c r="G29" s="134"/>
      <c r="H29" s="134"/>
      <c r="I29" s="133"/>
      <c r="J29" s="134"/>
      <c r="K29" s="134"/>
      <c r="L29" s="133"/>
      <c r="M29" s="134"/>
      <c r="N29" s="134"/>
      <c r="O29" s="133"/>
      <c r="P29" s="134"/>
      <c r="Q29" s="134"/>
      <c r="R29" s="133"/>
      <c r="S29" s="134"/>
      <c r="T29" s="134"/>
      <c r="U29" s="133"/>
      <c r="V29" s="134"/>
      <c r="W29" s="134"/>
      <c r="X29" s="133"/>
      <c r="Y29" s="134"/>
      <c r="Z29" s="134"/>
      <c r="AA29" s="133"/>
      <c r="AB29" s="134"/>
      <c r="AC29" s="134"/>
      <c r="AD29" s="133"/>
      <c r="AE29" s="134"/>
      <c r="AF29" s="134"/>
      <c r="AG29" s="133"/>
      <c r="AH29" s="134"/>
      <c r="AI29" s="134"/>
      <c r="AJ29" s="133"/>
      <c r="AK29" s="134"/>
      <c r="AL29" s="134"/>
      <c r="AM29" s="135">
        <f t="shared" si="0"/>
        <v>0</v>
      </c>
      <c r="AO29" s="722"/>
      <c r="AP29" s="722"/>
      <c r="AQ29" s="722">
        <f t="shared" si="2"/>
        <v>0</v>
      </c>
    </row>
    <row r="30" spans="2:43" ht="20.100000000000001" customHeight="1" x14ac:dyDescent="0.15">
      <c r="B30" s="132"/>
      <c r="C30" s="133"/>
      <c r="D30" s="134"/>
      <c r="E30" s="134"/>
      <c r="F30" s="133"/>
      <c r="G30" s="134"/>
      <c r="H30" s="134"/>
      <c r="I30" s="133"/>
      <c r="J30" s="134"/>
      <c r="K30" s="134"/>
      <c r="L30" s="133"/>
      <c r="M30" s="134"/>
      <c r="N30" s="134"/>
      <c r="O30" s="133"/>
      <c r="P30" s="134"/>
      <c r="Q30" s="134"/>
      <c r="R30" s="133"/>
      <c r="S30" s="134"/>
      <c r="T30" s="134"/>
      <c r="U30" s="133"/>
      <c r="V30" s="134"/>
      <c r="W30" s="134"/>
      <c r="X30" s="133"/>
      <c r="Y30" s="134"/>
      <c r="Z30" s="134"/>
      <c r="AA30" s="133"/>
      <c r="AB30" s="134"/>
      <c r="AC30" s="134"/>
      <c r="AD30" s="133"/>
      <c r="AE30" s="134"/>
      <c r="AF30" s="134"/>
      <c r="AG30" s="133"/>
      <c r="AH30" s="134"/>
      <c r="AI30" s="134"/>
      <c r="AJ30" s="133"/>
      <c r="AK30" s="134"/>
      <c r="AL30" s="134"/>
      <c r="AM30" s="135">
        <f t="shared" si="0"/>
        <v>0</v>
      </c>
      <c r="AO30" s="722"/>
      <c r="AP30" s="722"/>
      <c r="AQ30" s="722">
        <f t="shared" si="2"/>
        <v>0</v>
      </c>
    </row>
    <row r="31" spans="2:43" ht="20.100000000000001" customHeight="1" x14ac:dyDescent="0.15">
      <c r="B31" s="132"/>
      <c r="C31" s="133"/>
      <c r="D31" s="134"/>
      <c r="E31" s="134"/>
      <c r="F31" s="133"/>
      <c r="G31" s="134"/>
      <c r="H31" s="134"/>
      <c r="I31" s="133"/>
      <c r="J31" s="134"/>
      <c r="K31" s="134"/>
      <c r="L31" s="133"/>
      <c r="M31" s="134"/>
      <c r="N31" s="134"/>
      <c r="O31" s="133"/>
      <c r="P31" s="134"/>
      <c r="Q31" s="134"/>
      <c r="R31" s="133"/>
      <c r="S31" s="134"/>
      <c r="T31" s="134"/>
      <c r="U31" s="133"/>
      <c r="V31" s="134"/>
      <c r="W31" s="134"/>
      <c r="X31" s="133"/>
      <c r="Y31" s="134"/>
      <c r="Z31" s="134"/>
      <c r="AA31" s="133"/>
      <c r="AB31" s="134"/>
      <c r="AC31" s="134"/>
      <c r="AD31" s="133"/>
      <c r="AE31" s="134"/>
      <c r="AF31" s="134"/>
      <c r="AG31" s="133"/>
      <c r="AH31" s="134"/>
      <c r="AI31" s="134"/>
      <c r="AJ31" s="133"/>
      <c r="AK31" s="134"/>
      <c r="AL31" s="134"/>
      <c r="AM31" s="135">
        <f t="shared" si="0"/>
        <v>0</v>
      </c>
      <c r="AO31" s="722"/>
      <c r="AP31" s="722"/>
      <c r="AQ31" s="722">
        <f t="shared" si="2"/>
        <v>0</v>
      </c>
    </row>
    <row r="32" spans="2:43" ht="20.100000000000001" customHeight="1" x14ac:dyDescent="0.15">
      <c r="B32" s="132"/>
      <c r="C32" s="133"/>
      <c r="D32" s="134"/>
      <c r="E32" s="134"/>
      <c r="F32" s="133"/>
      <c r="G32" s="134"/>
      <c r="H32" s="134"/>
      <c r="I32" s="133"/>
      <c r="J32" s="134"/>
      <c r="K32" s="134"/>
      <c r="L32" s="133"/>
      <c r="M32" s="134"/>
      <c r="N32" s="134"/>
      <c r="O32" s="133"/>
      <c r="P32" s="134"/>
      <c r="Q32" s="134"/>
      <c r="R32" s="133"/>
      <c r="S32" s="134"/>
      <c r="T32" s="134"/>
      <c r="U32" s="133"/>
      <c r="V32" s="134"/>
      <c r="W32" s="134"/>
      <c r="X32" s="133"/>
      <c r="Y32" s="134"/>
      <c r="Z32" s="134"/>
      <c r="AA32" s="133"/>
      <c r="AB32" s="134"/>
      <c r="AC32" s="134"/>
      <c r="AD32" s="133"/>
      <c r="AE32" s="134"/>
      <c r="AF32" s="134"/>
      <c r="AG32" s="133"/>
      <c r="AH32" s="134"/>
      <c r="AI32" s="134"/>
      <c r="AJ32" s="133"/>
      <c r="AK32" s="134"/>
      <c r="AL32" s="134"/>
      <c r="AM32" s="135">
        <f t="shared" si="0"/>
        <v>0</v>
      </c>
      <c r="AO32" s="722"/>
      <c r="AP32" s="722"/>
      <c r="AQ32" s="722">
        <f t="shared" si="2"/>
        <v>0</v>
      </c>
    </row>
    <row r="33" spans="2:43" ht="20.100000000000001" customHeight="1" x14ac:dyDescent="0.15">
      <c r="B33" s="136" t="s">
        <v>114</v>
      </c>
      <c r="C33" s="133">
        <f t="shared" ref="C33:AL33" si="3">SUM(C8:C32)</f>
        <v>20</v>
      </c>
      <c r="D33" s="137">
        <f t="shared" si="3"/>
        <v>20</v>
      </c>
      <c r="E33" s="138">
        <f t="shared" si="3"/>
        <v>260</v>
      </c>
      <c r="F33" s="133">
        <f t="shared" si="3"/>
        <v>275</v>
      </c>
      <c r="G33" s="137">
        <f t="shared" si="3"/>
        <v>199</v>
      </c>
      <c r="H33" s="138">
        <f t="shared" si="3"/>
        <v>73</v>
      </c>
      <c r="I33" s="133">
        <f t="shared" si="3"/>
        <v>32</v>
      </c>
      <c r="J33" s="137">
        <f t="shared" si="3"/>
        <v>37</v>
      </c>
      <c r="K33" s="138">
        <f t="shared" si="3"/>
        <v>72</v>
      </c>
      <c r="L33" s="133">
        <f t="shared" si="3"/>
        <v>67</v>
      </c>
      <c r="M33" s="137">
        <f t="shared" si="3"/>
        <v>67</v>
      </c>
      <c r="N33" s="138">
        <f t="shared" si="3"/>
        <v>352</v>
      </c>
      <c r="O33" s="133">
        <f t="shared" si="3"/>
        <v>227</v>
      </c>
      <c r="P33" s="137">
        <f t="shared" si="3"/>
        <v>182</v>
      </c>
      <c r="Q33" s="138">
        <f t="shared" si="3"/>
        <v>337</v>
      </c>
      <c r="R33" s="133">
        <f t="shared" si="3"/>
        <v>362</v>
      </c>
      <c r="S33" s="137">
        <f t="shared" si="3"/>
        <v>177</v>
      </c>
      <c r="T33" s="138">
        <f t="shared" si="3"/>
        <v>7</v>
      </c>
      <c r="U33" s="133">
        <f t="shared" si="3"/>
        <v>7</v>
      </c>
      <c r="V33" s="137">
        <f t="shared" si="3"/>
        <v>12</v>
      </c>
      <c r="W33" s="138">
        <f t="shared" si="3"/>
        <v>2</v>
      </c>
      <c r="X33" s="133">
        <f t="shared" si="3"/>
        <v>362</v>
      </c>
      <c r="Y33" s="137">
        <f t="shared" si="3"/>
        <v>392</v>
      </c>
      <c r="Z33" s="138">
        <f t="shared" si="3"/>
        <v>332</v>
      </c>
      <c r="AA33" s="133">
        <f t="shared" si="3"/>
        <v>85</v>
      </c>
      <c r="AB33" s="137">
        <f t="shared" si="3"/>
        <v>92</v>
      </c>
      <c r="AC33" s="138">
        <f t="shared" si="3"/>
        <v>5</v>
      </c>
      <c r="AD33" s="133">
        <f t="shared" si="3"/>
        <v>15</v>
      </c>
      <c r="AE33" s="137">
        <f t="shared" si="3"/>
        <v>2</v>
      </c>
      <c r="AF33" s="138">
        <f t="shared" si="3"/>
        <v>20</v>
      </c>
      <c r="AG33" s="133">
        <f t="shared" si="3"/>
        <v>40</v>
      </c>
      <c r="AH33" s="137">
        <f t="shared" si="3"/>
        <v>40</v>
      </c>
      <c r="AI33" s="138">
        <f t="shared" si="3"/>
        <v>80</v>
      </c>
      <c r="AJ33" s="133">
        <f t="shared" si="3"/>
        <v>100</v>
      </c>
      <c r="AK33" s="137">
        <f t="shared" si="3"/>
        <v>40</v>
      </c>
      <c r="AL33" s="138">
        <f t="shared" si="3"/>
        <v>0</v>
      </c>
      <c r="AM33" s="135">
        <f t="shared" si="0"/>
        <v>4392</v>
      </c>
      <c r="AO33" s="722"/>
      <c r="AP33" s="722"/>
      <c r="AQ33" s="722">
        <f t="shared" si="2"/>
        <v>0</v>
      </c>
    </row>
    <row r="34" spans="2:43" ht="20.100000000000001" customHeight="1" thickBot="1" x14ac:dyDescent="0.2">
      <c r="B34" s="139" t="s">
        <v>115</v>
      </c>
      <c r="C34" s="140"/>
      <c r="D34" s="141">
        <f>SUM(C33:E33)</f>
        <v>300</v>
      </c>
      <c r="E34" s="141"/>
      <c r="F34" s="140"/>
      <c r="G34" s="141">
        <f>SUM(F33:H33)</f>
        <v>547</v>
      </c>
      <c r="H34" s="141"/>
      <c r="I34" s="140"/>
      <c r="J34" s="141">
        <f>SUM(I33:K33)</f>
        <v>141</v>
      </c>
      <c r="K34" s="141"/>
      <c r="L34" s="140"/>
      <c r="M34" s="141">
        <f>SUM(L33:N33)</f>
        <v>486</v>
      </c>
      <c r="N34" s="141"/>
      <c r="O34" s="140"/>
      <c r="P34" s="141">
        <f>SUM(O33:Q33)</f>
        <v>746</v>
      </c>
      <c r="Q34" s="141"/>
      <c r="R34" s="140"/>
      <c r="S34" s="141">
        <f>SUM(R33:T33)</f>
        <v>546</v>
      </c>
      <c r="T34" s="141"/>
      <c r="U34" s="140"/>
      <c r="V34" s="141">
        <f>SUM(U33:W33)</f>
        <v>21</v>
      </c>
      <c r="W34" s="141"/>
      <c r="X34" s="140"/>
      <c r="Y34" s="141">
        <f>SUM(X33:Z33)</f>
        <v>1086</v>
      </c>
      <c r="Z34" s="141"/>
      <c r="AA34" s="140"/>
      <c r="AB34" s="141">
        <f>SUM(AA33:AC33)</f>
        <v>182</v>
      </c>
      <c r="AC34" s="141"/>
      <c r="AD34" s="140"/>
      <c r="AE34" s="141">
        <f>SUM(AD33:AF33)</f>
        <v>37</v>
      </c>
      <c r="AF34" s="141"/>
      <c r="AG34" s="140"/>
      <c r="AH34" s="141">
        <f>SUM(AG33:AI33)</f>
        <v>160</v>
      </c>
      <c r="AI34" s="141"/>
      <c r="AJ34" s="140"/>
      <c r="AK34" s="141">
        <f>SUM(AJ33:AL33)</f>
        <v>140</v>
      </c>
      <c r="AL34" s="141"/>
      <c r="AM34" s="142">
        <f>SUM(AM8:AM32)</f>
        <v>4392</v>
      </c>
      <c r="AO34" s="722">
        <f>SUM(AO8:AO32)</f>
        <v>100</v>
      </c>
      <c r="AP34" s="722">
        <f t="shared" ref="AP34" si="4">SUM(AP8:AP32)</f>
        <v>6490</v>
      </c>
      <c r="AQ34" s="722">
        <f>SUM(AQ8:AQ33)</f>
        <v>6590</v>
      </c>
    </row>
    <row r="37" spans="2:43" ht="14.25" thickBot="1" x14ac:dyDescent="0.2"/>
    <row r="38" spans="2:43" ht="14.25" thickBot="1" x14ac:dyDescent="0.2">
      <c r="B38" s="1" t="s">
        <v>648</v>
      </c>
      <c r="C38" s="635">
        <f>'４　経営収支'!I4</f>
        <v>1</v>
      </c>
      <c r="D38" s="1" t="s">
        <v>651</v>
      </c>
    </row>
    <row r="39" spans="2:43" ht="14.25" thickBot="1" x14ac:dyDescent="0.2"/>
    <row r="40" spans="2:43" x14ac:dyDescent="0.15">
      <c r="B40" s="636" t="s">
        <v>649</v>
      </c>
      <c r="C40" s="982">
        <v>1</v>
      </c>
      <c r="D40" s="983"/>
      <c r="E40" s="984"/>
      <c r="F40" s="982">
        <v>2</v>
      </c>
      <c r="G40" s="983"/>
      <c r="H40" s="984"/>
      <c r="I40" s="982">
        <v>3</v>
      </c>
      <c r="J40" s="983"/>
      <c r="K40" s="984"/>
      <c r="L40" s="982">
        <v>4</v>
      </c>
      <c r="M40" s="983"/>
      <c r="N40" s="984"/>
      <c r="O40" s="982">
        <v>5</v>
      </c>
      <c r="P40" s="983"/>
      <c r="Q40" s="984"/>
      <c r="R40" s="982">
        <v>6</v>
      </c>
      <c r="S40" s="983"/>
      <c r="T40" s="984"/>
      <c r="U40" s="982">
        <v>7</v>
      </c>
      <c r="V40" s="983"/>
      <c r="W40" s="984"/>
      <c r="X40" s="982">
        <v>8</v>
      </c>
      <c r="Y40" s="983"/>
      <c r="Z40" s="984"/>
      <c r="AA40" s="982">
        <v>9</v>
      </c>
      <c r="AB40" s="983"/>
      <c r="AC40" s="984"/>
      <c r="AD40" s="982">
        <v>10</v>
      </c>
      <c r="AE40" s="983"/>
      <c r="AF40" s="984"/>
      <c r="AG40" s="982">
        <v>11</v>
      </c>
      <c r="AH40" s="983"/>
      <c r="AI40" s="984"/>
      <c r="AJ40" s="982">
        <v>12</v>
      </c>
      <c r="AK40" s="983"/>
      <c r="AL40" s="984"/>
      <c r="AM40" s="985" t="s">
        <v>33</v>
      </c>
    </row>
    <row r="41" spans="2:43" x14ac:dyDescent="0.15">
      <c r="B41" s="637"/>
      <c r="C41" s="628" t="s">
        <v>34</v>
      </c>
      <c r="D41" s="124" t="s">
        <v>35</v>
      </c>
      <c r="E41" s="125" t="s">
        <v>36</v>
      </c>
      <c r="F41" s="628" t="s">
        <v>34</v>
      </c>
      <c r="G41" s="125" t="s">
        <v>35</v>
      </c>
      <c r="H41" s="125" t="s">
        <v>36</v>
      </c>
      <c r="I41" s="628" t="s">
        <v>34</v>
      </c>
      <c r="J41" s="125" t="s">
        <v>35</v>
      </c>
      <c r="K41" s="125" t="s">
        <v>36</v>
      </c>
      <c r="L41" s="628" t="s">
        <v>34</v>
      </c>
      <c r="M41" s="125" t="s">
        <v>35</v>
      </c>
      <c r="N41" s="125" t="s">
        <v>36</v>
      </c>
      <c r="O41" s="628" t="s">
        <v>34</v>
      </c>
      <c r="P41" s="125" t="s">
        <v>35</v>
      </c>
      <c r="Q41" s="125" t="s">
        <v>36</v>
      </c>
      <c r="R41" s="628" t="s">
        <v>34</v>
      </c>
      <c r="S41" s="629" t="s">
        <v>35</v>
      </c>
      <c r="T41" s="629" t="s">
        <v>36</v>
      </c>
      <c r="U41" s="628" t="s">
        <v>34</v>
      </c>
      <c r="V41" s="125" t="s">
        <v>35</v>
      </c>
      <c r="W41" s="125" t="s">
        <v>36</v>
      </c>
      <c r="X41" s="628" t="s">
        <v>34</v>
      </c>
      <c r="Y41" s="125" t="s">
        <v>35</v>
      </c>
      <c r="Z41" s="125" t="s">
        <v>36</v>
      </c>
      <c r="AA41" s="628" t="s">
        <v>34</v>
      </c>
      <c r="AB41" s="125" t="s">
        <v>35</v>
      </c>
      <c r="AC41" s="125" t="s">
        <v>36</v>
      </c>
      <c r="AD41" s="628" t="s">
        <v>34</v>
      </c>
      <c r="AE41" s="125" t="s">
        <v>35</v>
      </c>
      <c r="AF41" s="125" t="s">
        <v>36</v>
      </c>
      <c r="AG41" s="628" t="s">
        <v>34</v>
      </c>
      <c r="AH41" s="125" t="s">
        <v>35</v>
      </c>
      <c r="AI41" s="125" t="s">
        <v>36</v>
      </c>
      <c r="AJ41" s="628" t="s">
        <v>34</v>
      </c>
      <c r="AK41" s="125" t="s">
        <v>35</v>
      </c>
      <c r="AL41" s="125" t="s">
        <v>36</v>
      </c>
      <c r="AM41" s="986"/>
    </row>
    <row r="42" spans="2:43" x14ac:dyDescent="0.15">
      <c r="B42" s="638" t="s">
        <v>650</v>
      </c>
      <c r="C42" s="630">
        <f>C33*$C$38</f>
        <v>20</v>
      </c>
      <c r="D42" s="630">
        <f t="shared" ref="D42:AL42" si="5">D33*$C$38</f>
        <v>20</v>
      </c>
      <c r="E42" s="630">
        <f t="shared" si="5"/>
        <v>260</v>
      </c>
      <c r="F42" s="630">
        <f t="shared" si="5"/>
        <v>275</v>
      </c>
      <c r="G42" s="630">
        <f t="shared" si="5"/>
        <v>199</v>
      </c>
      <c r="H42" s="630">
        <f t="shared" si="5"/>
        <v>73</v>
      </c>
      <c r="I42" s="630">
        <f t="shared" si="5"/>
        <v>32</v>
      </c>
      <c r="J42" s="630">
        <f t="shared" si="5"/>
        <v>37</v>
      </c>
      <c r="K42" s="630">
        <f t="shared" si="5"/>
        <v>72</v>
      </c>
      <c r="L42" s="630">
        <f t="shared" si="5"/>
        <v>67</v>
      </c>
      <c r="M42" s="630">
        <f t="shared" si="5"/>
        <v>67</v>
      </c>
      <c r="N42" s="630">
        <f t="shared" si="5"/>
        <v>352</v>
      </c>
      <c r="O42" s="630">
        <f t="shared" si="5"/>
        <v>227</v>
      </c>
      <c r="P42" s="630">
        <f t="shared" si="5"/>
        <v>182</v>
      </c>
      <c r="Q42" s="630">
        <f t="shared" si="5"/>
        <v>337</v>
      </c>
      <c r="R42" s="630">
        <f t="shared" si="5"/>
        <v>362</v>
      </c>
      <c r="S42" s="630">
        <f t="shared" si="5"/>
        <v>177</v>
      </c>
      <c r="T42" s="630">
        <f t="shared" si="5"/>
        <v>7</v>
      </c>
      <c r="U42" s="630">
        <f t="shared" si="5"/>
        <v>7</v>
      </c>
      <c r="V42" s="630">
        <f t="shared" si="5"/>
        <v>12</v>
      </c>
      <c r="W42" s="630">
        <f t="shared" si="5"/>
        <v>2</v>
      </c>
      <c r="X42" s="630">
        <f t="shared" si="5"/>
        <v>362</v>
      </c>
      <c r="Y42" s="630">
        <f t="shared" si="5"/>
        <v>392</v>
      </c>
      <c r="Z42" s="630">
        <f t="shared" si="5"/>
        <v>332</v>
      </c>
      <c r="AA42" s="630">
        <f t="shared" si="5"/>
        <v>85</v>
      </c>
      <c r="AB42" s="630">
        <f t="shared" si="5"/>
        <v>92</v>
      </c>
      <c r="AC42" s="630">
        <f t="shared" si="5"/>
        <v>5</v>
      </c>
      <c r="AD42" s="630">
        <f t="shared" si="5"/>
        <v>15</v>
      </c>
      <c r="AE42" s="630">
        <f t="shared" si="5"/>
        <v>2</v>
      </c>
      <c r="AF42" s="630">
        <f t="shared" si="5"/>
        <v>20</v>
      </c>
      <c r="AG42" s="630">
        <f t="shared" si="5"/>
        <v>40</v>
      </c>
      <c r="AH42" s="630">
        <f t="shared" si="5"/>
        <v>40</v>
      </c>
      <c r="AI42" s="630">
        <f t="shared" si="5"/>
        <v>80</v>
      </c>
      <c r="AJ42" s="630">
        <f t="shared" si="5"/>
        <v>100</v>
      </c>
      <c r="AK42" s="630">
        <f t="shared" si="5"/>
        <v>40</v>
      </c>
      <c r="AL42" s="630">
        <f t="shared" si="5"/>
        <v>0</v>
      </c>
      <c r="AM42" s="631">
        <f t="shared" ref="AM42" si="6">SUM(C42:AL42)</f>
        <v>4392</v>
      </c>
    </row>
  </sheetData>
  <mergeCells count="28">
    <mergeCell ref="AG40:AI40"/>
    <mergeCell ref="AJ40:AL40"/>
    <mergeCell ref="AM40:AM41"/>
    <mergeCell ref="R40:T40"/>
    <mergeCell ref="U40:W40"/>
    <mergeCell ref="X40:Z40"/>
    <mergeCell ref="AA40:AC40"/>
    <mergeCell ref="AD40:AF40"/>
    <mergeCell ref="C40:E40"/>
    <mergeCell ref="F40:H40"/>
    <mergeCell ref="I40:K40"/>
    <mergeCell ref="L40:N40"/>
    <mergeCell ref="O40:Q40"/>
    <mergeCell ref="AJ3:AL3"/>
    <mergeCell ref="AM3:AM4"/>
    <mergeCell ref="B5:B7"/>
    <mergeCell ref="R3:T3"/>
    <mergeCell ref="U3:W3"/>
    <mergeCell ref="X3:Z3"/>
    <mergeCell ref="AA3:AC3"/>
    <mergeCell ref="AD3:AF3"/>
    <mergeCell ref="AG3:AI3"/>
    <mergeCell ref="B3:B4"/>
    <mergeCell ref="C3:E3"/>
    <mergeCell ref="F3:H3"/>
    <mergeCell ref="I3:K3"/>
    <mergeCell ref="L3:N3"/>
    <mergeCell ref="O3:Q3"/>
  </mergeCells>
  <phoneticPr fontId="5"/>
  <pageMargins left="0.78740157480314965" right="0.78740157480314965" top="0.78740157480314965" bottom="0.78740157480314965" header="0.39370078740157483" footer="0.39370078740157483"/>
  <pageSetup paperSize="9" scale="51" orientation="landscape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J42"/>
  <sheetViews>
    <sheetView zoomScale="75" zoomScaleNormal="75" zoomScaleSheetLayoutView="63" workbookViewId="0"/>
  </sheetViews>
  <sheetFormatPr defaultRowHeight="13.5" x14ac:dyDescent="0.15"/>
  <cols>
    <col min="1" max="1" width="1.625" style="93" customWidth="1"/>
    <col min="2" max="2" width="22.625" style="93" customWidth="1"/>
    <col min="3" max="38" width="6.125" style="93" customWidth="1"/>
    <col min="39" max="39" width="7" style="93" customWidth="1"/>
    <col min="40" max="40" width="1.5" style="93" customWidth="1"/>
    <col min="41" max="44" width="0" style="93" hidden="1" customWidth="1"/>
    <col min="45" max="16384" width="9" style="93"/>
  </cols>
  <sheetData>
    <row r="1" spans="2:62" ht="9.9499999999999993" customHeight="1" x14ac:dyDescent="0.15"/>
    <row r="2" spans="2:62" ht="24.95" customHeight="1" thickBot="1" x14ac:dyDescent="0.2">
      <c r="B2" s="13" t="s">
        <v>750</v>
      </c>
      <c r="C2" s="13"/>
      <c r="D2" s="13"/>
      <c r="E2" s="13"/>
      <c r="F2" s="13"/>
      <c r="G2" s="13"/>
      <c r="H2" s="13"/>
      <c r="I2" s="13"/>
      <c r="J2" s="13"/>
      <c r="K2" s="371" t="s">
        <v>264</v>
      </c>
      <c r="L2" s="555" t="s">
        <v>501</v>
      </c>
      <c r="M2" s="144"/>
      <c r="N2" s="371" t="s">
        <v>265</v>
      </c>
      <c r="O2" s="370" t="s">
        <v>484</v>
      </c>
      <c r="P2" s="13"/>
      <c r="Q2" s="13"/>
      <c r="R2" s="13"/>
      <c r="S2" s="13"/>
      <c r="T2" s="13"/>
      <c r="U2" s="13"/>
      <c r="V2" s="95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</row>
    <row r="3" spans="2:62" ht="20.100000000000001" customHeight="1" x14ac:dyDescent="0.15">
      <c r="B3" s="981" t="s">
        <v>112</v>
      </c>
      <c r="C3" s="973">
        <v>1</v>
      </c>
      <c r="D3" s="974"/>
      <c r="E3" s="975"/>
      <c r="F3" s="973">
        <v>2</v>
      </c>
      <c r="G3" s="974"/>
      <c r="H3" s="975"/>
      <c r="I3" s="973">
        <v>3</v>
      </c>
      <c r="J3" s="974"/>
      <c r="K3" s="975"/>
      <c r="L3" s="973">
        <v>4</v>
      </c>
      <c r="M3" s="974"/>
      <c r="N3" s="975"/>
      <c r="O3" s="973">
        <v>5</v>
      </c>
      <c r="P3" s="974"/>
      <c r="Q3" s="975"/>
      <c r="R3" s="973">
        <v>6</v>
      </c>
      <c r="S3" s="974"/>
      <c r="T3" s="975"/>
      <c r="U3" s="973">
        <v>7</v>
      </c>
      <c r="V3" s="974"/>
      <c r="W3" s="975"/>
      <c r="X3" s="973">
        <v>8</v>
      </c>
      <c r="Y3" s="974"/>
      <c r="Z3" s="975"/>
      <c r="AA3" s="973">
        <v>9</v>
      </c>
      <c r="AB3" s="974"/>
      <c r="AC3" s="975"/>
      <c r="AD3" s="973">
        <v>10</v>
      </c>
      <c r="AE3" s="974"/>
      <c r="AF3" s="975"/>
      <c r="AG3" s="973">
        <v>11</v>
      </c>
      <c r="AH3" s="974"/>
      <c r="AI3" s="975"/>
      <c r="AJ3" s="973">
        <v>12</v>
      </c>
      <c r="AK3" s="974"/>
      <c r="AL3" s="975"/>
      <c r="AM3" s="976" t="s">
        <v>33</v>
      </c>
      <c r="AO3" s="718" t="s">
        <v>645</v>
      </c>
      <c r="AP3" s="718" t="s">
        <v>646</v>
      </c>
      <c r="AQ3" s="718" t="s">
        <v>24</v>
      </c>
    </row>
    <row r="4" spans="2:62" ht="20.100000000000001" customHeight="1" x14ac:dyDescent="0.15">
      <c r="B4" s="980"/>
      <c r="C4" s="123" t="s">
        <v>34</v>
      </c>
      <c r="D4" s="124" t="s">
        <v>35</v>
      </c>
      <c r="E4" s="125" t="s">
        <v>36</v>
      </c>
      <c r="F4" s="123" t="s">
        <v>34</v>
      </c>
      <c r="G4" s="125" t="s">
        <v>35</v>
      </c>
      <c r="H4" s="125" t="s">
        <v>36</v>
      </c>
      <c r="I4" s="123" t="s">
        <v>34</v>
      </c>
      <c r="J4" s="125" t="s">
        <v>35</v>
      </c>
      <c r="K4" s="125" t="s">
        <v>36</v>
      </c>
      <c r="L4" s="123" t="s">
        <v>34</v>
      </c>
      <c r="M4" s="125" t="s">
        <v>35</v>
      </c>
      <c r="N4" s="125" t="s">
        <v>36</v>
      </c>
      <c r="O4" s="123" t="s">
        <v>34</v>
      </c>
      <c r="P4" s="125" t="s">
        <v>35</v>
      </c>
      <c r="Q4" s="125" t="s">
        <v>36</v>
      </c>
      <c r="R4" s="123" t="s">
        <v>34</v>
      </c>
      <c r="S4" s="126" t="s">
        <v>35</v>
      </c>
      <c r="T4" s="126" t="s">
        <v>36</v>
      </c>
      <c r="U4" s="123" t="s">
        <v>34</v>
      </c>
      <c r="V4" s="125" t="s">
        <v>35</v>
      </c>
      <c r="W4" s="125" t="s">
        <v>36</v>
      </c>
      <c r="X4" s="123" t="s">
        <v>34</v>
      </c>
      <c r="Y4" s="125" t="s">
        <v>35</v>
      </c>
      <c r="Z4" s="125" t="s">
        <v>36</v>
      </c>
      <c r="AA4" s="123" t="s">
        <v>34</v>
      </c>
      <c r="AB4" s="125" t="s">
        <v>35</v>
      </c>
      <c r="AC4" s="125" t="s">
        <v>36</v>
      </c>
      <c r="AD4" s="123" t="s">
        <v>34</v>
      </c>
      <c r="AE4" s="125" t="s">
        <v>35</v>
      </c>
      <c r="AF4" s="125" t="s">
        <v>36</v>
      </c>
      <c r="AG4" s="123" t="s">
        <v>34</v>
      </c>
      <c r="AH4" s="125" t="s">
        <v>35</v>
      </c>
      <c r="AI4" s="125" t="s">
        <v>36</v>
      </c>
      <c r="AJ4" s="123" t="s">
        <v>34</v>
      </c>
      <c r="AK4" s="125" t="s">
        <v>35</v>
      </c>
      <c r="AL4" s="125" t="s">
        <v>36</v>
      </c>
      <c r="AM4" s="977"/>
    </row>
    <row r="5" spans="2:62" ht="20.100000000000001" customHeight="1" x14ac:dyDescent="0.15">
      <c r="B5" s="978" t="s">
        <v>113</v>
      </c>
      <c r="C5" s="127"/>
      <c r="D5" s="13"/>
      <c r="E5" s="13"/>
      <c r="F5" s="13"/>
      <c r="G5" s="13"/>
      <c r="H5" s="13"/>
      <c r="I5" s="13"/>
      <c r="J5" s="13"/>
      <c r="K5" s="13"/>
      <c r="L5" s="13"/>
      <c r="M5" s="13"/>
      <c r="N5" s="95"/>
      <c r="O5" s="95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28"/>
    </row>
    <row r="6" spans="2:62" ht="20.100000000000001" customHeight="1" x14ac:dyDescent="0.15">
      <c r="B6" s="979"/>
      <c r="C6" s="127"/>
      <c r="D6" s="13"/>
      <c r="E6" s="13"/>
      <c r="F6" s="13"/>
      <c r="G6" s="13"/>
      <c r="H6" s="13"/>
      <c r="I6" s="13"/>
      <c r="J6" s="13"/>
      <c r="K6" s="546" t="s">
        <v>620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662"/>
      <c r="AC6" s="544"/>
      <c r="AD6" s="544"/>
      <c r="AE6" s="544"/>
      <c r="AF6" s="13"/>
      <c r="AG6" s="13"/>
      <c r="AH6" s="13"/>
      <c r="AI6" s="13"/>
      <c r="AJ6" s="13"/>
      <c r="AK6" s="13"/>
      <c r="AL6" s="13"/>
      <c r="AM6" s="128"/>
    </row>
    <row r="7" spans="2:62" ht="20.100000000000001" customHeight="1" x14ac:dyDescent="0.15">
      <c r="B7" s="980"/>
      <c r="C7" s="129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1"/>
    </row>
    <row r="8" spans="2:62" ht="20.100000000000001" customHeight="1" x14ac:dyDescent="0.15">
      <c r="B8" s="132" t="s">
        <v>375</v>
      </c>
      <c r="C8" s="92"/>
      <c r="D8" s="623"/>
      <c r="E8" s="623"/>
      <c r="F8" s="92"/>
      <c r="G8" s="623">
        <v>20</v>
      </c>
      <c r="H8" s="623">
        <v>20</v>
      </c>
      <c r="I8" s="92">
        <v>20</v>
      </c>
      <c r="J8" s="623"/>
      <c r="K8" s="623"/>
      <c r="L8" s="92"/>
      <c r="M8" s="623"/>
      <c r="N8" s="623"/>
      <c r="O8" s="92"/>
      <c r="P8" s="623"/>
      <c r="Q8" s="623"/>
      <c r="R8" s="92"/>
      <c r="S8" s="623"/>
      <c r="T8" s="623"/>
      <c r="U8" s="92"/>
      <c r="V8" s="623"/>
      <c r="W8" s="623"/>
      <c r="X8" s="92"/>
      <c r="Y8" s="623"/>
      <c r="Z8" s="623"/>
      <c r="AA8" s="92"/>
      <c r="AB8" s="623"/>
      <c r="AC8" s="623"/>
      <c r="AD8" s="92"/>
      <c r="AE8" s="623"/>
      <c r="AF8" s="623"/>
      <c r="AG8" s="92"/>
      <c r="AH8" s="623"/>
      <c r="AI8" s="623"/>
      <c r="AJ8" s="92">
        <v>20</v>
      </c>
      <c r="AK8" s="623">
        <v>20</v>
      </c>
      <c r="AL8" s="623">
        <v>20</v>
      </c>
      <c r="AM8" s="201">
        <f>SUM(C8:AL8)</f>
        <v>120</v>
      </c>
      <c r="AO8" s="721"/>
      <c r="AP8" s="721">
        <v>120</v>
      </c>
      <c r="AQ8" s="722">
        <f>+SUM(AO8:AP8)</f>
        <v>120</v>
      </c>
    </row>
    <row r="9" spans="2:62" ht="20.100000000000001" customHeight="1" x14ac:dyDescent="0.15">
      <c r="B9" s="132" t="s">
        <v>376</v>
      </c>
      <c r="C9" s="92"/>
      <c r="D9" s="623"/>
      <c r="E9" s="623"/>
      <c r="F9" s="92"/>
      <c r="G9" s="623"/>
      <c r="H9" s="623"/>
      <c r="I9" s="92"/>
      <c r="J9" s="623"/>
      <c r="K9" s="623"/>
      <c r="L9" s="92"/>
      <c r="M9" s="623"/>
      <c r="N9" s="623"/>
      <c r="O9" s="92"/>
      <c r="P9" s="623">
        <v>30</v>
      </c>
      <c r="Q9" s="623">
        <v>30</v>
      </c>
      <c r="R9" s="92">
        <v>120</v>
      </c>
      <c r="S9" s="623">
        <v>60</v>
      </c>
      <c r="T9" s="623">
        <v>30</v>
      </c>
      <c r="U9" s="92">
        <v>30</v>
      </c>
      <c r="V9" s="623"/>
      <c r="W9" s="623">
        <v>30</v>
      </c>
      <c r="X9" s="92"/>
      <c r="Y9" s="623"/>
      <c r="Z9" s="623"/>
      <c r="AA9" s="92"/>
      <c r="AB9" s="623"/>
      <c r="AC9" s="623"/>
      <c r="AD9" s="92"/>
      <c r="AE9" s="623"/>
      <c r="AF9" s="623"/>
      <c r="AG9" s="92"/>
      <c r="AH9" s="623"/>
      <c r="AI9" s="623"/>
      <c r="AJ9" s="92"/>
      <c r="AK9" s="623"/>
      <c r="AL9" s="623"/>
      <c r="AM9" s="201">
        <f t="shared" ref="AM9:AM33" si="0">SUM(C9:AL9)</f>
        <v>330</v>
      </c>
      <c r="AO9" s="721"/>
      <c r="AP9" s="721">
        <v>800</v>
      </c>
      <c r="AQ9" s="722">
        <f t="shared" ref="AQ9:AQ19" si="1">+SUM(AO9:AP9)</f>
        <v>800</v>
      </c>
    </row>
    <row r="10" spans="2:62" ht="20.100000000000001" customHeight="1" x14ac:dyDescent="0.15">
      <c r="B10" s="132" t="s">
        <v>377</v>
      </c>
      <c r="C10" s="92"/>
      <c r="D10" s="623"/>
      <c r="E10" s="623"/>
      <c r="F10" s="92"/>
      <c r="G10" s="717"/>
      <c r="H10" s="717"/>
      <c r="I10" s="114"/>
      <c r="J10" s="717">
        <v>15</v>
      </c>
      <c r="K10" s="717"/>
      <c r="L10" s="114"/>
      <c r="M10" s="717"/>
      <c r="N10" s="717"/>
      <c r="O10" s="114"/>
      <c r="P10" s="717"/>
      <c r="Q10" s="717"/>
      <c r="R10" s="114"/>
      <c r="S10" s="717"/>
      <c r="T10" s="717"/>
      <c r="U10" s="114"/>
      <c r="V10" s="717"/>
      <c r="W10" s="717"/>
      <c r="X10" s="114"/>
      <c r="Y10" s="717"/>
      <c r="Z10" s="717"/>
      <c r="AA10" s="114"/>
      <c r="AB10" s="623"/>
      <c r="AC10" s="623"/>
      <c r="AD10" s="92"/>
      <c r="AE10" s="623">
        <v>15</v>
      </c>
      <c r="AF10" s="623"/>
      <c r="AG10" s="92">
        <v>15</v>
      </c>
      <c r="AH10" s="623"/>
      <c r="AI10" s="623"/>
      <c r="AJ10" s="92"/>
      <c r="AK10" s="623"/>
      <c r="AL10" s="623"/>
      <c r="AM10" s="201">
        <f t="shared" si="0"/>
        <v>45</v>
      </c>
      <c r="AO10" s="721"/>
      <c r="AP10" s="721">
        <v>30</v>
      </c>
      <c r="AQ10" s="722">
        <f t="shared" si="1"/>
        <v>30</v>
      </c>
    </row>
    <row r="11" spans="2:62" ht="20.100000000000001" customHeight="1" x14ac:dyDescent="0.15">
      <c r="B11" s="132" t="s">
        <v>378</v>
      </c>
      <c r="C11" s="92"/>
      <c r="D11" s="623"/>
      <c r="E11" s="623"/>
      <c r="F11" s="92"/>
      <c r="G11" s="717"/>
      <c r="H11" s="717"/>
      <c r="I11" s="114">
        <v>20</v>
      </c>
      <c r="J11" s="717">
        <v>20</v>
      </c>
      <c r="K11" s="717"/>
      <c r="L11" s="114">
        <v>5</v>
      </c>
      <c r="M11" s="717"/>
      <c r="N11" s="717">
        <v>5</v>
      </c>
      <c r="O11" s="114">
        <v>5</v>
      </c>
      <c r="P11" s="717">
        <v>5</v>
      </c>
      <c r="Q11" s="717">
        <v>5</v>
      </c>
      <c r="R11" s="114"/>
      <c r="S11" s="717">
        <v>5</v>
      </c>
      <c r="T11" s="717"/>
      <c r="U11" s="114">
        <v>5</v>
      </c>
      <c r="V11" s="717">
        <v>5</v>
      </c>
      <c r="W11" s="717">
        <v>5</v>
      </c>
      <c r="X11" s="114"/>
      <c r="Y11" s="717"/>
      <c r="Z11" s="717">
        <v>5</v>
      </c>
      <c r="AA11" s="114"/>
      <c r="AB11" s="623"/>
      <c r="AC11" s="623"/>
      <c r="AD11" s="92"/>
      <c r="AE11" s="623"/>
      <c r="AF11" s="623"/>
      <c r="AG11" s="92"/>
      <c r="AH11" s="623"/>
      <c r="AI11" s="623"/>
      <c r="AJ11" s="92"/>
      <c r="AK11" s="623"/>
      <c r="AL11" s="623"/>
      <c r="AM11" s="201">
        <f t="shared" si="0"/>
        <v>90</v>
      </c>
      <c r="AO11" s="721">
        <v>90</v>
      </c>
      <c r="AP11" s="721">
        <v>60</v>
      </c>
      <c r="AQ11" s="722">
        <f t="shared" si="1"/>
        <v>150</v>
      </c>
    </row>
    <row r="12" spans="2:62" ht="20.100000000000001" customHeight="1" x14ac:dyDescent="0.15">
      <c r="B12" s="132" t="s">
        <v>379</v>
      </c>
      <c r="C12" s="92"/>
      <c r="D12" s="623"/>
      <c r="E12" s="623"/>
      <c r="F12" s="92"/>
      <c r="G12" s="623"/>
      <c r="H12" s="623"/>
      <c r="I12" s="92"/>
      <c r="J12" s="623"/>
      <c r="K12" s="623"/>
      <c r="L12" s="92"/>
      <c r="M12" s="623"/>
      <c r="N12" s="623"/>
      <c r="O12" s="92"/>
      <c r="P12" s="623"/>
      <c r="Q12" s="623"/>
      <c r="R12" s="92">
        <v>120</v>
      </c>
      <c r="S12" s="623">
        <v>120</v>
      </c>
      <c r="T12" s="623">
        <v>120</v>
      </c>
      <c r="U12" s="92">
        <v>300</v>
      </c>
      <c r="V12" s="623">
        <v>300</v>
      </c>
      <c r="W12" s="623">
        <v>60</v>
      </c>
      <c r="X12" s="92"/>
      <c r="Y12" s="623"/>
      <c r="Z12" s="623"/>
      <c r="AA12" s="92"/>
      <c r="AB12" s="623"/>
      <c r="AC12" s="623"/>
      <c r="AD12" s="92"/>
      <c r="AE12" s="623"/>
      <c r="AF12" s="623"/>
      <c r="AG12" s="92"/>
      <c r="AH12" s="623"/>
      <c r="AI12" s="623"/>
      <c r="AJ12" s="92"/>
      <c r="AK12" s="623"/>
      <c r="AL12" s="623"/>
      <c r="AM12" s="201">
        <f t="shared" si="0"/>
        <v>1020</v>
      </c>
      <c r="AO12" s="721"/>
      <c r="AP12" s="721">
        <v>1350</v>
      </c>
      <c r="AQ12" s="722">
        <f t="shared" si="1"/>
        <v>1350</v>
      </c>
    </row>
    <row r="13" spans="2:62" ht="20.100000000000001" customHeight="1" x14ac:dyDescent="0.15">
      <c r="B13" s="132" t="s">
        <v>380</v>
      </c>
      <c r="C13" s="92"/>
      <c r="D13" s="623"/>
      <c r="E13" s="623"/>
      <c r="F13" s="92"/>
      <c r="G13" s="623"/>
      <c r="H13" s="623"/>
      <c r="I13" s="92"/>
      <c r="J13" s="623"/>
      <c r="K13" s="623"/>
      <c r="L13" s="92"/>
      <c r="M13" s="623"/>
      <c r="N13" s="623"/>
      <c r="O13" s="92"/>
      <c r="P13" s="623"/>
      <c r="Q13" s="623"/>
      <c r="R13" s="92"/>
      <c r="S13" s="623"/>
      <c r="T13" s="623"/>
      <c r="U13" s="92"/>
      <c r="V13" s="623"/>
      <c r="W13" s="623">
        <v>80</v>
      </c>
      <c r="X13" s="92"/>
      <c r="Y13" s="623"/>
      <c r="Z13" s="623"/>
      <c r="AA13" s="92"/>
      <c r="AB13" s="623"/>
      <c r="AC13" s="623"/>
      <c r="AD13" s="92"/>
      <c r="AE13" s="623"/>
      <c r="AF13" s="623"/>
      <c r="AG13" s="92"/>
      <c r="AH13" s="623"/>
      <c r="AI13" s="623"/>
      <c r="AJ13" s="92"/>
      <c r="AK13" s="623"/>
      <c r="AL13" s="623"/>
      <c r="AM13" s="201">
        <f t="shared" si="0"/>
        <v>80</v>
      </c>
      <c r="AO13" s="721"/>
      <c r="AP13" s="721">
        <v>220</v>
      </c>
      <c r="AQ13" s="722">
        <f t="shared" si="1"/>
        <v>220</v>
      </c>
    </row>
    <row r="14" spans="2:62" ht="20.100000000000001" customHeight="1" x14ac:dyDescent="0.15">
      <c r="B14" s="132" t="s">
        <v>381</v>
      </c>
      <c r="C14" s="92"/>
      <c r="D14" s="623"/>
      <c r="E14" s="623"/>
      <c r="F14" s="92"/>
      <c r="G14" s="623"/>
      <c r="H14" s="623"/>
      <c r="I14" s="92"/>
      <c r="J14" s="623"/>
      <c r="K14" s="623"/>
      <c r="L14" s="92"/>
      <c r="M14" s="623">
        <v>10</v>
      </c>
      <c r="N14" s="623"/>
      <c r="O14" s="92"/>
      <c r="P14" s="623">
        <v>10</v>
      </c>
      <c r="Q14" s="623"/>
      <c r="R14" s="92"/>
      <c r="S14" s="623">
        <v>10</v>
      </c>
      <c r="T14" s="623"/>
      <c r="U14" s="92"/>
      <c r="V14" s="623">
        <v>10</v>
      </c>
      <c r="W14" s="623"/>
      <c r="X14" s="92"/>
      <c r="Y14" s="623"/>
      <c r="Z14" s="623"/>
      <c r="AA14" s="92">
        <v>10</v>
      </c>
      <c r="AB14" s="623"/>
      <c r="AC14" s="623"/>
      <c r="AD14" s="92"/>
      <c r="AE14" s="623"/>
      <c r="AF14" s="623"/>
      <c r="AG14" s="92"/>
      <c r="AH14" s="623"/>
      <c r="AI14" s="623"/>
      <c r="AJ14" s="92"/>
      <c r="AK14" s="623"/>
      <c r="AL14" s="623"/>
      <c r="AM14" s="201">
        <f t="shared" si="0"/>
        <v>50</v>
      </c>
      <c r="AO14" s="721"/>
      <c r="AP14" s="721">
        <v>60</v>
      </c>
      <c r="AQ14" s="722">
        <f t="shared" si="1"/>
        <v>60</v>
      </c>
    </row>
    <row r="15" spans="2:62" ht="20.100000000000001" customHeight="1" x14ac:dyDescent="0.15">
      <c r="B15" s="132" t="s">
        <v>382</v>
      </c>
      <c r="C15" s="92"/>
      <c r="D15" s="623"/>
      <c r="E15" s="623"/>
      <c r="F15" s="92"/>
      <c r="G15" s="623"/>
      <c r="H15" s="623"/>
      <c r="I15" s="92"/>
      <c r="J15" s="623"/>
      <c r="K15" s="623">
        <v>2</v>
      </c>
      <c r="L15" s="92">
        <v>2</v>
      </c>
      <c r="M15" s="623">
        <v>2</v>
      </c>
      <c r="N15" s="623">
        <v>2</v>
      </c>
      <c r="O15" s="92">
        <v>2</v>
      </c>
      <c r="P15" s="623">
        <v>2</v>
      </c>
      <c r="Q15" s="623">
        <v>2</v>
      </c>
      <c r="R15" s="92">
        <v>2</v>
      </c>
      <c r="S15" s="623">
        <v>2</v>
      </c>
      <c r="T15" s="623">
        <v>2</v>
      </c>
      <c r="U15" s="92">
        <v>2</v>
      </c>
      <c r="V15" s="623">
        <v>2</v>
      </c>
      <c r="W15" s="623">
        <v>2</v>
      </c>
      <c r="X15" s="92">
        <v>2</v>
      </c>
      <c r="Y15" s="623">
        <v>2</v>
      </c>
      <c r="Z15" s="623">
        <v>2</v>
      </c>
      <c r="AA15" s="92">
        <v>2</v>
      </c>
      <c r="AB15" s="623">
        <v>2</v>
      </c>
      <c r="AC15" s="623">
        <v>2</v>
      </c>
      <c r="AD15" s="92">
        <v>2</v>
      </c>
      <c r="AE15" s="623">
        <v>2</v>
      </c>
      <c r="AF15" s="623">
        <v>2</v>
      </c>
      <c r="AG15" s="92"/>
      <c r="AH15" s="623"/>
      <c r="AI15" s="623"/>
      <c r="AJ15" s="92"/>
      <c r="AK15" s="623"/>
      <c r="AL15" s="623"/>
      <c r="AM15" s="201">
        <f t="shared" si="0"/>
        <v>44</v>
      </c>
      <c r="AO15" s="721"/>
      <c r="AP15" s="721">
        <v>44</v>
      </c>
      <c r="AQ15" s="722">
        <f t="shared" si="1"/>
        <v>44</v>
      </c>
    </row>
    <row r="16" spans="2:62" ht="20.100000000000001" customHeight="1" x14ac:dyDescent="0.15">
      <c r="B16" s="132" t="s">
        <v>383</v>
      </c>
      <c r="C16" s="92"/>
      <c r="D16" s="623"/>
      <c r="E16" s="623"/>
      <c r="F16" s="92"/>
      <c r="G16" s="623"/>
      <c r="H16" s="623"/>
      <c r="I16" s="92"/>
      <c r="J16" s="623"/>
      <c r="K16" s="623"/>
      <c r="L16" s="92"/>
      <c r="M16" s="623"/>
      <c r="N16" s="623"/>
      <c r="O16" s="92"/>
      <c r="P16" s="623"/>
      <c r="Q16" s="623"/>
      <c r="R16" s="92"/>
      <c r="S16" s="623"/>
      <c r="T16" s="623"/>
      <c r="U16" s="92"/>
      <c r="V16" s="623"/>
      <c r="W16" s="623"/>
      <c r="X16" s="92"/>
      <c r="Y16" s="623"/>
      <c r="Z16" s="623"/>
      <c r="AA16" s="92"/>
      <c r="AB16" s="623"/>
      <c r="AC16" s="623">
        <v>300</v>
      </c>
      <c r="AD16" s="92">
        <v>450</v>
      </c>
      <c r="AE16" s="623">
        <v>450</v>
      </c>
      <c r="AF16" s="623"/>
      <c r="AG16" s="92"/>
      <c r="AH16" s="623"/>
      <c r="AI16" s="623"/>
      <c r="AJ16" s="92"/>
      <c r="AK16" s="623"/>
      <c r="AL16" s="623"/>
      <c r="AM16" s="201">
        <f t="shared" si="0"/>
        <v>1200</v>
      </c>
      <c r="AO16" s="721"/>
      <c r="AP16" s="721">
        <v>1800</v>
      </c>
      <c r="AQ16" s="722">
        <f t="shared" si="1"/>
        <v>1800</v>
      </c>
    </row>
    <row r="17" spans="2:43" ht="20.100000000000001" customHeight="1" x14ac:dyDescent="0.15">
      <c r="B17" s="132" t="s">
        <v>384</v>
      </c>
      <c r="C17" s="92"/>
      <c r="D17" s="623"/>
      <c r="E17" s="623"/>
      <c r="F17" s="92"/>
      <c r="G17" s="623"/>
      <c r="H17" s="623"/>
      <c r="I17" s="92"/>
      <c r="J17" s="623"/>
      <c r="K17" s="623"/>
      <c r="L17" s="92"/>
      <c r="M17" s="623"/>
      <c r="N17" s="623"/>
      <c r="O17" s="92"/>
      <c r="P17" s="623"/>
      <c r="Q17" s="623"/>
      <c r="R17" s="92"/>
      <c r="S17" s="623"/>
      <c r="T17" s="623"/>
      <c r="U17" s="92"/>
      <c r="V17" s="623"/>
      <c r="W17" s="623"/>
      <c r="X17" s="92"/>
      <c r="Y17" s="623"/>
      <c r="Z17" s="623"/>
      <c r="AA17" s="92"/>
      <c r="AB17" s="623"/>
      <c r="AC17" s="623"/>
      <c r="AD17" s="92"/>
      <c r="AE17" s="623"/>
      <c r="AF17" s="623">
        <v>20</v>
      </c>
      <c r="AG17" s="92">
        <v>40</v>
      </c>
      <c r="AH17" s="623">
        <v>40</v>
      </c>
      <c r="AI17" s="623">
        <v>40</v>
      </c>
      <c r="AJ17" s="92"/>
      <c r="AK17" s="623"/>
      <c r="AL17" s="623"/>
      <c r="AM17" s="201">
        <f t="shared" si="0"/>
        <v>140</v>
      </c>
      <c r="AO17" s="721"/>
      <c r="AP17" s="721">
        <v>90</v>
      </c>
      <c r="AQ17" s="722">
        <f t="shared" si="1"/>
        <v>90</v>
      </c>
    </row>
    <row r="18" spans="2:43" ht="20.100000000000001" customHeight="1" x14ac:dyDescent="0.15">
      <c r="B18" s="132" t="s">
        <v>385</v>
      </c>
      <c r="C18" s="92"/>
      <c r="D18" s="623"/>
      <c r="E18" s="623"/>
      <c r="F18" s="92"/>
      <c r="G18" s="623"/>
      <c r="H18" s="623"/>
      <c r="I18" s="92"/>
      <c r="J18" s="623"/>
      <c r="K18" s="623">
        <v>160</v>
      </c>
      <c r="L18" s="92">
        <v>160</v>
      </c>
      <c r="M18" s="623"/>
      <c r="N18" s="623"/>
      <c r="O18" s="92"/>
      <c r="P18" s="623"/>
      <c r="Q18" s="623"/>
      <c r="R18" s="92"/>
      <c r="S18" s="623"/>
      <c r="T18" s="623"/>
      <c r="U18" s="92"/>
      <c r="V18" s="623"/>
      <c r="W18" s="623">
        <v>40</v>
      </c>
      <c r="X18" s="92">
        <v>40</v>
      </c>
      <c r="Y18" s="623"/>
      <c r="Z18" s="623"/>
      <c r="AA18" s="92"/>
      <c r="AB18" s="623"/>
      <c r="AC18" s="623"/>
      <c r="AD18" s="92"/>
      <c r="AE18" s="623"/>
      <c r="AF18" s="623"/>
      <c r="AG18" s="92"/>
      <c r="AH18" s="623"/>
      <c r="AI18" s="623"/>
      <c r="AJ18" s="92"/>
      <c r="AK18" s="623"/>
      <c r="AL18" s="623"/>
      <c r="AM18" s="201">
        <f t="shared" si="0"/>
        <v>400</v>
      </c>
      <c r="AO18" s="721"/>
      <c r="AP18" s="721">
        <v>300</v>
      </c>
      <c r="AQ18" s="723">
        <f t="shared" si="1"/>
        <v>300</v>
      </c>
    </row>
    <row r="19" spans="2:43" ht="20.100000000000001" customHeight="1" x14ac:dyDescent="0.15">
      <c r="B19" s="132" t="s">
        <v>386</v>
      </c>
      <c r="C19" s="92"/>
      <c r="D19" s="623"/>
      <c r="E19" s="623">
        <v>40</v>
      </c>
      <c r="F19" s="92"/>
      <c r="G19" s="623"/>
      <c r="H19" s="623">
        <v>40</v>
      </c>
      <c r="I19" s="92"/>
      <c r="J19" s="623"/>
      <c r="K19" s="623"/>
      <c r="L19" s="92"/>
      <c r="M19" s="623"/>
      <c r="N19" s="623"/>
      <c r="O19" s="92"/>
      <c r="P19" s="623"/>
      <c r="Q19" s="623"/>
      <c r="R19" s="92"/>
      <c r="S19" s="623"/>
      <c r="T19" s="623"/>
      <c r="U19" s="92"/>
      <c r="V19" s="623"/>
      <c r="W19" s="623"/>
      <c r="X19" s="92"/>
      <c r="Y19" s="623"/>
      <c r="Z19" s="623">
        <v>20</v>
      </c>
      <c r="AA19" s="92"/>
      <c r="AB19" s="623"/>
      <c r="AC19" s="623"/>
      <c r="AD19" s="92"/>
      <c r="AE19" s="623"/>
      <c r="AF19" s="623"/>
      <c r="AG19" s="92"/>
      <c r="AH19" s="623"/>
      <c r="AI19" s="623"/>
      <c r="AJ19" s="92">
        <v>40</v>
      </c>
      <c r="AK19" s="623"/>
      <c r="AL19" s="623"/>
      <c r="AM19" s="201">
        <f t="shared" si="0"/>
        <v>140</v>
      </c>
      <c r="AO19" s="721"/>
      <c r="AP19" s="721">
        <v>40</v>
      </c>
      <c r="AQ19" s="722">
        <f t="shared" si="1"/>
        <v>40</v>
      </c>
    </row>
    <row r="20" spans="2:43" ht="20.100000000000001" customHeight="1" x14ac:dyDescent="0.15">
      <c r="B20" s="132"/>
      <c r="C20" s="92"/>
      <c r="D20" s="623"/>
      <c r="E20" s="623"/>
      <c r="F20" s="92"/>
      <c r="G20" s="623"/>
      <c r="H20" s="623"/>
      <c r="I20" s="92"/>
      <c r="J20" s="623"/>
      <c r="K20" s="623"/>
      <c r="L20" s="92"/>
      <c r="M20" s="623"/>
      <c r="N20" s="623"/>
      <c r="O20" s="92"/>
      <c r="P20" s="623"/>
      <c r="Q20" s="623"/>
      <c r="R20" s="92"/>
      <c r="S20" s="623"/>
      <c r="T20" s="623"/>
      <c r="U20" s="92"/>
      <c r="V20" s="623"/>
      <c r="W20" s="623"/>
      <c r="X20" s="92"/>
      <c r="Y20" s="623"/>
      <c r="Z20" s="623"/>
      <c r="AA20" s="92"/>
      <c r="AB20" s="623"/>
      <c r="AC20" s="623"/>
      <c r="AD20" s="92"/>
      <c r="AE20" s="623"/>
      <c r="AF20" s="623"/>
      <c r="AG20" s="92"/>
      <c r="AH20" s="623"/>
      <c r="AI20" s="623"/>
      <c r="AJ20" s="92"/>
      <c r="AK20" s="623"/>
      <c r="AL20" s="623"/>
      <c r="AM20" s="201">
        <f t="shared" si="0"/>
        <v>0</v>
      </c>
      <c r="AO20" s="722"/>
      <c r="AP20" s="722"/>
      <c r="AQ20" s="722">
        <f t="shared" ref="AQ20:AQ33" si="2">SUM(AO20:AP20)</f>
        <v>0</v>
      </c>
    </row>
    <row r="21" spans="2:43" ht="20.100000000000001" customHeight="1" x14ac:dyDescent="0.15">
      <c r="B21" s="132"/>
      <c r="C21" s="92"/>
      <c r="D21" s="623"/>
      <c r="E21" s="623"/>
      <c r="F21" s="92"/>
      <c r="G21" s="623"/>
      <c r="H21" s="623"/>
      <c r="I21" s="92"/>
      <c r="J21" s="623"/>
      <c r="K21" s="623"/>
      <c r="L21" s="92"/>
      <c r="M21" s="623"/>
      <c r="N21" s="623"/>
      <c r="O21" s="92"/>
      <c r="P21" s="623"/>
      <c r="Q21" s="623"/>
      <c r="R21" s="92"/>
      <c r="S21" s="623"/>
      <c r="T21" s="623"/>
      <c r="U21" s="92"/>
      <c r="V21" s="623"/>
      <c r="W21" s="623"/>
      <c r="X21" s="92"/>
      <c r="Y21" s="623"/>
      <c r="Z21" s="623"/>
      <c r="AA21" s="92"/>
      <c r="AB21" s="623"/>
      <c r="AC21" s="623"/>
      <c r="AD21" s="92"/>
      <c r="AE21" s="623"/>
      <c r="AF21" s="623"/>
      <c r="AG21" s="92"/>
      <c r="AH21" s="623"/>
      <c r="AI21" s="623"/>
      <c r="AJ21" s="92"/>
      <c r="AK21" s="623"/>
      <c r="AL21" s="623"/>
      <c r="AM21" s="201">
        <f t="shared" si="0"/>
        <v>0</v>
      </c>
      <c r="AO21" s="722"/>
      <c r="AP21" s="722"/>
      <c r="AQ21" s="722">
        <f t="shared" si="2"/>
        <v>0</v>
      </c>
    </row>
    <row r="22" spans="2:43" ht="20.100000000000001" customHeight="1" x14ac:dyDescent="0.15">
      <c r="B22" s="132"/>
      <c r="C22" s="92"/>
      <c r="D22" s="623"/>
      <c r="E22" s="623"/>
      <c r="F22" s="92"/>
      <c r="G22" s="623"/>
      <c r="H22" s="623"/>
      <c r="I22" s="92"/>
      <c r="J22" s="623"/>
      <c r="K22" s="623"/>
      <c r="L22" s="92"/>
      <c r="M22" s="623"/>
      <c r="N22" s="623"/>
      <c r="O22" s="92"/>
      <c r="P22" s="623"/>
      <c r="Q22" s="623"/>
      <c r="R22" s="92"/>
      <c r="S22" s="623"/>
      <c r="T22" s="623"/>
      <c r="U22" s="92"/>
      <c r="V22" s="623"/>
      <c r="W22" s="623"/>
      <c r="X22" s="92"/>
      <c r="Y22" s="623"/>
      <c r="Z22" s="623"/>
      <c r="AA22" s="92"/>
      <c r="AB22" s="623"/>
      <c r="AC22" s="623"/>
      <c r="AD22" s="92"/>
      <c r="AE22" s="623"/>
      <c r="AF22" s="623"/>
      <c r="AG22" s="92"/>
      <c r="AH22" s="623"/>
      <c r="AI22" s="623"/>
      <c r="AJ22" s="92"/>
      <c r="AK22" s="623"/>
      <c r="AL22" s="623"/>
      <c r="AM22" s="201">
        <f t="shared" si="0"/>
        <v>0</v>
      </c>
      <c r="AO22" s="722"/>
      <c r="AP22" s="722"/>
      <c r="AQ22" s="722">
        <f t="shared" si="2"/>
        <v>0</v>
      </c>
    </row>
    <row r="23" spans="2:43" ht="20.100000000000001" customHeight="1" x14ac:dyDescent="0.15">
      <c r="B23" s="132"/>
      <c r="C23" s="92"/>
      <c r="D23" s="623"/>
      <c r="E23" s="623"/>
      <c r="F23" s="92"/>
      <c r="G23" s="623"/>
      <c r="H23" s="623"/>
      <c r="I23" s="92"/>
      <c r="J23" s="623"/>
      <c r="K23" s="623"/>
      <c r="L23" s="92"/>
      <c r="M23" s="623"/>
      <c r="N23" s="623"/>
      <c r="O23" s="92"/>
      <c r="P23" s="623"/>
      <c r="Q23" s="623"/>
      <c r="R23" s="92"/>
      <c r="S23" s="623"/>
      <c r="T23" s="623"/>
      <c r="U23" s="92"/>
      <c r="V23" s="623"/>
      <c r="W23" s="623"/>
      <c r="X23" s="92"/>
      <c r="Y23" s="623"/>
      <c r="Z23" s="623"/>
      <c r="AA23" s="92"/>
      <c r="AB23" s="623"/>
      <c r="AC23" s="623"/>
      <c r="AD23" s="92"/>
      <c r="AE23" s="623"/>
      <c r="AF23" s="623"/>
      <c r="AG23" s="92"/>
      <c r="AH23" s="623"/>
      <c r="AI23" s="623"/>
      <c r="AJ23" s="92"/>
      <c r="AK23" s="623"/>
      <c r="AL23" s="623"/>
      <c r="AM23" s="201">
        <f t="shared" si="0"/>
        <v>0</v>
      </c>
      <c r="AO23" s="722"/>
      <c r="AP23" s="722"/>
      <c r="AQ23" s="722">
        <f t="shared" si="2"/>
        <v>0</v>
      </c>
    </row>
    <row r="24" spans="2:43" ht="20.100000000000001" customHeight="1" x14ac:dyDescent="0.15">
      <c r="B24" s="132"/>
      <c r="C24" s="92"/>
      <c r="D24" s="623"/>
      <c r="E24" s="623"/>
      <c r="F24" s="92"/>
      <c r="G24" s="623"/>
      <c r="H24" s="623"/>
      <c r="I24" s="92"/>
      <c r="J24" s="623"/>
      <c r="K24" s="623"/>
      <c r="L24" s="92"/>
      <c r="M24" s="623"/>
      <c r="N24" s="623"/>
      <c r="O24" s="92"/>
      <c r="P24" s="623"/>
      <c r="Q24" s="623"/>
      <c r="R24" s="92"/>
      <c r="S24" s="623"/>
      <c r="T24" s="623"/>
      <c r="U24" s="92"/>
      <c r="V24" s="623"/>
      <c r="W24" s="623"/>
      <c r="X24" s="92"/>
      <c r="Y24" s="623"/>
      <c r="Z24" s="623"/>
      <c r="AA24" s="92"/>
      <c r="AB24" s="623"/>
      <c r="AC24" s="623"/>
      <c r="AD24" s="92"/>
      <c r="AE24" s="623"/>
      <c r="AF24" s="623"/>
      <c r="AG24" s="92"/>
      <c r="AH24" s="623"/>
      <c r="AI24" s="623"/>
      <c r="AJ24" s="92"/>
      <c r="AK24" s="623"/>
      <c r="AL24" s="623"/>
      <c r="AM24" s="201">
        <f t="shared" si="0"/>
        <v>0</v>
      </c>
      <c r="AO24" s="722"/>
      <c r="AP24" s="722"/>
      <c r="AQ24" s="722">
        <f t="shared" si="2"/>
        <v>0</v>
      </c>
    </row>
    <row r="25" spans="2:43" ht="20.100000000000001" customHeight="1" x14ac:dyDescent="0.15">
      <c r="B25" s="132"/>
      <c r="C25" s="92"/>
      <c r="D25" s="623"/>
      <c r="E25" s="623"/>
      <c r="F25" s="92"/>
      <c r="G25" s="623"/>
      <c r="H25" s="623"/>
      <c r="I25" s="92"/>
      <c r="J25" s="623"/>
      <c r="K25" s="623"/>
      <c r="L25" s="92"/>
      <c r="M25" s="623"/>
      <c r="N25" s="623"/>
      <c r="O25" s="92"/>
      <c r="P25" s="623"/>
      <c r="Q25" s="623"/>
      <c r="R25" s="92"/>
      <c r="S25" s="623"/>
      <c r="T25" s="623"/>
      <c r="U25" s="92"/>
      <c r="V25" s="623"/>
      <c r="W25" s="623"/>
      <c r="X25" s="92"/>
      <c r="Y25" s="623"/>
      <c r="Z25" s="623"/>
      <c r="AA25" s="92"/>
      <c r="AB25" s="623"/>
      <c r="AC25" s="623"/>
      <c r="AD25" s="92"/>
      <c r="AE25" s="623"/>
      <c r="AF25" s="623"/>
      <c r="AG25" s="92"/>
      <c r="AH25" s="623"/>
      <c r="AI25" s="623"/>
      <c r="AJ25" s="92"/>
      <c r="AK25" s="623"/>
      <c r="AL25" s="623"/>
      <c r="AM25" s="201">
        <f t="shared" si="0"/>
        <v>0</v>
      </c>
      <c r="AO25" s="722"/>
      <c r="AP25" s="722"/>
      <c r="AQ25" s="722">
        <f t="shared" si="2"/>
        <v>0</v>
      </c>
    </row>
    <row r="26" spans="2:43" ht="20.100000000000001" customHeight="1" x14ac:dyDescent="0.15">
      <c r="B26" s="132"/>
      <c r="C26" s="92"/>
      <c r="D26" s="623"/>
      <c r="E26" s="623"/>
      <c r="F26" s="92"/>
      <c r="G26" s="623"/>
      <c r="H26" s="623"/>
      <c r="I26" s="92"/>
      <c r="J26" s="623"/>
      <c r="K26" s="623"/>
      <c r="L26" s="92"/>
      <c r="M26" s="623"/>
      <c r="N26" s="623"/>
      <c r="O26" s="92"/>
      <c r="P26" s="623"/>
      <c r="Q26" s="623"/>
      <c r="R26" s="92"/>
      <c r="S26" s="623"/>
      <c r="T26" s="623"/>
      <c r="U26" s="92"/>
      <c r="V26" s="623"/>
      <c r="W26" s="623"/>
      <c r="X26" s="92"/>
      <c r="Y26" s="623"/>
      <c r="Z26" s="623"/>
      <c r="AA26" s="92"/>
      <c r="AB26" s="623"/>
      <c r="AC26" s="623"/>
      <c r="AD26" s="92"/>
      <c r="AE26" s="623"/>
      <c r="AF26" s="623"/>
      <c r="AG26" s="92"/>
      <c r="AH26" s="623"/>
      <c r="AI26" s="623"/>
      <c r="AJ26" s="92"/>
      <c r="AK26" s="623"/>
      <c r="AL26" s="623"/>
      <c r="AM26" s="201">
        <f t="shared" si="0"/>
        <v>0</v>
      </c>
      <c r="AO26" s="722"/>
      <c r="AP26" s="722"/>
      <c r="AQ26" s="722">
        <f t="shared" si="2"/>
        <v>0</v>
      </c>
    </row>
    <row r="27" spans="2:43" ht="20.100000000000001" customHeight="1" x14ac:dyDescent="0.15">
      <c r="B27" s="132"/>
      <c r="C27" s="92"/>
      <c r="D27" s="623"/>
      <c r="E27" s="623"/>
      <c r="F27" s="92"/>
      <c r="G27" s="623"/>
      <c r="H27" s="623"/>
      <c r="I27" s="92"/>
      <c r="J27" s="623"/>
      <c r="K27" s="623"/>
      <c r="L27" s="92"/>
      <c r="M27" s="623"/>
      <c r="N27" s="623"/>
      <c r="O27" s="92"/>
      <c r="P27" s="623"/>
      <c r="Q27" s="623"/>
      <c r="R27" s="92"/>
      <c r="S27" s="623"/>
      <c r="T27" s="623"/>
      <c r="U27" s="92"/>
      <c r="V27" s="623"/>
      <c r="W27" s="623"/>
      <c r="X27" s="92"/>
      <c r="Y27" s="623"/>
      <c r="Z27" s="623"/>
      <c r="AA27" s="92"/>
      <c r="AB27" s="623"/>
      <c r="AC27" s="623"/>
      <c r="AD27" s="92"/>
      <c r="AE27" s="623"/>
      <c r="AF27" s="623"/>
      <c r="AG27" s="92"/>
      <c r="AH27" s="623"/>
      <c r="AI27" s="623"/>
      <c r="AJ27" s="92"/>
      <c r="AK27" s="623"/>
      <c r="AL27" s="623"/>
      <c r="AM27" s="201">
        <f t="shared" si="0"/>
        <v>0</v>
      </c>
      <c r="AO27" s="722"/>
      <c r="AP27" s="722"/>
      <c r="AQ27" s="722">
        <f t="shared" si="2"/>
        <v>0</v>
      </c>
    </row>
    <row r="28" spans="2:43" ht="20.100000000000001" customHeight="1" x14ac:dyDescent="0.15">
      <c r="B28" s="132"/>
      <c r="C28" s="92"/>
      <c r="D28" s="623"/>
      <c r="E28" s="623"/>
      <c r="F28" s="92"/>
      <c r="G28" s="623"/>
      <c r="H28" s="623"/>
      <c r="I28" s="92"/>
      <c r="J28" s="623"/>
      <c r="K28" s="623"/>
      <c r="L28" s="92"/>
      <c r="M28" s="623"/>
      <c r="N28" s="623"/>
      <c r="O28" s="92"/>
      <c r="P28" s="623"/>
      <c r="Q28" s="623"/>
      <c r="R28" s="92"/>
      <c r="S28" s="623"/>
      <c r="T28" s="623"/>
      <c r="U28" s="92"/>
      <c r="V28" s="623"/>
      <c r="W28" s="623"/>
      <c r="X28" s="92"/>
      <c r="Y28" s="623"/>
      <c r="Z28" s="623"/>
      <c r="AA28" s="92"/>
      <c r="AB28" s="623"/>
      <c r="AC28" s="623"/>
      <c r="AD28" s="92"/>
      <c r="AE28" s="623"/>
      <c r="AF28" s="623"/>
      <c r="AG28" s="92"/>
      <c r="AH28" s="623"/>
      <c r="AI28" s="623"/>
      <c r="AJ28" s="92"/>
      <c r="AK28" s="623"/>
      <c r="AL28" s="623"/>
      <c r="AM28" s="201">
        <f t="shared" si="0"/>
        <v>0</v>
      </c>
      <c r="AO28" s="722"/>
      <c r="AP28" s="722"/>
      <c r="AQ28" s="722">
        <f t="shared" si="2"/>
        <v>0</v>
      </c>
    </row>
    <row r="29" spans="2:43" ht="20.100000000000001" customHeight="1" x14ac:dyDescent="0.15">
      <c r="B29" s="132"/>
      <c r="C29" s="92"/>
      <c r="D29" s="623"/>
      <c r="E29" s="623"/>
      <c r="F29" s="92"/>
      <c r="G29" s="623"/>
      <c r="H29" s="623"/>
      <c r="I29" s="92"/>
      <c r="J29" s="623"/>
      <c r="K29" s="623"/>
      <c r="L29" s="92"/>
      <c r="M29" s="623"/>
      <c r="N29" s="623"/>
      <c r="O29" s="92"/>
      <c r="P29" s="623"/>
      <c r="Q29" s="623"/>
      <c r="R29" s="92"/>
      <c r="S29" s="623"/>
      <c r="T29" s="623"/>
      <c r="U29" s="92"/>
      <c r="V29" s="623"/>
      <c r="W29" s="623"/>
      <c r="X29" s="92"/>
      <c r="Y29" s="623"/>
      <c r="Z29" s="623"/>
      <c r="AA29" s="92"/>
      <c r="AB29" s="623"/>
      <c r="AC29" s="623"/>
      <c r="AD29" s="92"/>
      <c r="AE29" s="623"/>
      <c r="AF29" s="623"/>
      <c r="AG29" s="92"/>
      <c r="AH29" s="623"/>
      <c r="AI29" s="623"/>
      <c r="AJ29" s="92"/>
      <c r="AK29" s="623"/>
      <c r="AL29" s="623"/>
      <c r="AM29" s="201">
        <f t="shared" si="0"/>
        <v>0</v>
      </c>
      <c r="AO29" s="722"/>
      <c r="AP29" s="722"/>
      <c r="AQ29" s="722">
        <f t="shared" si="2"/>
        <v>0</v>
      </c>
    </row>
    <row r="30" spans="2:43" ht="20.100000000000001" customHeight="1" x14ac:dyDescent="0.15">
      <c r="B30" s="132"/>
      <c r="C30" s="92"/>
      <c r="D30" s="623"/>
      <c r="E30" s="623"/>
      <c r="F30" s="92"/>
      <c r="G30" s="623"/>
      <c r="H30" s="623"/>
      <c r="I30" s="92"/>
      <c r="J30" s="623"/>
      <c r="K30" s="623"/>
      <c r="L30" s="92"/>
      <c r="M30" s="623"/>
      <c r="N30" s="623"/>
      <c r="O30" s="92"/>
      <c r="P30" s="623"/>
      <c r="Q30" s="623"/>
      <c r="R30" s="92"/>
      <c r="S30" s="623"/>
      <c r="T30" s="623"/>
      <c r="U30" s="92"/>
      <c r="V30" s="623"/>
      <c r="W30" s="623"/>
      <c r="X30" s="92"/>
      <c r="Y30" s="623"/>
      <c r="Z30" s="623"/>
      <c r="AA30" s="92"/>
      <c r="AB30" s="623"/>
      <c r="AC30" s="623"/>
      <c r="AD30" s="92"/>
      <c r="AE30" s="623"/>
      <c r="AF30" s="623"/>
      <c r="AG30" s="92"/>
      <c r="AH30" s="623"/>
      <c r="AI30" s="623"/>
      <c r="AJ30" s="92"/>
      <c r="AK30" s="623"/>
      <c r="AL30" s="623"/>
      <c r="AM30" s="201">
        <f t="shared" si="0"/>
        <v>0</v>
      </c>
      <c r="AO30" s="722"/>
      <c r="AP30" s="722"/>
      <c r="AQ30" s="722">
        <f t="shared" si="2"/>
        <v>0</v>
      </c>
    </row>
    <row r="31" spans="2:43" ht="20.100000000000001" customHeight="1" x14ac:dyDescent="0.15">
      <c r="B31" s="132"/>
      <c r="C31" s="92"/>
      <c r="D31" s="623"/>
      <c r="E31" s="623"/>
      <c r="F31" s="92"/>
      <c r="G31" s="623"/>
      <c r="H31" s="623"/>
      <c r="I31" s="92"/>
      <c r="J31" s="623"/>
      <c r="K31" s="623"/>
      <c r="L31" s="92"/>
      <c r="M31" s="623"/>
      <c r="N31" s="623"/>
      <c r="O31" s="92"/>
      <c r="P31" s="623"/>
      <c r="Q31" s="623"/>
      <c r="R31" s="92"/>
      <c r="S31" s="623"/>
      <c r="T31" s="623"/>
      <c r="U31" s="92"/>
      <c r="V31" s="623"/>
      <c r="W31" s="623"/>
      <c r="X31" s="92"/>
      <c r="Y31" s="623"/>
      <c r="Z31" s="623"/>
      <c r="AA31" s="92"/>
      <c r="AB31" s="623"/>
      <c r="AC31" s="623"/>
      <c r="AD31" s="92"/>
      <c r="AE31" s="623"/>
      <c r="AF31" s="623"/>
      <c r="AG31" s="92"/>
      <c r="AH31" s="623"/>
      <c r="AI31" s="623"/>
      <c r="AJ31" s="92"/>
      <c r="AK31" s="623"/>
      <c r="AL31" s="623"/>
      <c r="AM31" s="201">
        <f t="shared" si="0"/>
        <v>0</v>
      </c>
      <c r="AO31" s="722"/>
      <c r="AP31" s="722"/>
      <c r="AQ31" s="722">
        <f t="shared" si="2"/>
        <v>0</v>
      </c>
    </row>
    <row r="32" spans="2:43" ht="20.100000000000001" customHeight="1" x14ac:dyDescent="0.15">
      <c r="B32" s="132"/>
      <c r="C32" s="92"/>
      <c r="D32" s="623"/>
      <c r="E32" s="623"/>
      <c r="F32" s="92"/>
      <c r="G32" s="623"/>
      <c r="H32" s="623"/>
      <c r="I32" s="92"/>
      <c r="J32" s="623"/>
      <c r="K32" s="623"/>
      <c r="L32" s="92"/>
      <c r="M32" s="623"/>
      <c r="N32" s="623"/>
      <c r="O32" s="92"/>
      <c r="P32" s="623"/>
      <c r="Q32" s="623"/>
      <c r="R32" s="92"/>
      <c r="S32" s="623"/>
      <c r="T32" s="623"/>
      <c r="U32" s="92"/>
      <c r="V32" s="623"/>
      <c r="W32" s="623"/>
      <c r="X32" s="92"/>
      <c r="Y32" s="623"/>
      <c r="Z32" s="623"/>
      <c r="AA32" s="92"/>
      <c r="AB32" s="623"/>
      <c r="AC32" s="623"/>
      <c r="AD32" s="92"/>
      <c r="AE32" s="623"/>
      <c r="AF32" s="623"/>
      <c r="AG32" s="92"/>
      <c r="AH32" s="623"/>
      <c r="AI32" s="623"/>
      <c r="AJ32" s="92"/>
      <c r="AK32" s="623"/>
      <c r="AL32" s="623"/>
      <c r="AM32" s="201">
        <f t="shared" si="0"/>
        <v>0</v>
      </c>
      <c r="AO32" s="722"/>
      <c r="AP32" s="722"/>
      <c r="AQ32" s="722">
        <f t="shared" si="2"/>
        <v>0</v>
      </c>
    </row>
    <row r="33" spans="2:43" ht="20.100000000000001" customHeight="1" x14ac:dyDescent="0.15">
      <c r="B33" s="136" t="s">
        <v>114</v>
      </c>
      <c r="C33" s="92">
        <f t="shared" ref="C33:AL33" si="3">SUM(C8:C32)</f>
        <v>0</v>
      </c>
      <c r="D33" s="624">
        <f t="shared" si="3"/>
        <v>0</v>
      </c>
      <c r="E33" s="625">
        <f t="shared" si="3"/>
        <v>40</v>
      </c>
      <c r="F33" s="92">
        <f t="shared" si="3"/>
        <v>0</v>
      </c>
      <c r="G33" s="624">
        <f t="shared" si="3"/>
        <v>20</v>
      </c>
      <c r="H33" s="625">
        <f t="shared" si="3"/>
        <v>60</v>
      </c>
      <c r="I33" s="92">
        <f t="shared" si="3"/>
        <v>40</v>
      </c>
      <c r="J33" s="624">
        <f t="shared" si="3"/>
        <v>35</v>
      </c>
      <c r="K33" s="625">
        <f t="shared" si="3"/>
        <v>162</v>
      </c>
      <c r="L33" s="92">
        <f t="shared" si="3"/>
        <v>167</v>
      </c>
      <c r="M33" s="624">
        <f t="shared" si="3"/>
        <v>12</v>
      </c>
      <c r="N33" s="625">
        <f t="shared" si="3"/>
        <v>7</v>
      </c>
      <c r="O33" s="92">
        <f t="shared" si="3"/>
        <v>7</v>
      </c>
      <c r="P33" s="624">
        <f t="shared" si="3"/>
        <v>47</v>
      </c>
      <c r="Q33" s="625">
        <f t="shared" si="3"/>
        <v>37</v>
      </c>
      <c r="R33" s="92">
        <f t="shared" si="3"/>
        <v>242</v>
      </c>
      <c r="S33" s="624">
        <f t="shared" si="3"/>
        <v>197</v>
      </c>
      <c r="T33" s="625">
        <f t="shared" si="3"/>
        <v>152</v>
      </c>
      <c r="U33" s="92">
        <f t="shared" si="3"/>
        <v>337</v>
      </c>
      <c r="V33" s="624">
        <f t="shared" si="3"/>
        <v>317</v>
      </c>
      <c r="W33" s="625">
        <f t="shared" si="3"/>
        <v>217</v>
      </c>
      <c r="X33" s="92">
        <f t="shared" si="3"/>
        <v>42</v>
      </c>
      <c r="Y33" s="624">
        <f t="shared" si="3"/>
        <v>2</v>
      </c>
      <c r="Z33" s="625">
        <f t="shared" si="3"/>
        <v>27</v>
      </c>
      <c r="AA33" s="92">
        <f t="shared" si="3"/>
        <v>12</v>
      </c>
      <c r="AB33" s="624">
        <f t="shared" si="3"/>
        <v>2</v>
      </c>
      <c r="AC33" s="625">
        <f t="shared" si="3"/>
        <v>302</v>
      </c>
      <c r="AD33" s="92">
        <f t="shared" si="3"/>
        <v>452</v>
      </c>
      <c r="AE33" s="624">
        <f t="shared" si="3"/>
        <v>467</v>
      </c>
      <c r="AF33" s="625">
        <f t="shared" si="3"/>
        <v>22</v>
      </c>
      <c r="AG33" s="92">
        <f t="shared" si="3"/>
        <v>55</v>
      </c>
      <c r="AH33" s="624">
        <f t="shared" si="3"/>
        <v>40</v>
      </c>
      <c r="AI33" s="625">
        <f t="shared" si="3"/>
        <v>40</v>
      </c>
      <c r="AJ33" s="92">
        <f t="shared" si="3"/>
        <v>60</v>
      </c>
      <c r="AK33" s="624">
        <f t="shared" si="3"/>
        <v>20</v>
      </c>
      <c r="AL33" s="625">
        <f t="shared" si="3"/>
        <v>20</v>
      </c>
      <c r="AM33" s="201">
        <f t="shared" si="0"/>
        <v>3659</v>
      </c>
      <c r="AO33" s="722"/>
      <c r="AP33" s="722"/>
      <c r="AQ33" s="722">
        <f t="shared" si="2"/>
        <v>0</v>
      </c>
    </row>
    <row r="34" spans="2:43" ht="20.100000000000001" customHeight="1" thickBot="1" x14ac:dyDescent="0.2">
      <c r="B34" s="139" t="s">
        <v>115</v>
      </c>
      <c r="C34" s="382"/>
      <c r="D34" s="626">
        <f>SUM(C33:E33)</f>
        <v>40</v>
      </c>
      <c r="E34" s="626"/>
      <c r="F34" s="382"/>
      <c r="G34" s="626">
        <f>SUM(F33:H33)</f>
        <v>80</v>
      </c>
      <c r="H34" s="626"/>
      <c r="I34" s="382"/>
      <c r="J34" s="626">
        <f>SUM(I33:K33)</f>
        <v>237</v>
      </c>
      <c r="K34" s="626"/>
      <c r="L34" s="382"/>
      <c r="M34" s="626">
        <f>SUM(L33:N33)</f>
        <v>186</v>
      </c>
      <c r="N34" s="626"/>
      <c r="O34" s="382"/>
      <c r="P34" s="626">
        <f>SUM(O33:Q33)</f>
        <v>91</v>
      </c>
      <c r="Q34" s="626"/>
      <c r="R34" s="382"/>
      <c r="S34" s="626">
        <f>SUM(R33:T33)</f>
        <v>591</v>
      </c>
      <c r="T34" s="626"/>
      <c r="U34" s="382"/>
      <c r="V34" s="626">
        <f>SUM(U33:W33)</f>
        <v>871</v>
      </c>
      <c r="W34" s="626"/>
      <c r="X34" s="382"/>
      <c r="Y34" s="626">
        <f>SUM(X33:Z33)</f>
        <v>71</v>
      </c>
      <c r="Z34" s="626"/>
      <c r="AA34" s="382"/>
      <c r="AB34" s="626">
        <f>SUM(AA33:AC33)</f>
        <v>316</v>
      </c>
      <c r="AC34" s="626"/>
      <c r="AD34" s="382"/>
      <c r="AE34" s="626">
        <f>SUM(AD33:AF33)</f>
        <v>941</v>
      </c>
      <c r="AF34" s="626"/>
      <c r="AG34" s="382"/>
      <c r="AH34" s="626">
        <f>SUM(AG33:AI33)</f>
        <v>135</v>
      </c>
      <c r="AI34" s="626"/>
      <c r="AJ34" s="382"/>
      <c r="AK34" s="626">
        <f>SUM(AJ33:AL33)</f>
        <v>100</v>
      </c>
      <c r="AL34" s="626"/>
      <c r="AM34" s="383">
        <f>SUM(AM8:AM32)</f>
        <v>3659</v>
      </c>
      <c r="AO34" s="722">
        <f>SUM(AO8:AO32)</f>
        <v>90</v>
      </c>
      <c r="AP34" s="722">
        <f t="shared" ref="AP34" si="4">SUM(AP8:AP32)</f>
        <v>4914</v>
      </c>
      <c r="AQ34" s="722">
        <f>SUM(AQ8:AQ33)</f>
        <v>5004</v>
      </c>
    </row>
    <row r="37" spans="2:43" ht="14.25" thickBot="1" x14ac:dyDescent="0.2"/>
    <row r="38" spans="2:43" ht="14.25" thickBot="1" x14ac:dyDescent="0.2">
      <c r="B38" s="1" t="s">
        <v>648</v>
      </c>
      <c r="C38" s="635">
        <f>'４　経営収支'!J4</f>
        <v>1</v>
      </c>
      <c r="D38" s="1" t="s">
        <v>651</v>
      </c>
    </row>
    <row r="39" spans="2:43" ht="14.25" thickBot="1" x14ac:dyDescent="0.2"/>
    <row r="40" spans="2:43" x14ac:dyDescent="0.15">
      <c r="B40" s="636" t="s">
        <v>649</v>
      </c>
      <c r="C40" s="982">
        <v>1</v>
      </c>
      <c r="D40" s="983"/>
      <c r="E40" s="984"/>
      <c r="F40" s="982">
        <v>2</v>
      </c>
      <c r="G40" s="983"/>
      <c r="H40" s="984"/>
      <c r="I40" s="982">
        <v>3</v>
      </c>
      <c r="J40" s="983"/>
      <c r="K40" s="984"/>
      <c r="L40" s="982">
        <v>4</v>
      </c>
      <c r="M40" s="983"/>
      <c r="N40" s="984"/>
      <c r="O40" s="982">
        <v>5</v>
      </c>
      <c r="P40" s="983"/>
      <c r="Q40" s="984"/>
      <c r="R40" s="982">
        <v>6</v>
      </c>
      <c r="S40" s="983"/>
      <c r="T40" s="984"/>
      <c r="U40" s="982">
        <v>7</v>
      </c>
      <c r="V40" s="983"/>
      <c r="W40" s="984"/>
      <c r="X40" s="982">
        <v>8</v>
      </c>
      <c r="Y40" s="983"/>
      <c r="Z40" s="984"/>
      <c r="AA40" s="982">
        <v>9</v>
      </c>
      <c r="AB40" s="983"/>
      <c r="AC40" s="984"/>
      <c r="AD40" s="982">
        <v>10</v>
      </c>
      <c r="AE40" s="983"/>
      <c r="AF40" s="984"/>
      <c r="AG40" s="982">
        <v>11</v>
      </c>
      <c r="AH40" s="983"/>
      <c r="AI40" s="984"/>
      <c r="AJ40" s="982">
        <v>12</v>
      </c>
      <c r="AK40" s="983"/>
      <c r="AL40" s="984"/>
      <c r="AM40" s="985" t="s">
        <v>33</v>
      </c>
    </row>
    <row r="41" spans="2:43" x14ac:dyDescent="0.15">
      <c r="B41" s="637"/>
      <c r="C41" s="628" t="s">
        <v>34</v>
      </c>
      <c r="D41" s="124" t="s">
        <v>35</v>
      </c>
      <c r="E41" s="125" t="s">
        <v>36</v>
      </c>
      <c r="F41" s="628" t="s">
        <v>34</v>
      </c>
      <c r="G41" s="125" t="s">
        <v>35</v>
      </c>
      <c r="H41" s="125" t="s">
        <v>36</v>
      </c>
      <c r="I41" s="628" t="s">
        <v>34</v>
      </c>
      <c r="J41" s="125" t="s">
        <v>35</v>
      </c>
      <c r="K41" s="125" t="s">
        <v>36</v>
      </c>
      <c r="L41" s="628" t="s">
        <v>34</v>
      </c>
      <c r="M41" s="125" t="s">
        <v>35</v>
      </c>
      <c r="N41" s="125" t="s">
        <v>36</v>
      </c>
      <c r="O41" s="628" t="s">
        <v>34</v>
      </c>
      <c r="P41" s="125" t="s">
        <v>35</v>
      </c>
      <c r="Q41" s="125" t="s">
        <v>36</v>
      </c>
      <c r="R41" s="628" t="s">
        <v>34</v>
      </c>
      <c r="S41" s="629" t="s">
        <v>35</v>
      </c>
      <c r="T41" s="629" t="s">
        <v>36</v>
      </c>
      <c r="U41" s="628" t="s">
        <v>34</v>
      </c>
      <c r="V41" s="125" t="s">
        <v>35</v>
      </c>
      <c r="W41" s="125" t="s">
        <v>36</v>
      </c>
      <c r="X41" s="628" t="s">
        <v>34</v>
      </c>
      <c r="Y41" s="125" t="s">
        <v>35</v>
      </c>
      <c r="Z41" s="125" t="s">
        <v>36</v>
      </c>
      <c r="AA41" s="628" t="s">
        <v>34</v>
      </c>
      <c r="AB41" s="125" t="s">
        <v>35</v>
      </c>
      <c r="AC41" s="125" t="s">
        <v>36</v>
      </c>
      <c r="AD41" s="628" t="s">
        <v>34</v>
      </c>
      <c r="AE41" s="125" t="s">
        <v>35</v>
      </c>
      <c r="AF41" s="125" t="s">
        <v>36</v>
      </c>
      <c r="AG41" s="628" t="s">
        <v>34</v>
      </c>
      <c r="AH41" s="125" t="s">
        <v>35</v>
      </c>
      <c r="AI41" s="125" t="s">
        <v>36</v>
      </c>
      <c r="AJ41" s="628" t="s">
        <v>34</v>
      </c>
      <c r="AK41" s="125" t="s">
        <v>35</v>
      </c>
      <c r="AL41" s="125" t="s">
        <v>36</v>
      </c>
      <c r="AM41" s="986"/>
    </row>
    <row r="42" spans="2:43" x14ac:dyDescent="0.15">
      <c r="B42" s="638" t="s">
        <v>650</v>
      </c>
      <c r="C42" s="630">
        <f>C33*$C$38</f>
        <v>0</v>
      </c>
      <c r="D42" s="630">
        <f t="shared" ref="D42:AL42" si="5">D33*$C$38</f>
        <v>0</v>
      </c>
      <c r="E42" s="630">
        <f t="shared" si="5"/>
        <v>40</v>
      </c>
      <c r="F42" s="630">
        <f t="shared" si="5"/>
        <v>0</v>
      </c>
      <c r="G42" s="630">
        <f t="shared" si="5"/>
        <v>20</v>
      </c>
      <c r="H42" s="630">
        <f t="shared" si="5"/>
        <v>60</v>
      </c>
      <c r="I42" s="630">
        <f t="shared" si="5"/>
        <v>40</v>
      </c>
      <c r="J42" s="630">
        <f t="shared" si="5"/>
        <v>35</v>
      </c>
      <c r="K42" s="630">
        <f t="shared" si="5"/>
        <v>162</v>
      </c>
      <c r="L42" s="630">
        <f t="shared" si="5"/>
        <v>167</v>
      </c>
      <c r="M42" s="630">
        <f t="shared" si="5"/>
        <v>12</v>
      </c>
      <c r="N42" s="630">
        <f t="shared" si="5"/>
        <v>7</v>
      </c>
      <c r="O42" s="630">
        <f t="shared" si="5"/>
        <v>7</v>
      </c>
      <c r="P42" s="630">
        <f t="shared" si="5"/>
        <v>47</v>
      </c>
      <c r="Q42" s="630">
        <f t="shared" si="5"/>
        <v>37</v>
      </c>
      <c r="R42" s="630">
        <f t="shared" si="5"/>
        <v>242</v>
      </c>
      <c r="S42" s="630">
        <f t="shared" si="5"/>
        <v>197</v>
      </c>
      <c r="T42" s="630">
        <f t="shared" si="5"/>
        <v>152</v>
      </c>
      <c r="U42" s="630">
        <f t="shared" si="5"/>
        <v>337</v>
      </c>
      <c r="V42" s="630">
        <f t="shared" si="5"/>
        <v>317</v>
      </c>
      <c r="W42" s="630">
        <f t="shared" si="5"/>
        <v>217</v>
      </c>
      <c r="X42" s="630">
        <f t="shared" si="5"/>
        <v>42</v>
      </c>
      <c r="Y42" s="630">
        <f t="shared" si="5"/>
        <v>2</v>
      </c>
      <c r="Z42" s="630">
        <f t="shared" si="5"/>
        <v>27</v>
      </c>
      <c r="AA42" s="630">
        <f t="shared" si="5"/>
        <v>12</v>
      </c>
      <c r="AB42" s="630">
        <f t="shared" si="5"/>
        <v>2</v>
      </c>
      <c r="AC42" s="630">
        <f t="shared" si="5"/>
        <v>302</v>
      </c>
      <c r="AD42" s="630">
        <f t="shared" si="5"/>
        <v>452</v>
      </c>
      <c r="AE42" s="630">
        <f t="shared" si="5"/>
        <v>467</v>
      </c>
      <c r="AF42" s="630">
        <f t="shared" si="5"/>
        <v>22</v>
      </c>
      <c r="AG42" s="630">
        <f t="shared" si="5"/>
        <v>55</v>
      </c>
      <c r="AH42" s="630">
        <f t="shared" si="5"/>
        <v>40</v>
      </c>
      <c r="AI42" s="630">
        <f t="shared" si="5"/>
        <v>40</v>
      </c>
      <c r="AJ42" s="630">
        <f t="shared" si="5"/>
        <v>60</v>
      </c>
      <c r="AK42" s="630">
        <f t="shared" si="5"/>
        <v>20</v>
      </c>
      <c r="AL42" s="630">
        <f t="shared" si="5"/>
        <v>20</v>
      </c>
      <c r="AM42" s="631">
        <f t="shared" ref="AM42" si="6">SUM(C42:AL42)</f>
        <v>3659</v>
      </c>
    </row>
  </sheetData>
  <mergeCells count="28">
    <mergeCell ref="AG40:AI40"/>
    <mergeCell ref="AJ40:AL40"/>
    <mergeCell ref="AM40:AM41"/>
    <mergeCell ref="R40:T40"/>
    <mergeCell ref="U40:W40"/>
    <mergeCell ref="X40:Z40"/>
    <mergeCell ref="AA40:AC40"/>
    <mergeCell ref="AD40:AF40"/>
    <mergeCell ref="C40:E40"/>
    <mergeCell ref="F40:H40"/>
    <mergeCell ref="I40:K40"/>
    <mergeCell ref="L40:N40"/>
    <mergeCell ref="O40:Q40"/>
    <mergeCell ref="AJ3:AL3"/>
    <mergeCell ref="AM3:AM4"/>
    <mergeCell ref="B5:B7"/>
    <mergeCell ref="R3:T3"/>
    <mergeCell ref="U3:W3"/>
    <mergeCell ref="X3:Z3"/>
    <mergeCell ref="AA3:AC3"/>
    <mergeCell ref="AD3:AF3"/>
    <mergeCell ref="AG3:AI3"/>
    <mergeCell ref="B3:B4"/>
    <mergeCell ref="C3:E3"/>
    <mergeCell ref="F3:H3"/>
    <mergeCell ref="I3:K3"/>
    <mergeCell ref="L3:N3"/>
    <mergeCell ref="O3:Q3"/>
  </mergeCells>
  <phoneticPr fontId="5"/>
  <pageMargins left="0.78740157480314965" right="0.78740157480314965" top="0.78740157480314965" bottom="0.78740157480314965" header="0.39370078740157483" footer="0.39370078740157483"/>
  <pageSetup paperSize="9" scale="51" orientation="landscape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J42"/>
  <sheetViews>
    <sheetView view="pageBreakPreview" zoomScale="63" zoomScaleNormal="75" zoomScaleSheetLayoutView="63" workbookViewId="0">
      <selection activeCell="Z19" sqref="Z19"/>
    </sheetView>
  </sheetViews>
  <sheetFormatPr defaultRowHeight="13.5" x14ac:dyDescent="0.15"/>
  <cols>
    <col min="1" max="1" width="1.625" style="93" customWidth="1"/>
    <col min="2" max="2" width="22.625" style="93" customWidth="1"/>
    <col min="3" max="38" width="6.125" style="93" customWidth="1"/>
    <col min="39" max="39" width="7" style="93" customWidth="1"/>
    <col min="40" max="40" width="1.5" style="93" customWidth="1"/>
    <col min="41" max="16384" width="9" style="93"/>
  </cols>
  <sheetData>
    <row r="1" spans="2:62" ht="9.9499999999999993" customHeight="1" x14ac:dyDescent="0.15"/>
    <row r="2" spans="2:62" ht="24.95" customHeight="1" thickBot="1" x14ac:dyDescent="0.2">
      <c r="B2" s="13" t="s">
        <v>502</v>
      </c>
      <c r="C2" s="13"/>
      <c r="D2" s="13"/>
      <c r="E2" s="13"/>
      <c r="F2" s="13"/>
      <c r="G2" s="13"/>
      <c r="H2" s="13"/>
      <c r="I2" s="13"/>
      <c r="J2" s="13"/>
      <c r="K2" s="371" t="s">
        <v>264</v>
      </c>
      <c r="L2" s="554" t="s">
        <v>503</v>
      </c>
      <c r="M2" s="144"/>
      <c r="N2" s="371" t="s">
        <v>265</v>
      </c>
      <c r="O2" s="370" t="s">
        <v>484</v>
      </c>
      <c r="P2" s="13"/>
      <c r="Q2" s="13"/>
      <c r="R2" s="13"/>
      <c r="S2" s="13"/>
      <c r="T2" s="13"/>
      <c r="U2" s="13"/>
      <c r="V2" s="95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</row>
    <row r="3" spans="2:62" ht="20.100000000000001" customHeight="1" x14ac:dyDescent="0.15">
      <c r="B3" s="981" t="s">
        <v>112</v>
      </c>
      <c r="C3" s="973">
        <v>1</v>
      </c>
      <c r="D3" s="974"/>
      <c r="E3" s="975"/>
      <c r="F3" s="973">
        <v>2</v>
      </c>
      <c r="G3" s="974"/>
      <c r="H3" s="975"/>
      <c r="I3" s="973">
        <v>3</v>
      </c>
      <c r="J3" s="974"/>
      <c r="K3" s="975"/>
      <c r="L3" s="973">
        <v>4</v>
      </c>
      <c r="M3" s="974"/>
      <c r="N3" s="975"/>
      <c r="O3" s="973">
        <v>5</v>
      </c>
      <c r="P3" s="974"/>
      <c r="Q3" s="975"/>
      <c r="R3" s="973">
        <v>6</v>
      </c>
      <c r="S3" s="974"/>
      <c r="T3" s="975"/>
      <c r="U3" s="973">
        <v>7</v>
      </c>
      <c r="V3" s="974"/>
      <c r="W3" s="975"/>
      <c r="X3" s="973">
        <v>8</v>
      </c>
      <c r="Y3" s="974"/>
      <c r="Z3" s="975"/>
      <c r="AA3" s="973">
        <v>9</v>
      </c>
      <c r="AB3" s="974"/>
      <c r="AC3" s="975"/>
      <c r="AD3" s="973">
        <v>10</v>
      </c>
      <c r="AE3" s="974"/>
      <c r="AF3" s="975"/>
      <c r="AG3" s="973">
        <v>11</v>
      </c>
      <c r="AH3" s="974"/>
      <c r="AI3" s="975"/>
      <c r="AJ3" s="973">
        <v>12</v>
      </c>
      <c r="AK3" s="974"/>
      <c r="AL3" s="975"/>
      <c r="AM3" s="976" t="s">
        <v>33</v>
      </c>
      <c r="AO3" s="93" t="s">
        <v>645</v>
      </c>
      <c r="AP3" s="93" t="s">
        <v>646</v>
      </c>
      <c r="AQ3" s="93" t="s">
        <v>24</v>
      </c>
    </row>
    <row r="4" spans="2:62" ht="20.100000000000001" customHeight="1" x14ac:dyDescent="0.15">
      <c r="B4" s="980"/>
      <c r="C4" s="123" t="s">
        <v>34</v>
      </c>
      <c r="D4" s="124" t="s">
        <v>35</v>
      </c>
      <c r="E4" s="125" t="s">
        <v>36</v>
      </c>
      <c r="F4" s="123" t="s">
        <v>34</v>
      </c>
      <c r="G4" s="125" t="s">
        <v>35</v>
      </c>
      <c r="H4" s="125" t="s">
        <v>36</v>
      </c>
      <c r="I4" s="123" t="s">
        <v>34</v>
      </c>
      <c r="J4" s="125" t="s">
        <v>35</v>
      </c>
      <c r="K4" s="125" t="s">
        <v>36</v>
      </c>
      <c r="L4" s="123" t="s">
        <v>34</v>
      </c>
      <c r="M4" s="125" t="s">
        <v>35</v>
      </c>
      <c r="N4" s="125" t="s">
        <v>36</v>
      </c>
      <c r="O4" s="123" t="s">
        <v>34</v>
      </c>
      <c r="P4" s="125" t="s">
        <v>35</v>
      </c>
      <c r="Q4" s="125" t="s">
        <v>36</v>
      </c>
      <c r="R4" s="123" t="s">
        <v>34</v>
      </c>
      <c r="S4" s="126" t="s">
        <v>35</v>
      </c>
      <c r="T4" s="126" t="s">
        <v>36</v>
      </c>
      <c r="U4" s="123" t="s">
        <v>34</v>
      </c>
      <c r="V4" s="125" t="s">
        <v>35</v>
      </c>
      <c r="W4" s="125" t="s">
        <v>36</v>
      </c>
      <c r="X4" s="123" t="s">
        <v>34</v>
      </c>
      <c r="Y4" s="125" t="s">
        <v>35</v>
      </c>
      <c r="Z4" s="125" t="s">
        <v>36</v>
      </c>
      <c r="AA4" s="123" t="s">
        <v>34</v>
      </c>
      <c r="AB4" s="125" t="s">
        <v>35</v>
      </c>
      <c r="AC4" s="125" t="s">
        <v>36</v>
      </c>
      <c r="AD4" s="123" t="s">
        <v>34</v>
      </c>
      <c r="AE4" s="125" t="s">
        <v>35</v>
      </c>
      <c r="AF4" s="125" t="s">
        <v>36</v>
      </c>
      <c r="AG4" s="123" t="s">
        <v>34</v>
      </c>
      <c r="AH4" s="125" t="s">
        <v>35</v>
      </c>
      <c r="AI4" s="125" t="s">
        <v>36</v>
      </c>
      <c r="AJ4" s="123" t="s">
        <v>34</v>
      </c>
      <c r="AK4" s="125" t="s">
        <v>35</v>
      </c>
      <c r="AL4" s="125" t="s">
        <v>36</v>
      </c>
      <c r="AM4" s="977"/>
    </row>
    <row r="5" spans="2:62" ht="20.100000000000001" customHeight="1" x14ac:dyDescent="0.15">
      <c r="B5" s="978" t="s">
        <v>113</v>
      </c>
      <c r="C5" s="127"/>
      <c r="D5" s="13"/>
      <c r="E5" s="13"/>
      <c r="F5" s="13"/>
      <c r="G5" s="13"/>
      <c r="H5" s="13"/>
      <c r="I5" s="13"/>
      <c r="J5" s="13"/>
      <c r="K5" s="13"/>
      <c r="L5" s="13"/>
      <c r="M5" s="13"/>
      <c r="N5" s="95"/>
      <c r="O5" s="95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28"/>
    </row>
    <row r="6" spans="2:62" ht="20.100000000000001" customHeight="1" x14ac:dyDescent="0.15">
      <c r="B6" s="979"/>
      <c r="C6" s="127"/>
      <c r="D6" s="13"/>
      <c r="E6" s="13"/>
      <c r="F6" s="13"/>
      <c r="G6" s="13"/>
      <c r="H6" s="13"/>
      <c r="I6" s="13"/>
      <c r="J6" s="13"/>
      <c r="K6" s="546" t="s">
        <v>620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544"/>
      <c r="Z6" s="544"/>
      <c r="AA6" s="544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28"/>
    </row>
    <row r="7" spans="2:62" ht="20.100000000000001" customHeight="1" x14ac:dyDescent="0.15">
      <c r="B7" s="980"/>
      <c r="C7" s="129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1"/>
    </row>
    <row r="8" spans="2:62" ht="20.100000000000001" customHeight="1" x14ac:dyDescent="0.15">
      <c r="B8" s="132" t="s">
        <v>375</v>
      </c>
      <c r="C8" s="611">
        <v>20</v>
      </c>
      <c r="D8" s="612">
        <v>20</v>
      </c>
      <c r="E8" s="612">
        <v>20</v>
      </c>
      <c r="F8" s="611"/>
      <c r="G8" s="612"/>
      <c r="H8" s="612"/>
      <c r="I8" s="611"/>
      <c r="J8" s="612"/>
      <c r="K8" s="612"/>
      <c r="L8" s="611"/>
      <c r="M8" s="612"/>
      <c r="N8" s="612"/>
      <c r="O8" s="611"/>
      <c r="P8" s="612"/>
      <c r="Q8" s="612"/>
      <c r="R8" s="611"/>
      <c r="S8" s="612"/>
      <c r="T8" s="612"/>
      <c r="U8" s="611"/>
      <c r="V8" s="612"/>
      <c r="W8" s="612"/>
      <c r="X8" s="611"/>
      <c r="Y8" s="612"/>
      <c r="Z8" s="612"/>
      <c r="AA8" s="611"/>
      <c r="AB8" s="612"/>
      <c r="AC8" s="612"/>
      <c r="AD8" s="611"/>
      <c r="AE8" s="612"/>
      <c r="AF8" s="612"/>
      <c r="AG8" s="611"/>
      <c r="AH8" s="612"/>
      <c r="AI8" s="612"/>
      <c r="AJ8" s="611">
        <v>20</v>
      </c>
      <c r="AK8" s="612">
        <v>20</v>
      </c>
      <c r="AL8" s="612">
        <v>20</v>
      </c>
      <c r="AM8" s="613">
        <f>SUM(C8:AL8)</f>
        <v>120</v>
      </c>
      <c r="AN8" s="614"/>
      <c r="AO8" s="615"/>
      <c r="AP8" s="615">
        <v>120</v>
      </c>
      <c r="AQ8" s="616">
        <f>+SUM(AO8:AP8)</f>
        <v>120</v>
      </c>
    </row>
    <row r="9" spans="2:62" ht="20.100000000000001" customHeight="1" x14ac:dyDescent="0.15">
      <c r="B9" s="132" t="s">
        <v>376</v>
      </c>
      <c r="C9" s="611"/>
      <c r="D9" s="612"/>
      <c r="E9" s="612"/>
      <c r="F9" s="611"/>
      <c r="G9" s="612"/>
      <c r="H9" s="612"/>
      <c r="I9" s="611"/>
      <c r="J9" s="612"/>
      <c r="K9" s="612"/>
      <c r="L9" s="611"/>
      <c r="M9" s="612">
        <v>20</v>
      </c>
      <c r="N9" s="612">
        <v>20</v>
      </c>
      <c r="O9" s="611">
        <v>20</v>
      </c>
      <c r="P9" s="612">
        <v>100</v>
      </c>
      <c r="Q9" s="612">
        <v>20</v>
      </c>
      <c r="R9" s="611">
        <v>10</v>
      </c>
      <c r="S9" s="612">
        <v>10</v>
      </c>
      <c r="T9" s="612">
        <v>10</v>
      </c>
      <c r="U9" s="611">
        <v>10</v>
      </c>
      <c r="V9" s="612"/>
      <c r="W9" s="612"/>
      <c r="X9" s="611"/>
      <c r="Y9" s="612"/>
      <c r="Z9" s="612"/>
      <c r="AA9" s="611"/>
      <c r="AB9" s="612"/>
      <c r="AC9" s="612"/>
      <c r="AD9" s="611"/>
      <c r="AE9" s="612"/>
      <c r="AF9" s="612"/>
      <c r="AG9" s="611"/>
      <c r="AH9" s="612"/>
      <c r="AI9" s="612"/>
      <c r="AJ9" s="611"/>
      <c r="AK9" s="612"/>
      <c r="AL9" s="612"/>
      <c r="AM9" s="613">
        <f t="shared" ref="AM9:AM33" si="0">SUM(C9:AL9)</f>
        <v>220</v>
      </c>
      <c r="AN9" s="614"/>
      <c r="AO9" s="615"/>
      <c r="AP9" s="615">
        <v>800</v>
      </c>
      <c r="AQ9" s="616">
        <f t="shared" ref="AQ9:AQ19" si="1">+SUM(AO9:AP9)</f>
        <v>800</v>
      </c>
    </row>
    <row r="10" spans="2:62" ht="20.100000000000001" customHeight="1" x14ac:dyDescent="0.15">
      <c r="B10" s="132" t="s">
        <v>377</v>
      </c>
      <c r="C10" s="611"/>
      <c r="D10" s="612"/>
      <c r="E10" s="612"/>
      <c r="F10" s="611"/>
      <c r="G10" s="612"/>
      <c r="H10" s="612"/>
      <c r="I10" s="611"/>
      <c r="J10" s="612">
        <v>15</v>
      </c>
      <c r="K10" s="612"/>
      <c r="L10" s="611"/>
      <c r="M10" s="612"/>
      <c r="N10" s="612"/>
      <c r="O10" s="611"/>
      <c r="P10" s="612"/>
      <c r="Q10" s="612"/>
      <c r="R10" s="611"/>
      <c r="S10" s="612"/>
      <c r="T10" s="612"/>
      <c r="U10" s="611"/>
      <c r="V10" s="612"/>
      <c r="W10" s="612"/>
      <c r="X10" s="611"/>
      <c r="Y10" s="612"/>
      <c r="Z10" s="612"/>
      <c r="AA10" s="611">
        <v>15</v>
      </c>
      <c r="AB10" s="612"/>
      <c r="AC10" s="612"/>
      <c r="AD10" s="611"/>
      <c r="AE10" s="612">
        <v>15</v>
      </c>
      <c r="AF10" s="612"/>
      <c r="AG10" s="611"/>
      <c r="AH10" s="612"/>
      <c r="AI10" s="612"/>
      <c r="AJ10" s="611"/>
      <c r="AK10" s="612"/>
      <c r="AL10" s="612"/>
      <c r="AM10" s="613">
        <f t="shared" si="0"/>
        <v>45</v>
      </c>
      <c r="AN10" s="614"/>
      <c r="AO10" s="615"/>
      <c r="AP10" s="615">
        <v>30</v>
      </c>
      <c r="AQ10" s="616">
        <f t="shared" si="1"/>
        <v>30</v>
      </c>
    </row>
    <row r="11" spans="2:62" ht="20.100000000000001" customHeight="1" x14ac:dyDescent="0.15">
      <c r="B11" s="132" t="s">
        <v>378</v>
      </c>
      <c r="C11" s="611"/>
      <c r="D11" s="612">
        <v>20</v>
      </c>
      <c r="E11" s="612">
        <v>20</v>
      </c>
      <c r="F11" s="611"/>
      <c r="G11" s="649"/>
      <c r="H11" s="612"/>
      <c r="I11" s="611"/>
      <c r="J11" s="612"/>
      <c r="K11" s="612">
        <v>5</v>
      </c>
      <c r="L11" s="650"/>
      <c r="M11" s="651">
        <v>5</v>
      </c>
      <c r="N11" s="651">
        <v>5</v>
      </c>
      <c r="O11" s="650">
        <v>5</v>
      </c>
      <c r="P11" s="651">
        <v>5</v>
      </c>
      <c r="Q11" s="651"/>
      <c r="R11" s="650">
        <v>5</v>
      </c>
      <c r="S11" s="651"/>
      <c r="T11" s="651">
        <v>5</v>
      </c>
      <c r="U11" s="650">
        <v>5</v>
      </c>
      <c r="V11" s="651">
        <v>5</v>
      </c>
      <c r="W11" s="651">
        <v>5</v>
      </c>
      <c r="X11" s="650"/>
      <c r="Y11" s="651"/>
      <c r="Z11" s="653"/>
      <c r="AA11" s="611"/>
      <c r="AB11" s="612">
        <v>5</v>
      </c>
      <c r="AC11" s="612"/>
      <c r="AD11" s="611"/>
      <c r="AE11" s="612"/>
      <c r="AF11" s="612"/>
      <c r="AG11" s="611"/>
      <c r="AH11" s="612"/>
      <c r="AI11" s="612"/>
      <c r="AJ11" s="611"/>
      <c r="AK11" s="612"/>
      <c r="AL11" s="612"/>
      <c r="AM11" s="613">
        <f t="shared" si="0"/>
        <v>95</v>
      </c>
      <c r="AN11" s="614"/>
      <c r="AO11" s="615">
        <v>90</v>
      </c>
      <c r="AP11" s="615">
        <v>60</v>
      </c>
      <c r="AQ11" s="616">
        <f t="shared" si="1"/>
        <v>150</v>
      </c>
    </row>
    <row r="12" spans="2:62" ht="20.100000000000001" customHeight="1" x14ac:dyDescent="0.15">
      <c r="B12" s="132" t="s">
        <v>379</v>
      </c>
      <c r="C12" s="611"/>
      <c r="D12" s="612"/>
      <c r="E12" s="612"/>
      <c r="F12" s="611"/>
      <c r="G12" s="612"/>
      <c r="H12" s="612"/>
      <c r="I12" s="611"/>
      <c r="J12" s="612"/>
      <c r="K12" s="612"/>
      <c r="L12" s="611"/>
      <c r="M12" s="612"/>
      <c r="N12" s="612"/>
      <c r="O12" s="611"/>
      <c r="P12" s="612">
        <v>240</v>
      </c>
      <c r="Q12" s="612">
        <v>80</v>
      </c>
      <c r="R12" s="611">
        <v>80</v>
      </c>
      <c r="S12" s="612">
        <v>280</v>
      </c>
      <c r="T12" s="612">
        <v>280</v>
      </c>
      <c r="U12" s="611"/>
      <c r="V12" s="612"/>
      <c r="W12" s="612"/>
      <c r="X12" s="611"/>
      <c r="Y12" s="612"/>
      <c r="Z12" s="612"/>
      <c r="AA12" s="611"/>
      <c r="AB12" s="612"/>
      <c r="AC12" s="612"/>
      <c r="AD12" s="611"/>
      <c r="AE12" s="612"/>
      <c r="AF12" s="612"/>
      <c r="AG12" s="611"/>
      <c r="AH12" s="612"/>
      <c r="AI12" s="612"/>
      <c r="AJ12" s="611"/>
      <c r="AK12" s="612"/>
      <c r="AL12" s="612"/>
      <c r="AM12" s="613">
        <f t="shared" si="0"/>
        <v>960</v>
      </c>
      <c r="AN12" s="614"/>
      <c r="AO12" s="615"/>
      <c r="AP12" s="615">
        <v>1350</v>
      </c>
      <c r="AQ12" s="616">
        <f t="shared" si="1"/>
        <v>1350</v>
      </c>
    </row>
    <row r="13" spans="2:62" ht="20.100000000000001" customHeight="1" x14ac:dyDescent="0.15">
      <c r="B13" s="132" t="s">
        <v>380</v>
      </c>
      <c r="C13" s="611"/>
      <c r="D13" s="612"/>
      <c r="E13" s="612"/>
      <c r="F13" s="611"/>
      <c r="G13" s="612"/>
      <c r="H13" s="612"/>
      <c r="I13" s="611"/>
      <c r="J13" s="612"/>
      <c r="K13" s="612"/>
      <c r="L13" s="611"/>
      <c r="M13" s="612"/>
      <c r="N13" s="612"/>
      <c r="O13" s="611"/>
      <c r="P13" s="612"/>
      <c r="Q13" s="612"/>
      <c r="R13" s="611"/>
      <c r="S13" s="612"/>
      <c r="T13" s="612"/>
      <c r="U13" s="611">
        <v>120</v>
      </c>
      <c r="V13" s="612"/>
      <c r="W13" s="612"/>
      <c r="X13" s="611"/>
      <c r="Y13" s="612"/>
      <c r="Z13" s="612"/>
      <c r="AA13" s="611"/>
      <c r="AB13" s="612"/>
      <c r="AC13" s="612"/>
      <c r="AD13" s="611"/>
      <c r="AE13" s="612"/>
      <c r="AF13" s="612"/>
      <c r="AG13" s="611"/>
      <c r="AH13" s="612"/>
      <c r="AI13" s="612"/>
      <c r="AJ13" s="611"/>
      <c r="AK13" s="612"/>
      <c r="AL13" s="612"/>
      <c r="AM13" s="613">
        <f t="shared" si="0"/>
        <v>120</v>
      </c>
      <c r="AN13" s="614"/>
      <c r="AO13" s="615"/>
      <c r="AP13" s="615">
        <v>220</v>
      </c>
      <c r="AQ13" s="616">
        <f t="shared" si="1"/>
        <v>220</v>
      </c>
    </row>
    <row r="14" spans="2:62" ht="20.100000000000001" customHeight="1" x14ac:dyDescent="0.15">
      <c r="B14" s="132" t="s">
        <v>381</v>
      </c>
      <c r="C14" s="611"/>
      <c r="D14" s="612"/>
      <c r="E14" s="612"/>
      <c r="F14" s="611"/>
      <c r="G14" s="612"/>
      <c r="H14" s="612"/>
      <c r="I14" s="611"/>
      <c r="J14" s="612"/>
      <c r="K14" s="612"/>
      <c r="L14" s="611">
        <v>10</v>
      </c>
      <c r="M14" s="612"/>
      <c r="N14" s="612"/>
      <c r="O14" s="611">
        <v>10</v>
      </c>
      <c r="P14" s="612"/>
      <c r="Q14" s="612"/>
      <c r="R14" s="611">
        <v>10</v>
      </c>
      <c r="S14" s="612"/>
      <c r="T14" s="612"/>
      <c r="U14" s="611">
        <v>10</v>
      </c>
      <c r="V14" s="612"/>
      <c r="W14" s="612"/>
      <c r="X14" s="611">
        <v>10</v>
      </c>
      <c r="Y14" s="612"/>
      <c r="Z14" s="612"/>
      <c r="AA14" s="611"/>
      <c r="AB14" s="612"/>
      <c r="AC14" s="612"/>
      <c r="AD14" s="611"/>
      <c r="AE14" s="612"/>
      <c r="AF14" s="612"/>
      <c r="AG14" s="611"/>
      <c r="AH14" s="612"/>
      <c r="AI14" s="612"/>
      <c r="AJ14" s="611"/>
      <c r="AK14" s="612"/>
      <c r="AL14" s="612"/>
      <c r="AM14" s="613">
        <f t="shared" si="0"/>
        <v>50</v>
      </c>
      <c r="AN14" s="614"/>
      <c r="AO14" s="615"/>
      <c r="AP14" s="615">
        <v>60</v>
      </c>
      <c r="AQ14" s="616">
        <f t="shared" si="1"/>
        <v>60</v>
      </c>
    </row>
    <row r="15" spans="2:62" ht="20.100000000000001" customHeight="1" x14ac:dyDescent="0.15">
      <c r="B15" s="132" t="s">
        <v>382</v>
      </c>
      <c r="C15" s="611"/>
      <c r="D15" s="612"/>
      <c r="E15" s="612"/>
      <c r="F15" s="611"/>
      <c r="G15" s="612"/>
      <c r="H15" s="612"/>
      <c r="I15" s="611"/>
      <c r="J15" s="612"/>
      <c r="K15" s="612">
        <v>2</v>
      </c>
      <c r="L15" s="611">
        <v>2</v>
      </c>
      <c r="M15" s="612">
        <v>2</v>
      </c>
      <c r="N15" s="612">
        <v>2</v>
      </c>
      <c r="O15" s="611">
        <v>2</v>
      </c>
      <c r="P15" s="612">
        <v>2</v>
      </c>
      <c r="Q15" s="612">
        <v>2</v>
      </c>
      <c r="R15" s="611">
        <v>2</v>
      </c>
      <c r="S15" s="612">
        <v>2</v>
      </c>
      <c r="T15" s="612">
        <v>2</v>
      </c>
      <c r="U15" s="611">
        <v>2</v>
      </c>
      <c r="V15" s="612">
        <v>2</v>
      </c>
      <c r="W15" s="612">
        <v>2</v>
      </c>
      <c r="X15" s="611">
        <v>2</v>
      </c>
      <c r="Y15" s="612">
        <v>2</v>
      </c>
      <c r="Z15" s="612">
        <v>2</v>
      </c>
      <c r="AA15" s="611">
        <v>2</v>
      </c>
      <c r="AB15" s="612">
        <v>2</v>
      </c>
      <c r="AC15" s="612">
        <v>2</v>
      </c>
      <c r="AD15" s="611">
        <v>2</v>
      </c>
      <c r="AE15" s="612">
        <v>2</v>
      </c>
      <c r="AF15" s="612">
        <v>2</v>
      </c>
      <c r="AG15" s="611"/>
      <c r="AH15" s="612"/>
      <c r="AI15" s="612"/>
      <c r="AJ15" s="611"/>
      <c r="AK15" s="612"/>
      <c r="AL15" s="612"/>
      <c r="AM15" s="613">
        <f t="shared" si="0"/>
        <v>44</v>
      </c>
      <c r="AN15" s="614"/>
      <c r="AO15" s="615"/>
      <c r="AP15" s="615">
        <v>44</v>
      </c>
      <c r="AQ15" s="616">
        <f t="shared" si="1"/>
        <v>44</v>
      </c>
    </row>
    <row r="16" spans="2:62" ht="20.100000000000001" customHeight="1" x14ac:dyDescent="0.15">
      <c r="B16" s="132" t="s">
        <v>383</v>
      </c>
      <c r="C16" s="611"/>
      <c r="D16" s="612"/>
      <c r="E16" s="612"/>
      <c r="F16" s="611"/>
      <c r="G16" s="612"/>
      <c r="H16" s="612"/>
      <c r="I16" s="611"/>
      <c r="J16" s="612"/>
      <c r="K16" s="612"/>
      <c r="L16" s="611"/>
      <c r="M16" s="612"/>
      <c r="N16" s="612"/>
      <c r="O16" s="611"/>
      <c r="P16" s="612"/>
      <c r="Q16" s="612"/>
      <c r="R16" s="611"/>
      <c r="S16" s="612"/>
      <c r="T16" s="612"/>
      <c r="U16" s="611"/>
      <c r="V16" s="612"/>
      <c r="W16" s="612"/>
      <c r="X16" s="611"/>
      <c r="Y16" s="612">
        <v>300</v>
      </c>
      <c r="Z16" s="612">
        <v>300</v>
      </c>
      <c r="AA16" s="611">
        <v>200</v>
      </c>
      <c r="AB16" s="612"/>
      <c r="AC16" s="612"/>
      <c r="AD16" s="611"/>
      <c r="AE16" s="612"/>
      <c r="AF16" s="612"/>
      <c r="AG16" s="611"/>
      <c r="AH16" s="612"/>
      <c r="AI16" s="612"/>
      <c r="AJ16" s="611"/>
      <c r="AK16" s="612"/>
      <c r="AL16" s="612"/>
      <c r="AM16" s="613">
        <f t="shared" si="0"/>
        <v>800</v>
      </c>
      <c r="AN16" s="614"/>
      <c r="AO16" s="615"/>
      <c r="AP16" s="615">
        <v>1800</v>
      </c>
      <c r="AQ16" s="616">
        <f t="shared" si="1"/>
        <v>1800</v>
      </c>
    </row>
    <row r="17" spans="2:43" ht="20.100000000000001" customHeight="1" x14ac:dyDescent="0.15">
      <c r="B17" s="132" t="s">
        <v>384</v>
      </c>
      <c r="C17" s="611"/>
      <c r="D17" s="612"/>
      <c r="E17" s="612"/>
      <c r="F17" s="611"/>
      <c r="G17" s="612"/>
      <c r="H17" s="612"/>
      <c r="I17" s="611"/>
      <c r="J17" s="612"/>
      <c r="K17" s="612"/>
      <c r="L17" s="611"/>
      <c r="M17" s="612"/>
      <c r="N17" s="612"/>
      <c r="O17" s="611"/>
      <c r="P17" s="612"/>
      <c r="Q17" s="612"/>
      <c r="R17" s="611"/>
      <c r="S17" s="612"/>
      <c r="T17" s="612"/>
      <c r="U17" s="611"/>
      <c r="V17" s="612"/>
      <c r="W17" s="612"/>
      <c r="X17" s="611"/>
      <c r="Y17" s="612"/>
      <c r="Z17" s="612"/>
      <c r="AA17" s="611"/>
      <c r="AB17" s="612"/>
      <c r="AC17" s="612"/>
      <c r="AD17" s="611"/>
      <c r="AE17" s="612"/>
      <c r="AF17" s="612">
        <v>20</v>
      </c>
      <c r="AG17" s="611">
        <v>40</v>
      </c>
      <c r="AH17" s="612">
        <v>40</v>
      </c>
      <c r="AI17" s="612">
        <v>20</v>
      </c>
      <c r="AJ17" s="611"/>
      <c r="AK17" s="612"/>
      <c r="AL17" s="612"/>
      <c r="AM17" s="613">
        <f t="shared" si="0"/>
        <v>120</v>
      </c>
      <c r="AN17" s="614"/>
      <c r="AO17" s="615"/>
      <c r="AP17" s="615">
        <v>90</v>
      </c>
      <c r="AQ17" s="616">
        <f t="shared" si="1"/>
        <v>90</v>
      </c>
    </row>
    <row r="18" spans="2:43" ht="20.100000000000001" customHeight="1" x14ac:dyDescent="0.15">
      <c r="B18" s="132" t="s">
        <v>385</v>
      </c>
      <c r="C18" s="611"/>
      <c r="D18" s="612"/>
      <c r="E18" s="612"/>
      <c r="F18" s="611"/>
      <c r="G18" s="612"/>
      <c r="H18" s="612"/>
      <c r="I18" s="611"/>
      <c r="J18" s="612"/>
      <c r="K18" s="612">
        <v>160</v>
      </c>
      <c r="L18" s="611">
        <v>160</v>
      </c>
      <c r="M18" s="612"/>
      <c r="N18" s="612"/>
      <c r="O18" s="611"/>
      <c r="P18" s="612"/>
      <c r="Q18" s="612"/>
      <c r="R18" s="611"/>
      <c r="S18" s="612"/>
      <c r="T18" s="612"/>
      <c r="U18" s="611"/>
      <c r="V18" s="612">
        <v>40</v>
      </c>
      <c r="W18" s="612">
        <v>40</v>
      </c>
      <c r="X18" s="611"/>
      <c r="Y18" s="612"/>
      <c r="Z18" s="612"/>
      <c r="AA18" s="611"/>
      <c r="AB18" s="612"/>
      <c r="AC18" s="612"/>
      <c r="AD18" s="611"/>
      <c r="AE18" s="612"/>
      <c r="AF18" s="612"/>
      <c r="AG18" s="652"/>
      <c r="AH18" s="612"/>
      <c r="AI18" s="612"/>
      <c r="AJ18" s="611"/>
      <c r="AK18" s="612"/>
      <c r="AL18" s="612"/>
      <c r="AM18" s="613">
        <f t="shared" si="0"/>
        <v>400</v>
      </c>
      <c r="AN18" s="614"/>
      <c r="AO18" s="615"/>
      <c r="AP18" s="615">
        <v>300</v>
      </c>
      <c r="AQ18" s="617">
        <f t="shared" si="1"/>
        <v>300</v>
      </c>
    </row>
    <row r="19" spans="2:43" ht="20.100000000000001" customHeight="1" x14ac:dyDescent="0.15">
      <c r="B19" s="132" t="s">
        <v>386</v>
      </c>
      <c r="C19" s="611"/>
      <c r="D19" s="612"/>
      <c r="E19" s="612">
        <v>40</v>
      </c>
      <c r="F19" s="611"/>
      <c r="G19" s="612"/>
      <c r="H19" s="612">
        <v>40</v>
      </c>
      <c r="I19" s="611"/>
      <c r="J19" s="612"/>
      <c r="K19" s="612"/>
      <c r="L19" s="611"/>
      <c r="M19" s="612"/>
      <c r="N19" s="612"/>
      <c r="O19" s="611"/>
      <c r="P19" s="612"/>
      <c r="Q19" s="612"/>
      <c r="R19" s="611"/>
      <c r="S19" s="612"/>
      <c r="T19" s="612"/>
      <c r="U19" s="611"/>
      <c r="V19" s="612"/>
      <c r="W19" s="612"/>
      <c r="X19" s="611"/>
      <c r="Y19" s="612"/>
      <c r="Z19" s="612"/>
      <c r="AA19" s="611"/>
      <c r="AB19" s="612"/>
      <c r="AC19" s="612"/>
      <c r="AD19" s="611"/>
      <c r="AE19" s="612"/>
      <c r="AF19" s="612"/>
      <c r="AG19" s="611"/>
      <c r="AH19" s="612"/>
      <c r="AI19" s="612"/>
      <c r="AJ19" s="611">
        <v>40</v>
      </c>
      <c r="AK19" s="612"/>
      <c r="AL19" s="612"/>
      <c r="AM19" s="613">
        <f t="shared" si="0"/>
        <v>120</v>
      </c>
      <c r="AN19" s="614"/>
      <c r="AO19" s="615"/>
      <c r="AP19" s="615">
        <v>40</v>
      </c>
      <c r="AQ19" s="616">
        <f t="shared" si="1"/>
        <v>40</v>
      </c>
    </row>
    <row r="20" spans="2:43" ht="20.100000000000001" customHeight="1" x14ac:dyDescent="0.15">
      <c r="B20" s="132"/>
      <c r="C20" s="611"/>
      <c r="D20" s="612"/>
      <c r="E20" s="612"/>
      <c r="F20" s="611"/>
      <c r="G20" s="612"/>
      <c r="H20" s="612"/>
      <c r="I20" s="611"/>
      <c r="J20" s="612"/>
      <c r="K20" s="612"/>
      <c r="L20" s="611"/>
      <c r="M20" s="612"/>
      <c r="N20" s="612"/>
      <c r="O20" s="611"/>
      <c r="P20" s="612"/>
      <c r="Q20" s="612"/>
      <c r="R20" s="611"/>
      <c r="S20" s="612"/>
      <c r="T20" s="612"/>
      <c r="U20" s="611"/>
      <c r="V20" s="612"/>
      <c r="W20" s="612"/>
      <c r="X20" s="611"/>
      <c r="Y20" s="612"/>
      <c r="Z20" s="612"/>
      <c r="AA20" s="611"/>
      <c r="AB20" s="612"/>
      <c r="AC20" s="612"/>
      <c r="AD20" s="611"/>
      <c r="AE20" s="612"/>
      <c r="AF20" s="612"/>
      <c r="AG20" s="611"/>
      <c r="AH20" s="612"/>
      <c r="AI20" s="612"/>
      <c r="AJ20" s="611"/>
      <c r="AK20" s="612"/>
      <c r="AL20" s="612"/>
      <c r="AM20" s="613">
        <f t="shared" si="0"/>
        <v>0</v>
      </c>
      <c r="AN20" s="614"/>
      <c r="AO20" s="616"/>
      <c r="AP20" s="616"/>
      <c r="AQ20" s="616">
        <f t="shared" ref="AQ20:AQ33" si="2">SUM(AO20:AP20)</f>
        <v>0</v>
      </c>
    </row>
    <row r="21" spans="2:43" ht="20.100000000000001" customHeight="1" x14ac:dyDescent="0.15">
      <c r="B21" s="132"/>
      <c r="C21" s="611"/>
      <c r="D21" s="612"/>
      <c r="E21" s="612"/>
      <c r="F21" s="611"/>
      <c r="G21" s="612"/>
      <c r="H21" s="612"/>
      <c r="I21" s="611"/>
      <c r="J21" s="612"/>
      <c r="K21" s="612"/>
      <c r="L21" s="611"/>
      <c r="M21" s="612"/>
      <c r="N21" s="612"/>
      <c r="O21" s="611"/>
      <c r="P21" s="612"/>
      <c r="Q21" s="612"/>
      <c r="R21" s="611"/>
      <c r="S21" s="612"/>
      <c r="T21" s="612"/>
      <c r="U21" s="611"/>
      <c r="V21" s="612"/>
      <c r="W21" s="612"/>
      <c r="X21" s="611"/>
      <c r="Y21" s="612"/>
      <c r="Z21" s="612"/>
      <c r="AA21" s="611"/>
      <c r="AB21" s="612"/>
      <c r="AC21" s="612"/>
      <c r="AD21" s="611"/>
      <c r="AE21" s="612"/>
      <c r="AF21" s="612"/>
      <c r="AG21" s="611"/>
      <c r="AH21" s="612"/>
      <c r="AI21" s="612"/>
      <c r="AJ21" s="611"/>
      <c r="AK21" s="612"/>
      <c r="AL21" s="612"/>
      <c r="AM21" s="613">
        <f t="shared" si="0"/>
        <v>0</v>
      </c>
      <c r="AN21" s="614"/>
      <c r="AO21" s="616"/>
      <c r="AP21" s="616"/>
      <c r="AQ21" s="616">
        <f t="shared" si="2"/>
        <v>0</v>
      </c>
    </row>
    <row r="22" spans="2:43" ht="20.100000000000001" customHeight="1" x14ac:dyDescent="0.15">
      <c r="B22" s="132"/>
      <c r="C22" s="611"/>
      <c r="D22" s="612"/>
      <c r="E22" s="612"/>
      <c r="F22" s="611"/>
      <c r="G22" s="612"/>
      <c r="H22" s="612"/>
      <c r="I22" s="611"/>
      <c r="J22" s="612"/>
      <c r="K22" s="612"/>
      <c r="L22" s="611"/>
      <c r="M22" s="612"/>
      <c r="N22" s="612"/>
      <c r="O22" s="611"/>
      <c r="P22" s="612"/>
      <c r="Q22" s="612"/>
      <c r="R22" s="611"/>
      <c r="S22" s="612"/>
      <c r="T22" s="612"/>
      <c r="U22" s="611"/>
      <c r="V22" s="612"/>
      <c r="W22" s="612"/>
      <c r="X22" s="611"/>
      <c r="Y22" s="612"/>
      <c r="Z22" s="612"/>
      <c r="AA22" s="611"/>
      <c r="AB22" s="612"/>
      <c r="AC22" s="612"/>
      <c r="AD22" s="611"/>
      <c r="AE22" s="612"/>
      <c r="AF22" s="612"/>
      <c r="AG22" s="611"/>
      <c r="AH22" s="612"/>
      <c r="AI22" s="612"/>
      <c r="AJ22" s="611"/>
      <c r="AK22" s="612"/>
      <c r="AL22" s="612"/>
      <c r="AM22" s="613">
        <f t="shared" si="0"/>
        <v>0</v>
      </c>
      <c r="AN22" s="614"/>
      <c r="AO22" s="616"/>
      <c r="AP22" s="616"/>
      <c r="AQ22" s="616">
        <f t="shared" si="2"/>
        <v>0</v>
      </c>
    </row>
    <row r="23" spans="2:43" ht="20.100000000000001" customHeight="1" x14ac:dyDescent="0.15">
      <c r="B23" s="132"/>
      <c r="C23" s="611"/>
      <c r="D23" s="612"/>
      <c r="E23" s="612"/>
      <c r="F23" s="611"/>
      <c r="G23" s="612"/>
      <c r="H23" s="612"/>
      <c r="I23" s="611"/>
      <c r="J23" s="612"/>
      <c r="K23" s="612"/>
      <c r="L23" s="611"/>
      <c r="M23" s="612"/>
      <c r="N23" s="612"/>
      <c r="O23" s="611"/>
      <c r="P23" s="612"/>
      <c r="Q23" s="612"/>
      <c r="R23" s="611"/>
      <c r="S23" s="612"/>
      <c r="T23" s="612"/>
      <c r="U23" s="611"/>
      <c r="V23" s="612"/>
      <c r="W23" s="612"/>
      <c r="X23" s="611"/>
      <c r="Y23" s="612"/>
      <c r="Z23" s="612"/>
      <c r="AA23" s="611"/>
      <c r="AB23" s="612"/>
      <c r="AC23" s="612"/>
      <c r="AD23" s="611"/>
      <c r="AE23" s="612"/>
      <c r="AF23" s="612"/>
      <c r="AG23" s="611"/>
      <c r="AH23" s="612"/>
      <c r="AI23" s="612"/>
      <c r="AJ23" s="611"/>
      <c r="AK23" s="612"/>
      <c r="AL23" s="612"/>
      <c r="AM23" s="613">
        <f t="shared" si="0"/>
        <v>0</v>
      </c>
      <c r="AN23" s="614"/>
      <c r="AO23" s="616"/>
      <c r="AP23" s="616"/>
      <c r="AQ23" s="616">
        <f t="shared" si="2"/>
        <v>0</v>
      </c>
    </row>
    <row r="24" spans="2:43" ht="20.100000000000001" customHeight="1" x14ac:dyDescent="0.15">
      <c r="B24" s="132"/>
      <c r="C24" s="611"/>
      <c r="D24" s="612"/>
      <c r="E24" s="612"/>
      <c r="F24" s="611"/>
      <c r="G24" s="612"/>
      <c r="H24" s="612"/>
      <c r="I24" s="611"/>
      <c r="J24" s="612"/>
      <c r="K24" s="612"/>
      <c r="L24" s="611"/>
      <c r="M24" s="612"/>
      <c r="N24" s="612"/>
      <c r="O24" s="611"/>
      <c r="P24" s="612"/>
      <c r="Q24" s="612"/>
      <c r="R24" s="611"/>
      <c r="S24" s="612"/>
      <c r="T24" s="612"/>
      <c r="U24" s="611"/>
      <c r="V24" s="612"/>
      <c r="W24" s="612"/>
      <c r="X24" s="611"/>
      <c r="Y24" s="612"/>
      <c r="Z24" s="612"/>
      <c r="AA24" s="611"/>
      <c r="AB24" s="612"/>
      <c r="AC24" s="612"/>
      <c r="AD24" s="611"/>
      <c r="AE24" s="612"/>
      <c r="AF24" s="612"/>
      <c r="AG24" s="611"/>
      <c r="AH24" s="612"/>
      <c r="AI24" s="612"/>
      <c r="AJ24" s="611"/>
      <c r="AK24" s="612"/>
      <c r="AL24" s="612"/>
      <c r="AM24" s="613">
        <f t="shared" si="0"/>
        <v>0</v>
      </c>
      <c r="AN24" s="614"/>
      <c r="AO24" s="616"/>
      <c r="AP24" s="616"/>
      <c r="AQ24" s="616">
        <f t="shared" si="2"/>
        <v>0</v>
      </c>
    </row>
    <row r="25" spans="2:43" ht="20.100000000000001" customHeight="1" x14ac:dyDescent="0.15">
      <c r="B25" s="132"/>
      <c r="C25" s="611"/>
      <c r="D25" s="612"/>
      <c r="E25" s="612"/>
      <c r="F25" s="611"/>
      <c r="G25" s="612"/>
      <c r="H25" s="612"/>
      <c r="I25" s="611"/>
      <c r="J25" s="612"/>
      <c r="K25" s="612"/>
      <c r="L25" s="611"/>
      <c r="M25" s="612"/>
      <c r="N25" s="612"/>
      <c r="O25" s="611"/>
      <c r="P25" s="612"/>
      <c r="Q25" s="612"/>
      <c r="R25" s="611"/>
      <c r="S25" s="612"/>
      <c r="T25" s="612"/>
      <c r="U25" s="611"/>
      <c r="V25" s="612"/>
      <c r="W25" s="612"/>
      <c r="X25" s="611"/>
      <c r="Y25" s="612"/>
      <c r="Z25" s="612"/>
      <c r="AA25" s="611"/>
      <c r="AB25" s="612"/>
      <c r="AC25" s="612"/>
      <c r="AD25" s="611"/>
      <c r="AE25" s="612"/>
      <c r="AF25" s="612"/>
      <c r="AG25" s="611"/>
      <c r="AH25" s="612"/>
      <c r="AI25" s="612"/>
      <c r="AJ25" s="611"/>
      <c r="AK25" s="612"/>
      <c r="AL25" s="612"/>
      <c r="AM25" s="613">
        <f t="shared" si="0"/>
        <v>0</v>
      </c>
      <c r="AN25" s="614"/>
      <c r="AO25" s="616"/>
      <c r="AP25" s="616"/>
      <c r="AQ25" s="616">
        <f t="shared" si="2"/>
        <v>0</v>
      </c>
    </row>
    <row r="26" spans="2:43" ht="20.100000000000001" customHeight="1" x14ac:dyDescent="0.15">
      <c r="B26" s="132"/>
      <c r="C26" s="611"/>
      <c r="D26" s="612"/>
      <c r="E26" s="612"/>
      <c r="F26" s="611"/>
      <c r="G26" s="612"/>
      <c r="H26" s="612"/>
      <c r="I26" s="611"/>
      <c r="J26" s="612"/>
      <c r="K26" s="612"/>
      <c r="L26" s="611"/>
      <c r="M26" s="612"/>
      <c r="N26" s="612"/>
      <c r="O26" s="611"/>
      <c r="P26" s="612"/>
      <c r="Q26" s="612"/>
      <c r="R26" s="611"/>
      <c r="S26" s="612"/>
      <c r="T26" s="612"/>
      <c r="U26" s="611"/>
      <c r="V26" s="612"/>
      <c r="W26" s="612"/>
      <c r="X26" s="611"/>
      <c r="Y26" s="612"/>
      <c r="Z26" s="612"/>
      <c r="AA26" s="611"/>
      <c r="AB26" s="612"/>
      <c r="AC26" s="612"/>
      <c r="AD26" s="611"/>
      <c r="AE26" s="612"/>
      <c r="AF26" s="612"/>
      <c r="AG26" s="611"/>
      <c r="AH26" s="612"/>
      <c r="AI26" s="612"/>
      <c r="AJ26" s="611"/>
      <c r="AK26" s="612"/>
      <c r="AL26" s="612"/>
      <c r="AM26" s="613">
        <f t="shared" si="0"/>
        <v>0</v>
      </c>
      <c r="AN26" s="614"/>
      <c r="AO26" s="616"/>
      <c r="AP26" s="616"/>
      <c r="AQ26" s="616">
        <f t="shared" si="2"/>
        <v>0</v>
      </c>
    </row>
    <row r="27" spans="2:43" ht="20.100000000000001" customHeight="1" x14ac:dyDescent="0.15">
      <c r="B27" s="132"/>
      <c r="C27" s="611"/>
      <c r="D27" s="612"/>
      <c r="E27" s="612"/>
      <c r="F27" s="611"/>
      <c r="G27" s="612"/>
      <c r="H27" s="612"/>
      <c r="I27" s="611"/>
      <c r="J27" s="612"/>
      <c r="K27" s="612"/>
      <c r="L27" s="611"/>
      <c r="M27" s="612"/>
      <c r="N27" s="612"/>
      <c r="O27" s="611"/>
      <c r="P27" s="612"/>
      <c r="Q27" s="612"/>
      <c r="R27" s="611"/>
      <c r="S27" s="612"/>
      <c r="T27" s="612"/>
      <c r="U27" s="611"/>
      <c r="V27" s="612"/>
      <c r="W27" s="612"/>
      <c r="X27" s="611"/>
      <c r="Y27" s="612"/>
      <c r="Z27" s="612"/>
      <c r="AA27" s="611"/>
      <c r="AB27" s="612"/>
      <c r="AC27" s="612"/>
      <c r="AD27" s="611"/>
      <c r="AE27" s="612"/>
      <c r="AF27" s="612"/>
      <c r="AG27" s="611"/>
      <c r="AH27" s="612"/>
      <c r="AI27" s="612"/>
      <c r="AJ27" s="611"/>
      <c r="AK27" s="612"/>
      <c r="AL27" s="612"/>
      <c r="AM27" s="613">
        <f t="shared" si="0"/>
        <v>0</v>
      </c>
      <c r="AN27" s="614"/>
      <c r="AO27" s="616"/>
      <c r="AP27" s="616"/>
      <c r="AQ27" s="616">
        <f t="shared" si="2"/>
        <v>0</v>
      </c>
    </row>
    <row r="28" spans="2:43" ht="20.100000000000001" customHeight="1" x14ac:dyDescent="0.15">
      <c r="B28" s="132"/>
      <c r="C28" s="611"/>
      <c r="D28" s="612"/>
      <c r="E28" s="612"/>
      <c r="F28" s="611"/>
      <c r="G28" s="612"/>
      <c r="H28" s="612"/>
      <c r="I28" s="611"/>
      <c r="J28" s="612"/>
      <c r="K28" s="612"/>
      <c r="L28" s="611"/>
      <c r="M28" s="612"/>
      <c r="N28" s="612"/>
      <c r="O28" s="611"/>
      <c r="P28" s="612"/>
      <c r="Q28" s="612"/>
      <c r="R28" s="611"/>
      <c r="S28" s="612"/>
      <c r="T28" s="612"/>
      <c r="U28" s="611"/>
      <c r="V28" s="612"/>
      <c r="W28" s="612"/>
      <c r="X28" s="611"/>
      <c r="Y28" s="612"/>
      <c r="Z28" s="612"/>
      <c r="AA28" s="611"/>
      <c r="AB28" s="612"/>
      <c r="AC28" s="612"/>
      <c r="AD28" s="611"/>
      <c r="AE28" s="612"/>
      <c r="AF28" s="612"/>
      <c r="AG28" s="611"/>
      <c r="AH28" s="612"/>
      <c r="AI28" s="612"/>
      <c r="AJ28" s="611"/>
      <c r="AK28" s="612"/>
      <c r="AL28" s="612"/>
      <c r="AM28" s="613">
        <f t="shared" si="0"/>
        <v>0</v>
      </c>
      <c r="AN28" s="614"/>
      <c r="AO28" s="616"/>
      <c r="AP28" s="616"/>
      <c r="AQ28" s="616">
        <f t="shared" si="2"/>
        <v>0</v>
      </c>
    </row>
    <row r="29" spans="2:43" ht="20.100000000000001" customHeight="1" x14ac:dyDescent="0.15">
      <c r="B29" s="132"/>
      <c r="C29" s="611"/>
      <c r="D29" s="612"/>
      <c r="E29" s="612"/>
      <c r="F29" s="611"/>
      <c r="G29" s="612"/>
      <c r="H29" s="612"/>
      <c r="I29" s="611"/>
      <c r="J29" s="612"/>
      <c r="K29" s="612"/>
      <c r="L29" s="611"/>
      <c r="M29" s="612"/>
      <c r="N29" s="612"/>
      <c r="O29" s="611"/>
      <c r="P29" s="612"/>
      <c r="Q29" s="612"/>
      <c r="R29" s="611"/>
      <c r="S29" s="612"/>
      <c r="T29" s="612"/>
      <c r="U29" s="611"/>
      <c r="V29" s="612"/>
      <c r="W29" s="612"/>
      <c r="X29" s="611"/>
      <c r="Y29" s="612"/>
      <c r="Z29" s="612"/>
      <c r="AA29" s="611"/>
      <c r="AB29" s="612"/>
      <c r="AC29" s="612"/>
      <c r="AD29" s="611"/>
      <c r="AE29" s="612"/>
      <c r="AF29" s="612"/>
      <c r="AG29" s="611"/>
      <c r="AH29" s="612"/>
      <c r="AI29" s="612"/>
      <c r="AJ29" s="611"/>
      <c r="AK29" s="612"/>
      <c r="AL29" s="612"/>
      <c r="AM29" s="613">
        <f t="shared" si="0"/>
        <v>0</v>
      </c>
      <c r="AN29" s="614"/>
      <c r="AO29" s="616"/>
      <c r="AP29" s="616"/>
      <c r="AQ29" s="616">
        <f t="shared" si="2"/>
        <v>0</v>
      </c>
    </row>
    <row r="30" spans="2:43" ht="20.100000000000001" customHeight="1" x14ac:dyDescent="0.15">
      <c r="B30" s="132"/>
      <c r="C30" s="611"/>
      <c r="D30" s="612"/>
      <c r="E30" s="612"/>
      <c r="F30" s="611"/>
      <c r="G30" s="612"/>
      <c r="H30" s="612"/>
      <c r="I30" s="611"/>
      <c r="J30" s="612"/>
      <c r="K30" s="612"/>
      <c r="L30" s="611"/>
      <c r="M30" s="612"/>
      <c r="N30" s="612"/>
      <c r="O30" s="611"/>
      <c r="P30" s="612"/>
      <c r="Q30" s="612"/>
      <c r="R30" s="611"/>
      <c r="S30" s="612"/>
      <c r="T30" s="612"/>
      <c r="U30" s="611"/>
      <c r="V30" s="612"/>
      <c r="W30" s="612"/>
      <c r="X30" s="611"/>
      <c r="Y30" s="612"/>
      <c r="Z30" s="612"/>
      <c r="AA30" s="611"/>
      <c r="AB30" s="612"/>
      <c r="AC30" s="612"/>
      <c r="AD30" s="611"/>
      <c r="AE30" s="612"/>
      <c r="AF30" s="612"/>
      <c r="AG30" s="611"/>
      <c r="AH30" s="612"/>
      <c r="AI30" s="612"/>
      <c r="AJ30" s="611"/>
      <c r="AK30" s="612"/>
      <c r="AL30" s="612"/>
      <c r="AM30" s="613">
        <f t="shared" si="0"/>
        <v>0</v>
      </c>
      <c r="AN30" s="614"/>
      <c r="AO30" s="616"/>
      <c r="AP30" s="616"/>
      <c r="AQ30" s="616">
        <f t="shared" si="2"/>
        <v>0</v>
      </c>
    </row>
    <row r="31" spans="2:43" ht="20.100000000000001" customHeight="1" x14ac:dyDescent="0.15">
      <c r="B31" s="132"/>
      <c r="C31" s="611"/>
      <c r="D31" s="612"/>
      <c r="E31" s="612"/>
      <c r="F31" s="611"/>
      <c r="G31" s="612"/>
      <c r="H31" s="612"/>
      <c r="I31" s="611"/>
      <c r="J31" s="612"/>
      <c r="K31" s="612"/>
      <c r="L31" s="611"/>
      <c r="M31" s="612"/>
      <c r="N31" s="612"/>
      <c r="O31" s="611"/>
      <c r="P31" s="612"/>
      <c r="Q31" s="612"/>
      <c r="R31" s="611"/>
      <c r="S31" s="612"/>
      <c r="T31" s="612"/>
      <c r="U31" s="611"/>
      <c r="V31" s="612"/>
      <c r="W31" s="612"/>
      <c r="X31" s="611"/>
      <c r="Y31" s="612"/>
      <c r="Z31" s="612"/>
      <c r="AA31" s="611"/>
      <c r="AB31" s="612"/>
      <c r="AC31" s="612"/>
      <c r="AD31" s="611"/>
      <c r="AE31" s="612"/>
      <c r="AF31" s="612"/>
      <c r="AG31" s="611"/>
      <c r="AH31" s="612"/>
      <c r="AI31" s="612"/>
      <c r="AJ31" s="611"/>
      <c r="AK31" s="612"/>
      <c r="AL31" s="612"/>
      <c r="AM31" s="613">
        <f t="shared" si="0"/>
        <v>0</v>
      </c>
      <c r="AN31" s="614"/>
      <c r="AO31" s="616"/>
      <c r="AP31" s="616"/>
      <c r="AQ31" s="616">
        <f t="shared" si="2"/>
        <v>0</v>
      </c>
    </row>
    <row r="32" spans="2:43" ht="20.100000000000001" customHeight="1" x14ac:dyDescent="0.15">
      <c r="B32" s="132"/>
      <c r="C32" s="611"/>
      <c r="D32" s="612"/>
      <c r="E32" s="612"/>
      <c r="F32" s="611"/>
      <c r="G32" s="612"/>
      <c r="H32" s="612"/>
      <c r="I32" s="611"/>
      <c r="J32" s="612"/>
      <c r="K32" s="612"/>
      <c r="L32" s="611"/>
      <c r="M32" s="612"/>
      <c r="N32" s="612"/>
      <c r="O32" s="611"/>
      <c r="P32" s="612"/>
      <c r="Q32" s="612"/>
      <c r="R32" s="611"/>
      <c r="S32" s="612"/>
      <c r="T32" s="612"/>
      <c r="U32" s="611"/>
      <c r="V32" s="612"/>
      <c r="W32" s="612"/>
      <c r="X32" s="611"/>
      <c r="Y32" s="612"/>
      <c r="Z32" s="612"/>
      <c r="AA32" s="611"/>
      <c r="AB32" s="612"/>
      <c r="AC32" s="612"/>
      <c r="AD32" s="611"/>
      <c r="AE32" s="612"/>
      <c r="AF32" s="612"/>
      <c r="AG32" s="611"/>
      <c r="AH32" s="612"/>
      <c r="AI32" s="612"/>
      <c r="AJ32" s="611"/>
      <c r="AK32" s="612"/>
      <c r="AL32" s="612"/>
      <c r="AM32" s="613">
        <f t="shared" si="0"/>
        <v>0</v>
      </c>
      <c r="AN32" s="614"/>
      <c r="AO32" s="616"/>
      <c r="AP32" s="616"/>
      <c r="AQ32" s="616">
        <f t="shared" si="2"/>
        <v>0</v>
      </c>
    </row>
    <row r="33" spans="2:43" ht="20.100000000000001" customHeight="1" x14ac:dyDescent="0.15">
      <c r="B33" s="136" t="s">
        <v>114</v>
      </c>
      <c r="C33" s="611">
        <f t="shared" ref="C33:AL33" si="3">SUM(C8:C32)</f>
        <v>20</v>
      </c>
      <c r="D33" s="618">
        <f t="shared" si="3"/>
        <v>40</v>
      </c>
      <c r="E33" s="619">
        <f t="shared" si="3"/>
        <v>80</v>
      </c>
      <c r="F33" s="611">
        <f t="shared" si="3"/>
        <v>0</v>
      </c>
      <c r="G33" s="618">
        <f t="shared" si="3"/>
        <v>0</v>
      </c>
      <c r="H33" s="619">
        <f t="shared" si="3"/>
        <v>40</v>
      </c>
      <c r="I33" s="611">
        <f t="shared" si="3"/>
        <v>0</v>
      </c>
      <c r="J33" s="618">
        <f t="shared" si="3"/>
        <v>15</v>
      </c>
      <c r="K33" s="619">
        <f t="shared" si="3"/>
        <v>167</v>
      </c>
      <c r="L33" s="611">
        <f t="shared" si="3"/>
        <v>172</v>
      </c>
      <c r="M33" s="618">
        <f t="shared" si="3"/>
        <v>27</v>
      </c>
      <c r="N33" s="619">
        <f t="shared" si="3"/>
        <v>27</v>
      </c>
      <c r="O33" s="611">
        <f t="shared" si="3"/>
        <v>37</v>
      </c>
      <c r="P33" s="618">
        <f t="shared" si="3"/>
        <v>347</v>
      </c>
      <c r="Q33" s="619">
        <f t="shared" si="3"/>
        <v>102</v>
      </c>
      <c r="R33" s="611">
        <f t="shared" si="3"/>
        <v>107</v>
      </c>
      <c r="S33" s="618">
        <f t="shared" si="3"/>
        <v>292</v>
      </c>
      <c r="T33" s="619">
        <f t="shared" si="3"/>
        <v>297</v>
      </c>
      <c r="U33" s="611">
        <f t="shared" si="3"/>
        <v>147</v>
      </c>
      <c r="V33" s="618">
        <f t="shared" si="3"/>
        <v>47</v>
      </c>
      <c r="W33" s="619">
        <f t="shared" si="3"/>
        <v>47</v>
      </c>
      <c r="X33" s="611">
        <f t="shared" si="3"/>
        <v>12</v>
      </c>
      <c r="Y33" s="618">
        <f t="shared" si="3"/>
        <v>302</v>
      </c>
      <c r="Z33" s="619">
        <f t="shared" si="3"/>
        <v>302</v>
      </c>
      <c r="AA33" s="611">
        <f t="shared" si="3"/>
        <v>217</v>
      </c>
      <c r="AB33" s="618">
        <f t="shared" si="3"/>
        <v>7</v>
      </c>
      <c r="AC33" s="619">
        <f t="shared" si="3"/>
        <v>2</v>
      </c>
      <c r="AD33" s="611">
        <f t="shared" si="3"/>
        <v>2</v>
      </c>
      <c r="AE33" s="618">
        <f t="shared" si="3"/>
        <v>17</v>
      </c>
      <c r="AF33" s="619">
        <f t="shared" si="3"/>
        <v>22</v>
      </c>
      <c r="AG33" s="611">
        <f t="shared" si="3"/>
        <v>40</v>
      </c>
      <c r="AH33" s="618">
        <f t="shared" si="3"/>
        <v>40</v>
      </c>
      <c r="AI33" s="619">
        <f t="shared" si="3"/>
        <v>20</v>
      </c>
      <c r="AJ33" s="611">
        <f t="shared" si="3"/>
        <v>60</v>
      </c>
      <c r="AK33" s="618">
        <f t="shared" si="3"/>
        <v>20</v>
      </c>
      <c r="AL33" s="619">
        <f t="shared" si="3"/>
        <v>20</v>
      </c>
      <c r="AM33" s="613">
        <f t="shared" si="0"/>
        <v>3094</v>
      </c>
      <c r="AN33" s="614"/>
      <c r="AO33" s="616"/>
      <c r="AP33" s="616"/>
      <c r="AQ33" s="616">
        <f t="shared" si="2"/>
        <v>0</v>
      </c>
    </row>
    <row r="34" spans="2:43" ht="20.100000000000001" customHeight="1" thickBot="1" x14ac:dyDescent="0.2">
      <c r="B34" s="139" t="s">
        <v>115</v>
      </c>
      <c r="C34" s="620"/>
      <c r="D34" s="621">
        <f>SUM(C33:E33)</f>
        <v>140</v>
      </c>
      <c r="E34" s="621"/>
      <c r="F34" s="620"/>
      <c r="G34" s="621">
        <f>SUM(F33:H33)</f>
        <v>40</v>
      </c>
      <c r="H34" s="621"/>
      <c r="I34" s="620"/>
      <c r="J34" s="621">
        <f>SUM(I33:K33)</f>
        <v>182</v>
      </c>
      <c r="K34" s="621"/>
      <c r="L34" s="620"/>
      <c r="M34" s="621">
        <f>SUM(L33:N33)</f>
        <v>226</v>
      </c>
      <c r="N34" s="621"/>
      <c r="O34" s="620"/>
      <c r="P34" s="621">
        <f>SUM(O33:Q33)</f>
        <v>486</v>
      </c>
      <c r="Q34" s="621"/>
      <c r="R34" s="620"/>
      <c r="S34" s="621">
        <f>SUM(R33:T33)</f>
        <v>696</v>
      </c>
      <c r="T34" s="621"/>
      <c r="U34" s="620"/>
      <c r="V34" s="621">
        <f>SUM(U33:W33)</f>
        <v>241</v>
      </c>
      <c r="W34" s="621"/>
      <c r="X34" s="620"/>
      <c r="Y34" s="621">
        <f>SUM(X33:Z33)</f>
        <v>616</v>
      </c>
      <c r="Z34" s="621"/>
      <c r="AA34" s="620"/>
      <c r="AB34" s="621">
        <f>SUM(AA33:AC33)</f>
        <v>226</v>
      </c>
      <c r="AC34" s="621"/>
      <c r="AD34" s="620"/>
      <c r="AE34" s="621">
        <f>SUM(AD33:AF33)</f>
        <v>41</v>
      </c>
      <c r="AF34" s="621"/>
      <c r="AG34" s="620"/>
      <c r="AH34" s="621">
        <f>SUM(AG33:AI33)</f>
        <v>100</v>
      </c>
      <c r="AI34" s="621"/>
      <c r="AJ34" s="620"/>
      <c r="AK34" s="621">
        <f>SUM(AJ33:AL33)</f>
        <v>100</v>
      </c>
      <c r="AL34" s="621"/>
      <c r="AM34" s="622">
        <f>SUM(AM8:AM32)</f>
        <v>3094</v>
      </c>
      <c r="AN34" s="614"/>
      <c r="AO34" s="616">
        <f>SUM(AO8:AO32)</f>
        <v>90</v>
      </c>
      <c r="AP34" s="616">
        <f t="shared" ref="AP34" si="4">SUM(AP8:AP32)</f>
        <v>4914</v>
      </c>
      <c r="AQ34" s="616">
        <f>SUM(AQ8:AQ33)</f>
        <v>5004</v>
      </c>
    </row>
    <row r="35" spans="2:43" x14ac:dyDescent="0.15">
      <c r="C35" s="614"/>
      <c r="D35" s="614"/>
      <c r="E35" s="614"/>
      <c r="F35" s="614"/>
      <c r="G35" s="614"/>
      <c r="H35" s="614"/>
      <c r="I35" s="614"/>
      <c r="J35" s="614"/>
      <c r="K35" s="614"/>
      <c r="L35" s="614"/>
      <c r="M35" s="614"/>
      <c r="N35" s="614"/>
      <c r="O35" s="614"/>
      <c r="P35" s="614"/>
      <c r="Q35" s="614"/>
      <c r="R35" s="614"/>
      <c r="S35" s="614"/>
      <c r="T35" s="614"/>
      <c r="U35" s="614"/>
      <c r="V35" s="614"/>
      <c r="W35" s="614"/>
      <c r="X35" s="614"/>
      <c r="Y35" s="614"/>
      <c r="Z35" s="614"/>
      <c r="AA35" s="614"/>
      <c r="AB35" s="614"/>
      <c r="AC35" s="614"/>
      <c r="AD35" s="614"/>
      <c r="AE35" s="614"/>
      <c r="AF35" s="614"/>
      <c r="AG35" s="614"/>
      <c r="AH35" s="614"/>
      <c r="AI35" s="614"/>
      <c r="AJ35" s="614"/>
      <c r="AK35" s="614"/>
      <c r="AL35" s="614"/>
      <c r="AM35" s="614"/>
      <c r="AN35" s="614"/>
      <c r="AO35" s="614"/>
      <c r="AP35" s="614"/>
      <c r="AQ35" s="614"/>
    </row>
    <row r="36" spans="2:43" x14ac:dyDescent="0.15">
      <c r="C36" s="614"/>
      <c r="D36" s="614"/>
      <c r="E36" s="614"/>
      <c r="F36" s="614"/>
      <c r="G36" s="614"/>
      <c r="H36" s="614"/>
      <c r="I36" s="614"/>
      <c r="J36" s="614"/>
      <c r="K36" s="614"/>
      <c r="L36" s="614"/>
      <c r="M36" s="614"/>
      <c r="N36" s="614"/>
      <c r="O36" s="614"/>
      <c r="P36" s="614"/>
      <c r="Q36" s="614"/>
      <c r="R36" s="614"/>
      <c r="S36" s="614"/>
      <c r="T36" s="614"/>
      <c r="U36" s="614"/>
      <c r="V36" s="614"/>
      <c r="W36" s="614"/>
      <c r="X36" s="614"/>
      <c r="Y36" s="614"/>
      <c r="Z36" s="614"/>
      <c r="AA36" s="614"/>
      <c r="AB36" s="614"/>
      <c r="AC36" s="614"/>
      <c r="AD36" s="614"/>
      <c r="AE36" s="614"/>
      <c r="AF36" s="614"/>
      <c r="AG36" s="614"/>
      <c r="AH36" s="614"/>
      <c r="AI36" s="614"/>
      <c r="AJ36" s="614"/>
      <c r="AK36" s="614"/>
      <c r="AL36" s="614"/>
      <c r="AM36" s="614"/>
      <c r="AN36" s="614"/>
      <c r="AO36" s="614"/>
      <c r="AP36" s="614"/>
      <c r="AQ36" s="614"/>
    </row>
    <row r="37" spans="2:43" ht="14.25" thickBot="1" x14ac:dyDescent="0.2"/>
    <row r="38" spans="2:43" ht="14.25" thickBot="1" x14ac:dyDescent="0.2">
      <c r="B38" s="1" t="s">
        <v>648</v>
      </c>
      <c r="C38" s="635">
        <f>'４　経営収支'!K4</f>
        <v>0</v>
      </c>
      <c r="D38" s="1" t="s">
        <v>651</v>
      </c>
    </row>
    <row r="39" spans="2:43" ht="14.25" thickBot="1" x14ac:dyDescent="0.2"/>
    <row r="40" spans="2:43" x14ac:dyDescent="0.15">
      <c r="B40" s="636" t="s">
        <v>649</v>
      </c>
      <c r="C40" s="982">
        <v>1</v>
      </c>
      <c r="D40" s="983"/>
      <c r="E40" s="984"/>
      <c r="F40" s="982">
        <v>2</v>
      </c>
      <c r="G40" s="983"/>
      <c r="H40" s="984"/>
      <c r="I40" s="982">
        <v>3</v>
      </c>
      <c r="J40" s="983"/>
      <c r="K40" s="984"/>
      <c r="L40" s="982">
        <v>4</v>
      </c>
      <c r="M40" s="983"/>
      <c r="N40" s="984"/>
      <c r="O40" s="982">
        <v>5</v>
      </c>
      <c r="P40" s="983"/>
      <c r="Q40" s="984"/>
      <c r="R40" s="982">
        <v>6</v>
      </c>
      <c r="S40" s="983"/>
      <c r="T40" s="984"/>
      <c r="U40" s="982">
        <v>7</v>
      </c>
      <c r="V40" s="983"/>
      <c r="W40" s="984"/>
      <c r="X40" s="982">
        <v>8</v>
      </c>
      <c r="Y40" s="983"/>
      <c r="Z40" s="984"/>
      <c r="AA40" s="982">
        <v>9</v>
      </c>
      <c r="AB40" s="983"/>
      <c r="AC40" s="984"/>
      <c r="AD40" s="982">
        <v>10</v>
      </c>
      <c r="AE40" s="983"/>
      <c r="AF40" s="984"/>
      <c r="AG40" s="982">
        <v>11</v>
      </c>
      <c r="AH40" s="983"/>
      <c r="AI40" s="984"/>
      <c r="AJ40" s="982">
        <v>12</v>
      </c>
      <c r="AK40" s="983"/>
      <c r="AL40" s="984"/>
      <c r="AM40" s="985" t="s">
        <v>33</v>
      </c>
    </row>
    <row r="41" spans="2:43" x14ac:dyDescent="0.15">
      <c r="B41" s="637"/>
      <c r="C41" s="628" t="s">
        <v>34</v>
      </c>
      <c r="D41" s="124" t="s">
        <v>35</v>
      </c>
      <c r="E41" s="125" t="s">
        <v>36</v>
      </c>
      <c r="F41" s="628" t="s">
        <v>34</v>
      </c>
      <c r="G41" s="125" t="s">
        <v>35</v>
      </c>
      <c r="H41" s="125" t="s">
        <v>36</v>
      </c>
      <c r="I41" s="628" t="s">
        <v>34</v>
      </c>
      <c r="J41" s="125" t="s">
        <v>35</v>
      </c>
      <c r="K41" s="125" t="s">
        <v>36</v>
      </c>
      <c r="L41" s="628" t="s">
        <v>34</v>
      </c>
      <c r="M41" s="125" t="s">
        <v>35</v>
      </c>
      <c r="N41" s="125" t="s">
        <v>36</v>
      </c>
      <c r="O41" s="628" t="s">
        <v>34</v>
      </c>
      <c r="P41" s="125" t="s">
        <v>35</v>
      </c>
      <c r="Q41" s="125" t="s">
        <v>36</v>
      </c>
      <c r="R41" s="628" t="s">
        <v>34</v>
      </c>
      <c r="S41" s="629" t="s">
        <v>35</v>
      </c>
      <c r="T41" s="629" t="s">
        <v>36</v>
      </c>
      <c r="U41" s="628" t="s">
        <v>34</v>
      </c>
      <c r="V41" s="125" t="s">
        <v>35</v>
      </c>
      <c r="W41" s="125" t="s">
        <v>36</v>
      </c>
      <c r="X41" s="628" t="s">
        <v>34</v>
      </c>
      <c r="Y41" s="125" t="s">
        <v>35</v>
      </c>
      <c r="Z41" s="125" t="s">
        <v>36</v>
      </c>
      <c r="AA41" s="628" t="s">
        <v>34</v>
      </c>
      <c r="AB41" s="125" t="s">
        <v>35</v>
      </c>
      <c r="AC41" s="125" t="s">
        <v>36</v>
      </c>
      <c r="AD41" s="628" t="s">
        <v>34</v>
      </c>
      <c r="AE41" s="125" t="s">
        <v>35</v>
      </c>
      <c r="AF41" s="125" t="s">
        <v>36</v>
      </c>
      <c r="AG41" s="628" t="s">
        <v>34</v>
      </c>
      <c r="AH41" s="125" t="s">
        <v>35</v>
      </c>
      <c r="AI41" s="125" t="s">
        <v>36</v>
      </c>
      <c r="AJ41" s="628" t="s">
        <v>34</v>
      </c>
      <c r="AK41" s="125" t="s">
        <v>35</v>
      </c>
      <c r="AL41" s="125" t="s">
        <v>36</v>
      </c>
      <c r="AM41" s="986"/>
    </row>
    <row r="42" spans="2:43" x14ac:dyDescent="0.15">
      <c r="B42" s="638" t="s">
        <v>650</v>
      </c>
      <c r="C42" s="630">
        <f>C33*$C$38</f>
        <v>0</v>
      </c>
      <c r="D42" s="630">
        <f t="shared" ref="D42:AL42" si="5">D33*$C$38</f>
        <v>0</v>
      </c>
      <c r="E42" s="630">
        <f t="shared" si="5"/>
        <v>0</v>
      </c>
      <c r="F42" s="630">
        <f t="shared" si="5"/>
        <v>0</v>
      </c>
      <c r="G42" s="630">
        <f t="shared" si="5"/>
        <v>0</v>
      </c>
      <c r="H42" s="630">
        <f t="shared" si="5"/>
        <v>0</v>
      </c>
      <c r="I42" s="630">
        <f t="shared" si="5"/>
        <v>0</v>
      </c>
      <c r="J42" s="630">
        <f t="shared" si="5"/>
        <v>0</v>
      </c>
      <c r="K42" s="630">
        <f t="shared" si="5"/>
        <v>0</v>
      </c>
      <c r="L42" s="630">
        <f t="shared" si="5"/>
        <v>0</v>
      </c>
      <c r="M42" s="630">
        <f t="shared" si="5"/>
        <v>0</v>
      </c>
      <c r="N42" s="630">
        <f t="shared" si="5"/>
        <v>0</v>
      </c>
      <c r="O42" s="630">
        <f t="shared" si="5"/>
        <v>0</v>
      </c>
      <c r="P42" s="630">
        <f t="shared" si="5"/>
        <v>0</v>
      </c>
      <c r="Q42" s="630">
        <f t="shared" si="5"/>
        <v>0</v>
      </c>
      <c r="R42" s="630">
        <f t="shared" si="5"/>
        <v>0</v>
      </c>
      <c r="S42" s="630">
        <f t="shared" si="5"/>
        <v>0</v>
      </c>
      <c r="T42" s="630">
        <f t="shared" si="5"/>
        <v>0</v>
      </c>
      <c r="U42" s="630">
        <f t="shared" si="5"/>
        <v>0</v>
      </c>
      <c r="V42" s="630">
        <f t="shared" si="5"/>
        <v>0</v>
      </c>
      <c r="W42" s="630">
        <f t="shared" si="5"/>
        <v>0</v>
      </c>
      <c r="X42" s="630">
        <f t="shared" si="5"/>
        <v>0</v>
      </c>
      <c r="Y42" s="630">
        <f t="shared" si="5"/>
        <v>0</v>
      </c>
      <c r="Z42" s="630">
        <f t="shared" si="5"/>
        <v>0</v>
      </c>
      <c r="AA42" s="630">
        <f t="shared" si="5"/>
        <v>0</v>
      </c>
      <c r="AB42" s="630">
        <f t="shared" si="5"/>
        <v>0</v>
      </c>
      <c r="AC42" s="630">
        <f t="shared" si="5"/>
        <v>0</v>
      </c>
      <c r="AD42" s="630">
        <f t="shared" si="5"/>
        <v>0</v>
      </c>
      <c r="AE42" s="630">
        <f t="shared" si="5"/>
        <v>0</v>
      </c>
      <c r="AF42" s="630">
        <f t="shared" si="5"/>
        <v>0</v>
      </c>
      <c r="AG42" s="630">
        <f t="shared" si="5"/>
        <v>0</v>
      </c>
      <c r="AH42" s="630">
        <f t="shared" si="5"/>
        <v>0</v>
      </c>
      <c r="AI42" s="630">
        <f t="shared" si="5"/>
        <v>0</v>
      </c>
      <c r="AJ42" s="630">
        <f t="shared" si="5"/>
        <v>0</v>
      </c>
      <c r="AK42" s="630">
        <f t="shared" si="5"/>
        <v>0</v>
      </c>
      <c r="AL42" s="630">
        <f t="shared" si="5"/>
        <v>0</v>
      </c>
      <c r="AM42" s="631">
        <f t="shared" ref="AM42" si="6">SUM(C42:AL42)</f>
        <v>0</v>
      </c>
    </row>
  </sheetData>
  <mergeCells count="28">
    <mergeCell ref="AG40:AI40"/>
    <mergeCell ref="AJ40:AL40"/>
    <mergeCell ref="AM40:AM41"/>
    <mergeCell ref="R40:T40"/>
    <mergeCell ref="U40:W40"/>
    <mergeCell ref="X40:Z40"/>
    <mergeCell ref="AA40:AC40"/>
    <mergeCell ref="AD40:AF40"/>
    <mergeCell ref="C40:E40"/>
    <mergeCell ref="F40:H40"/>
    <mergeCell ref="I40:K40"/>
    <mergeCell ref="L40:N40"/>
    <mergeCell ref="O40:Q40"/>
    <mergeCell ref="AJ3:AL3"/>
    <mergeCell ref="AM3:AM4"/>
    <mergeCell ref="B5:B7"/>
    <mergeCell ref="R3:T3"/>
    <mergeCell ref="U3:W3"/>
    <mergeCell ref="X3:Z3"/>
    <mergeCell ref="AA3:AC3"/>
    <mergeCell ref="AD3:AF3"/>
    <mergeCell ref="AG3:AI3"/>
    <mergeCell ref="B3:B4"/>
    <mergeCell ref="C3:E3"/>
    <mergeCell ref="F3:H3"/>
    <mergeCell ref="I3:K3"/>
    <mergeCell ref="L3:N3"/>
    <mergeCell ref="O3:Q3"/>
  </mergeCells>
  <phoneticPr fontId="5"/>
  <pageMargins left="0.78740157480314965" right="0.78740157480314965" top="0.78740157480314965" bottom="0.78740157480314965" header="0.39370078740157483" footer="0.39370078740157483"/>
  <pageSetup paperSize="9" scale="51" orientation="landscape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Q39"/>
  <sheetViews>
    <sheetView view="pageBreakPreview" zoomScale="62" zoomScaleNormal="84" zoomScaleSheetLayoutView="62" workbookViewId="0">
      <selection activeCell="U37" sqref="U37"/>
    </sheetView>
  </sheetViews>
  <sheetFormatPr defaultRowHeight="13.5" x14ac:dyDescent="0.15"/>
  <cols>
    <col min="1" max="1" width="1.625" style="93" customWidth="1"/>
    <col min="2" max="2" width="5" style="93" customWidth="1"/>
    <col min="3" max="3" width="22.5" style="93" bestFit="1" customWidth="1"/>
    <col min="4" max="4" width="30" style="93" bestFit="1" customWidth="1"/>
    <col min="5" max="6" width="6" style="93" bestFit="1" customWidth="1"/>
    <col min="7" max="7" width="17.625" style="93" customWidth="1"/>
    <col min="8" max="8" width="10.625" style="93" customWidth="1"/>
    <col min="9" max="9" width="17.625" style="93" customWidth="1"/>
    <col min="10" max="10" width="10.625" style="93" customWidth="1"/>
    <col min="11" max="11" width="15.125" style="94" bestFit="1" customWidth="1"/>
    <col min="12" max="12" width="17.625" style="93" customWidth="1"/>
    <col min="13" max="13" width="10.625" style="93" customWidth="1"/>
    <col min="14" max="14" width="17.625" style="93" customWidth="1"/>
    <col min="15" max="15" width="10.625" style="93" customWidth="1"/>
    <col min="16" max="16" width="19.75" style="93" bestFit="1" customWidth="1"/>
    <col min="17" max="17" width="10.125" style="93" bestFit="1" customWidth="1"/>
    <col min="18" max="16384" width="9" style="93"/>
  </cols>
  <sheetData>
    <row r="1" spans="2:17" ht="9.9499999999999993" customHeight="1" x14ac:dyDescent="0.15"/>
    <row r="2" spans="2:17" ht="24.95" customHeight="1" thickBot="1" x14ac:dyDescent="0.2">
      <c r="B2" s="2" t="s">
        <v>266</v>
      </c>
      <c r="C2" s="13"/>
      <c r="D2" s="13"/>
      <c r="E2" s="95"/>
      <c r="F2" s="992"/>
      <c r="G2" s="993"/>
      <c r="H2" s="96"/>
      <c r="I2" s="96"/>
      <c r="J2" s="97"/>
      <c r="K2" s="98"/>
      <c r="L2" s="97"/>
      <c r="M2" s="99"/>
      <c r="P2" s="97"/>
    </row>
    <row r="3" spans="2:17" x14ac:dyDescent="0.15">
      <c r="B3" s="998" t="s">
        <v>117</v>
      </c>
      <c r="C3" s="990" t="s">
        <v>37</v>
      </c>
      <c r="D3" s="990" t="s">
        <v>116</v>
      </c>
      <c r="E3" s="994" t="s">
        <v>38</v>
      </c>
      <c r="F3" s="995"/>
      <c r="G3" s="100" t="s">
        <v>39</v>
      </c>
      <c r="H3" s="100" t="s">
        <v>119</v>
      </c>
      <c r="I3" s="100" t="s">
        <v>118</v>
      </c>
      <c r="J3" s="990" t="s">
        <v>84</v>
      </c>
      <c r="K3" s="101" t="s">
        <v>145</v>
      </c>
      <c r="L3" s="100" t="s">
        <v>40</v>
      </c>
      <c r="M3" s="100" t="s">
        <v>123</v>
      </c>
      <c r="N3" s="100" t="s">
        <v>41</v>
      </c>
      <c r="O3" s="100" t="s">
        <v>42</v>
      </c>
      <c r="P3" s="389" t="s">
        <v>43</v>
      </c>
    </row>
    <row r="4" spans="2:17" x14ac:dyDescent="0.15">
      <c r="B4" s="999"/>
      <c r="C4" s="991"/>
      <c r="D4" s="991"/>
      <c r="E4" s="102" t="s">
        <v>86</v>
      </c>
      <c r="F4" s="102" t="s">
        <v>9</v>
      </c>
      <c r="G4" s="103" t="s">
        <v>146</v>
      </c>
      <c r="H4" s="103" t="s">
        <v>147</v>
      </c>
      <c r="I4" s="103" t="s">
        <v>127</v>
      </c>
      <c r="J4" s="991"/>
      <c r="K4" s="104" t="s">
        <v>148</v>
      </c>
      <c r="L4" s="103" t="s">
        <v>149</v>
      </c>
      <c r="M4" s="103" t="s">
        <v>150</v>
      </c>
      <c r="N4" s="103" t="s">
        <v>129</v>
      </c>
      <c r="O4" s="103" t="s">
        <v>151</v>
      </c>
      <c r="P4" s="390" t="s">
        <v>152</v>
      </c>
    </row>
    <row r="5" spans="2:17" x14ac:dyDescent="0.15">
      <c r="B5" s="996" t="s">
        <v>193</v>
      </c>
      <c r="C5" s="582" t="s">
        <v>369</v>
      </c>
      <c r="D5" s="582" t="s">
        <v>370</v>
      </c>
      <c r="E5" s="582">
        <v>3</v>
      </c>
      <c r="F5" s="582" t="s">
        <v>374</v>
      </c>
      <c r="G5" s="582">
        <f>Q5*E5*10</f>
        <v>48000000</v>
      </c>
      <c r="H5" s="583">
        <v>0</v>
      </c>
      <c r="I5" s="582">
        <f>G5*(1-H5)</f>
        <v>48000000</v>
      </c>
      <c r="J5" s="92" t="s">
        <v>595</v>
      </c>
      <c r="K5" s="105">
        <v>0.33333333333333331</v>
      </c>
      <c r="L5" s="92">
        <f>I$5*K5</f>
        <v>16000000</v>
      </c>
      <c r="M5" s="106">
        <v>0</v>
      </c>
      <c r="N5" s="92">
        <f t="shared" ref="N5:N10" si="0">L5*M5/100</f>
        <v>0</v>
      </c>
      <c r="O5" s="92">
        <v>14</v>
      </c>
      <c r="P5" s="201">
        <f>IF(O5="","",(L5-N5)/O5)</f>
        <v>1142857.142857143</v>
      </c>
      <c r="Q5" s="718">
        <v>1600000</v>
      </c>
    </row>
    <row r="6" spans="2:17" x14ac:dyDescent="0.15">
      <c r="B6" s="997"/>
      <c r="C6" s="513" t="s">
        <v>561</v>
      </c>
      <c r="D6" s="514" t="s">
        <v>409</v>
      </c>
      <c r="E6" s="515">
        <v>150</v>
      </c>
      <c r="F6" s="516" t="s">
        <v>563</v>
      </c>
      <c r="G6" s="514">
        <v>6480000</v>
      </c>
      <c r="H6" s="517"/>
      <c r="I6" s="518">
        <f t="shared" ref="I6:I10" si="1">G6*(1-H6)</f>
        <v>6480000</v>
      </c>
      <c r="J6" s="499" t="s">
        <v>595</v>
      </c>
      <c r="K6" s="105">
        <v>0.33333333333333331</v>
      </c>
      <c r="L6" s="92">
        <f t="shared" ref="L6:L20" si="2">I6*K6</f>
        <v>2160000</v>
      </c>
      <c r="M6" s="106">
        <v>0</v>
      </c>
      <c r="N6" s="92">
        <f t="shared" si="0"/>
        <v>0</v>
      </c>
      <c r="O6" s="92">
        <v>31</v>
      </c>
      <c r="P6" s="201">
        <f t="shared" ref="P6:P12" si="3">IF(O6="","",(L6-N6)/O6)</f>
        <v>69677.419354838712</v>
      </c>
      <c r="Q6" s="718"/>
    </row>
    <row r="7" spans="2:17" x14ac:dyDescent="0.15">
      <c r="B7" s="988"/>
      <c r="C7" s="92" t="s">
        <v>564</v>
      </c>
      <c r="D7" s="92" t="s">
        <v>566</v>
      </c>
      <c r="E7" s="107">
        <v>1</v>
      </c>
      <c r="F7" s="108" t="s">
        <v>374</v>
      </c>
      <c r="G7" s="92">
        <v>100000000</v>
      </c>
      <c r="H7" s="106">
        <v>0.5</v>
      </c>
      <c r="I7" s="92">
        <f t="shared" si="1"/>
        <v>50000000</v>
      </c>
      <c r="J7" s="92" t="s">
        <v>597</v>
      </c>
      <c r="K7" s="105">
        <v>1</v>
      </c>
      <c r="L7" s="92">
        <f t="shared" si="2"/>
        <v>50000000</v>
      </c>
      <c r="M7" s="106">
        <v>0</v>
      </c>
      <c r="N7" s="92">
        <f t="shared" si="0"/>
        <v>0</v>
      </c>
      <c r="O7" s="92">
        <v>10</v>
      </c>
      <c r="P7" s="201">
        <f t="shared" si="3"/>
        <v>5000000</v>
      </c>
      <c r="Q7" s="718"/>
    </row>
    <row r="8" spans="2:17" x14ac:dyDescent="0.15">
      <c r="B8" s="988"/>
      <c r="C8" s="92" t="s">
        <v>567</v>
      </c>
      <c r="D8" s="92" t="s">
        <v>569</v>
      </c>
      <c r="E8" s="92">
        <v>6</v>
      </c>
      <c r="F8" s="92" t="s">
        <v>571</v>
      </c>
      <c r="G8" s="92">
        <v>1134000</v>
      </c>
      <c r="H8" s="106"/>
      <c r="I8" s="92">
        <f t="shared" si="1"/>
        <v>1134000</v>
      </c>
      <c r="J8" s="92" t="s">
        <v>597</v>
      </c>
      <c r="K8" s="105">
        <v>1</v>
      </c>
      <c r="L8" s="92">
        <f t="shared" si="2"/>
        <v>1134000</v>
      </c>
      <c r="M8" s="106">
        <v>0</v>
      </c>
      <c r="N8" s="92">
        <f t="shared" si="0"/>
        <v>0</v>
      </c>
      <c r="O8" s="92">
        <v>7</v>
      </c>
      <c r="P8" s="201">
        <f t="shared" si="3"/>
        <v>162000</v>
      </c>
      <c r="Q8" s="718"/>
    </row>
    <row r="9" spans="2:17" x14ac:dyDescent="0.15">
      <c r="B9" s="988"/>
      <c r="C9" s="92" t="s">
        <v>373</v>
      </c>
      <c r="D9" s="92"/>
      <c r="E9" s="92">
        <v>3</v>
      </c>
      <c r="F9" s="92" t="s">
        <v>374</v>
      </c>
      <c r="G9" s="627">
        <f t="shared" ref="G9:G10" si="4">Q9*E9*10</f>
        <v>18750000</v>
      </c>
      <c r="H9" s="106"/>
      <c r="I9" s="92">
        <f t="shared" si="1"/>
        <v>18750000</v>
      </c>
      <c r="J9" s="92" t="s">
        <v>607</v>
      </c>
      <c r="K9" s="105">
        <v>0.33333333333333331</v>
      </c>
      <c r="L9" s="92">
        <f t="shared" si="2"/>
        <v>6250000</v>
      </c>
      <c r="M9" s="106">
        <v>0</v>
      </c>
      <c r="N9" s="92">
        <f t="shared" si="0"/>
        <v>0</v>
      </c>
      <c r="O9" s="92">
        <v>8</v>
      </c>
      <c r="P9" s="201">
        <f t="shared" si="3"/>
        <v>781250</v>
      </c>
      <c r="Q9" s="718">
        <v>625000</v>
      </c>
    </row>
    <row r="10" spans="2:17" x14ac:dyDescent="0.15">
      <c r="B10" s="988"/>
      <c r="C10" s="92" t="s">
        <v>592</v>
      </c>
      <c r="D10" s="92"/>
      <c r="E10" s="92">
        <v>2</v>
      </c>
      <c r="F10" s="92" t="s">
        <v>374</v>
      </c>
      <c r="G10" s="511">
        <f t="shared" si="4"/>
        <v>8000000</v>
      </c>
      <c r="H10" s="106"/>
      <c r="I10" s="92">
        <f t="shared" si="1"/>
        <v>8000000</v>
      </c>
      <c r="J10" s="92" t="s">
        <v>608</v>
      </c>
      <c r="K10" s="105">
        <v>0.5</v>
      </c>
      <c r="L10" s="92">
        <f t="shared" si="2"/>
        <v>4000000</v>
      </c>
      <c r="M10" s="106">
        <v>0</v>
      </c>
      <c r="N10" s="92">
        <f t="shared" si="0"/>
        <v>0</v>
      </c>
      <c r="O10" s="92">
        <v>10</v>
      </c>
      <c r="P10" s="201">
        <f t="shared" si="3"/>
        <v>400000</v>
      </c>
      <c r="Q10" s="718">
        <v>400000</v>
      </c>
    </row>
    <row r="11" spans="2:17" x14ac:dyDescent="0.15">
      <c r="B11" s="988"/>
      <c r="C11" s="92"/>
      <c r="D11" s="92"/>
      <c r="E11" s="92"/>
      <c r="F11" s="92"/>
      <c r="G11" s="92"/>
      <c r="H11" s="106"/>
      <c r="I11" s="92"/>
      <c r="J11" s="92"/>
      <c r="K11" s="105"/>
      <c r="L11" s="92"/>
      <c r="M11" s="106"/>
      <c r="N11" s="92"/>
      <c r="O11" s="92"/>
      <c r="P11" s="201" t="str">
        <f t="shared" si="3"/>
        <v/>
      </c>
    </row>
    <row r="12" spans="2:17" x14ac:dyDescent="0.15">
      <c r="B12" s="988"/>
      <c r="C12" s="92"/>
      <c r="D12" s="92"/>
      <c r="E12" s="92"/>
      <c r="F12" s="92"/>
      <c r="G12" s="92"/>
      <c r="H12" s="106"/>
      <c r="I12" s="92"/>
      <c r="J12" s="92"/>
      <c r="K12" s="105"/>
      <c r="L12" s="92"/>
      <c r="M12" s="106"/>
      <c r="N12" s="92"/>
      <c r="O12" s="92"/>
      <c r="P12" s="201" t="str">
        <f t="shared" si="3"/>
        <v/>
      </c>
    </row>
    <row r="13" spans="2:17" x14ac:dyDescent="0.15">
      <c r="B13" s="989"/>
      <c r="C13" s="109" t="s">
        <v>44</v>
      </c>
      <c r="D13" s="110"/>
      <c r="E13" s="110"/>
      <c r="F13" s="111"/>
      <c r="G13" s="110">
        <f>SUM(G5:G12)</f>
        <v>182364000</v>
      </c>
      <c r="H13" s="110"/>
      <c r="I13" s="110">
        <f>SUM(I5:I12)</f>
        <v>132364000</v>
      </c>
      <c r="J13" s="110"/>
      <c r="K13" s="112"/>
      <c r="L13" s="110">
        <f>SUM(L5:L12)</f>
        <v>79544000</v>
      </c>
      <c r="M13" s="110"/>
      <c r="N13" s="110"/>
      <c r="O13" s="110"/>
      <c r="P13" s="391">
        <f>SUM(P5:P12)</f>
        <v>7555784.562211982</v>
      </c>
    </row>
    <row r="14" spans="2:17" x14ac:dyDescent="0.15">
      <c r="B14" s="996" t="s">
        <v>194</v>
      </c>
      <c r="C14" s="580" t="str">
        <f>+'６-１　ピオーネトンネル被覆資本装備'!C17</f>
        <v>軽トラック</v>
      </c>
      <c r="D14" s="580" t="str">
        <f>+'６-１　ピオーネトンネル被覆資本装備'!D17</f>
        <v>660cc,4wd</v>
      </c>
      <c r="E14" s="580">
        <v>2</v>
      </c>
      <c r="F14" s="580" t="s">
        <v>88</v>
      </c>
      <c r="G14" s="580">
        <f>+'６-１　ピオーネトンネル被覆資本装備'!G17</f>
        <v>1840000</v>
      </c>
      <c r="H14" s="581">
        <v>0</v>
      </c>
      <c r="I14" s="580">
        <f>G14*(1-H14)</f>
        <v>1840000</v>
      </c>
      <c r="J14" s="92" t="s">
        <v>595</v>
      </c>
      <c r="K14" s="105">
        <v>0.33333333333333331</v>
      </c>
      <c r="L14" s="92">
        <f>I14*K14</f>
        <v>613333.33333333326</v>
      </c>
      <c r="M14" s="113">
        <v>0</v>
      </c>
      <c r="N14" s="92">
        <f>L14*M14</f>
        <v>0</v>
      </c>
      <c r="O14" s="114">
        <v>4</v>
      </c>
      <c r="P14" s="201">
        <f t="shared" ref="P14:P31" si="5">IF(O14="","",(L14-N14)/O14)</f>
        <v>153333.33333333331</v>
      </c>
    </row>
    <row r="15" spans="2:17" x14ac:dyDescent="0.15">
      <c r="B15" s="988"/>
      <c r="C15" s="580" t="str">
        <f>+'６-１　ピオーネトンネル被覆資本装備'!C18</f>
        <v>高圧洗浄機</v>
      </c>
      <c r="D15" s="580" t="str">
        <f>+'６-１　ピオーネトンネル被覆資本装備'!D18</f>
        <v>3.5ps，移動車輪付</v>
      </c>
      <c r="E15" s="580">
        <v>1</v>
      </c>
      <c r="F15" s="580" t="s">
        <v>88</v>
      </c>
      <c r="G15" s="580">
        <f>+'６-１　ピオーネトンネル被覆資本装備'!G18</f>
        <v>163170</v>
      </c>
      <c r="H15" s="581">
        <v>0</v>
      </c>
      <c r="I15" s="580">
        <f>G15*(1-H15)</f>
        <v>163170</v>
      </c>
      <c r="J15" s="92" t="s">
        <v>595</v>
      </c>
      <c r="K15" s="105">
        <v>0.33333333333333331</v>
      </c>
      <c r="L15" s="92">
        <f t="shared" si="2"/>
        <v>54390</v>
      </c>
      <c r="M15" s="113">
        <v>0</v>
      </c>
      <c r="N15" s="92">
        <f t="shared" ref="N15:N20" si="6">L15*M15</f>
        <v>0</v>
      </c>
      <c r="O15" s="114">
        <v>7</v>
      </c>
      <c r="P15" s="201">
        <f t="shared" si="5"/>
        <v>7770</v>
      </c>
    </row>
    <row r="16" spans="2:17" x14ac:dyDescent="0.15">
      <c r="B16" s="988"/>
      <c r="C16" s="582" t="str">
        <f>+'６-１　ピオーネトンネル被覆資本装備'!C19</f>
        <v>中耕機</v>
      </c>
      <c r="D16" s="582" t="str">
        <f>+'６-１　ピオーネトンネル被覆資本装備'!D19</f>
        <v>14ps，90ｃｍ</v>
      </c>
      <c r="E16" s="582">
        <v>1</v>
      </c>
      <c r="F16" s="582" t="s">
        <v>88</v>
      </c>
      <c r="G16" s="582">
        <f>+'６-１　ピオーネトンネル被覆資本装備'!G19</f>
        <v>843000</v>
      </c>
      <c r="H16" s="583">
        <v>0</v>
      </c>
      <c r="I16" s="582">
        <f t="shared" ref="I16:I33" si="7">G16*(1-H16)</f>
        <v>843000</v>
      </c>
      <c r="J16" s="92" t="s">
        <v>595</v>
      </c>
      <c r="K16" s="105">
        <v>0.33333333333333331</v>
      </c>
      <c r="L16" s="92">
        <f t="shared" si="2"/>
        <v>281000</v>
      </c>
      <c r="M16" s="106">
        <v>0</v>
      </c>
      <c r="N16" s="92">
        <f t="shared" si="6"/>
        <v>0</v>
      </c>
      <c r="O16" s="92">
        <v>7</v>
      </c>
      <c r="P16" s="201">
        <f t="shared" si="5"/>
        <v>40142.857142857145</v>
      </c>
    </row>
    <row r="17" spans="2:16" x14ac:dyDescent="0.15">
      <c r="B17" s="988"/>
      <c r="C17" s="511" t="str">
        <f>+'６-１　ピオーネトンネル被覆資本装備'!C16</f>
        <v>ＳＳ</v>
      </c>
      <c r="D17" s="511" t="str">
        <f>+'６-１　ピオーネトンネル被覆資本装備'!D16</f>
        <v>600ℓ，4ＷＤ，33.5ps</v>
      </c>
      <c r="E17" s="511">
        <v>1</v>
      </c>
      <c r="F17" s="511" t="s">
        <v>88</v>
      </c>
      <c r="G17" s="511">
        <f>+'６-１　ピオーネトンネル被覆資本装備'!G16</f>
        <v>3937500</v>
      </c>
      <c r="H17" s="512">
        <v>0</v>
      </c>
      <c r="I17" s="511">
        <f>G17*(1-H17)</f>
        <v>3937500</v>
      </c>
      <c r="J17" s="92" t="s">
        <v>595</v>
      </c>
      <c r="K17" s="105">
        <v>0.33333333333333331</v>
      </c>
      <c r="L17" s="92">
        <f>I17*K17</f>
        <v>1312500</v>
      </c>
      <c r="M17" s="113">
        <v>0</v>
      </c>
      <c r="N17" s="92">
        <f t="shared" si="6"/>
        <v>0</v>
      </c>
      <c r="O17" s="114">
        <v>7</v>
      </c>
      <c r="P17" s="201">
        <f t="shared" si="5"/>
        <v>187500</v>
      </c>
    </row>
    <row r="18" spans="2:16" x14ac:dyDescent="0.15">
      <c r="B18" s="988"/>
      <c r="C18" s="92" t="str">
        <f>+'６-１　ピオーネトンネル被覆資本装備'!C20</f>
        <v>トレンチャー</v>
      </c>
      <c r="D18" s="92" t="str">
        <f>+'６-１　ピオーネトンネル被覆資本装備'!D20</f>
        <v>7ps，31cm×0.7m</v>
      </c>
      <c r="E18" s="92">
        <v>1</v>
      </c>
      <c r="F18" s="92" t="s">
        <v>88</v>
      </c>
      <c r="G18" s="92">
        <f>+'６-１　ピオーネトンネル被覆資本装備'!G20</f>
        <v>1802000</v>
      </c>
      <c r="H18" s="106">
        <v>0</v>
      </c>
      <c r="I18" s="92">
        <f t="shared" si="7"/>
        <v>1802000</v>
      </c>
      <c r="J18" s="92" t="s">
        <v>595</v>
      </c>
      <c r="K18" s="105">
        <v>0.33333333333333331</v>
      </c>
      <c r="L18" s="92">
        <f t="shared" si="2"/>
        <v>600666.66666666663</v>
      </c>
      <c r="M18" s="106">
        <v>0</v>
      </c>
      <c r="N18" s="92">
        <f t="shared" si="6"/>
        <v>0</v>
      </c>
      <c r="O18" s="92">
        <v>7</v>
      </c>
      <c r="P18" s="201">
        <f t="shared" si="5"/>
        <v>85809.523809523802</v>
      </c>
    </row>
    <row r="19" spans="2:16" x14ac:dyDescent="0.15">
      <c r="B19" s="988"/>
      <c r="C19" s="511" t="str">
        <f>+'（参考）ピオーネハウス資本装備'!C21</f>
        <v>温風暖房機</v>
      </c>
      <c r="D19" s="511" t="str">
        <f>+'（参考）ピオーネハウス資本装備'!D21</f>
        <v>500坪用，138000kcal/h</v>
      </c>
      <c r="E19" s="511">
        <v>6</v>
      </c>
      <c r="F19" s="92" t="s">
        <v>88</v>
      </c>
      <c r="G19" s="511">
        <v>7446000</v>
      </c>
      <c r="H19" s="512">
        <v>0</v>
      </c>
      <c r="I19" s="511">
        <f t="shared" si="7"/>
        <v>7446000</v>
      </c>
      <c r="J19" s="92" t="s">
        <v>597</v>
      </c>
      <c r="K19" s="105">
        <v>1</v>
      </c>
      <c r="L19" s="92">
        <f t="shared" si="2"/>
        <v>7446000</v>
      </c>
      <c r="M19" s="106">
        <v>0</v>
      </c>
      <c r="N19" s="92">
        <f t="shared" si="6"/>
        <v>0</v>
      </c>
      <c r="O19" s="92">
        <v>7</v>
      </c>
      <c r="P19" s="201">
        <f t="shared" si="5"/>
        <v>1063714.2857142857</v>
      </c>
    </row>
    <row r="20" spans="2:16" x14ac:dyDescent="0.15">
      <c r="B20" s="988"/>
      <c r="C20" s="92" t="s">
        <v>624</v>
      </c>
      <c r="D20" s="92" t="s">
        <v>625</v>
      </c>
      <c r="E20" s="92">
        <v>1</v>
      </c>
      <c r="F20" s="92" t="s">
        <v>626</v>
      </c>
      <c r="G20" s="92">
        <v>248000</v>
      </c>
      <c r="H20" s="512">
        <v>0</v>
      </c>
      <c r="I20" s="92">
        <f t="shared" si="7"/>
        <v>248000</v>
      </c>
      <c r="J20" s="92" t="s">
        <v>595</v>
      </c>
      <c r="K20" s="105">
        <v>0.33333333333333331</v>
      </c>
      <c r="L20" s="92">
        <f t="shared" si="2"/>
        <v>82666.666666666657</v>
      </c>
      <c r="M20" s="106">
        <v>0</v>
      </c>
      <c r="N20" s="92">
        <f t="shared" si="6"/>
        <v>0</v>
      </c>
      <c r="O20" s="92">
        <v>7</v>
      </c>
      <c r="P20" s="201">
        <f t="shared" si="5"/>
        <v>11809.523809523807</v>
      </c>
    </row>
    <row r="21" spans="2:16" x14ac:dyDescent="0.15">
      <c r="B21" s="988"/>
      <c r="C21" s="92"/>
      <c r="D21" s="92"/>
      <c r="E21" s="92"/>
      <c r="F21" s="92"/>
      <c r="G21" s="92"/>
      <c r="H21" s="106"/>
      <c r="I21" s="92"/>
      <c r="J21" s="92"/>
      <c r="K21" s="105"/>
      <c r="L21" s="92"/>
      <c r="M21" s="106"/>
      <c r="N21" s="92"/>
      <c r="O21" s="92"/>
      <c r="P21" s="201" t="str">
        <f t="shared" si="5"/>
        <v/>
      </c>
    </row>
    <row r="22" spans="2:16" x14ac:dyDescent="0.15">
      <c r="B22" s="988"/>
      <c r="C22" s="92"/>
      <c r="D22" s="92"/>
      <c r="E22" s="92"/>
      <c r="F22" s="92"/>
      <c r="G22" s="92"/>
      <c r="H22" s="106"/>
      <c r="I22" s="92"/>
      <c r="J22" s="92"/>
      <c r="K22" s="105"/>
      <c r="L22" s="92"/>
      <c r="M22" s="106"/>
      <c r="N22" s="92"/>
      <c r="O22" s="92"/>
      <c r="P22" s="201" t="str">
        <f t="shared" si="5"/>
        <v/>
      </c>
    </row>
    <row r="23" spans="2:16" x14ac:dyDescent="0.15">
      <c r="B23" s="988"/>
      <c r="C23" s="92"/>
      <c r="D23" s="92"/>
      <c r="E23" s="92"/>
      <c r="F23" s="92"/>
      <c r="G23" s="92"/>
      <c r="H23" s="106"/>
      <c r="I23" s="92"/>
      <c r="J23" s="92"/>
      <c r="K23" s="105"/>
      <c r="L23" s="92"/>
      <c r="M23" s="106"/>
      <c r="N23" s="92"/>
      <c r="O23" s="92"/>
      <c r="P23" s="201" t="str">
        <f t="shared" si="5"/>
        <v/>
      </c>
    </row>
    <row r="24" spans="2:16" x14ac:dyDescent="0.15">
      <c r="B24" s="988"/>
      <c r="C24" s="92"/>
      <c r="D24" s="92"/>
      <c r="E24" s="115"/>
      <c r="F24" s="92"/>
      <c r="G24" s="92"/>
      <c r="H24" s="106"/>
      <c r="I24" s="92"/>
      <c r="J24" s="92"/>
      <c r="K24" s="105"/>
      <c r="L24" s="92"/>
      <c r="M24" s="106"/>
      <c r="N24" s="92"/>
      <c r="O24" s="92"/>
      <c r="P24" s="201" t="str">
        <f t="shared" si="5"/>
        <v/>
      </c>
    </row>
    <row r="25" spans="2:16" x14ac:dyDescent="0.15">
      <c r="B25" s="988"/>
      <c r="C25" s="92"/>
      <c r="D25" s="92"/>
      <c r="E25" s="115"/>
      <c r="F25" s="92"/>
      <c r="G25" s="92"/>
      <c r="H25" s="106"/>
      <c r="I25" s="92"/>
      <c r="J25" s="92"/>
      <c r="K25" s="105"/>
      <c r="L25" s="92"/>
      <c r="M25" s="106"/>
      <c r="N25" s="92"/>
      <c r="O25" s="92"/>
      <c r="P25" s="201" t="str">
        <f t="shared" si="5"/>
        <v/>
      </c>
    </row>
    <row r="26" spans="2:16" x14ac:dyDescent="0.15">
      <c r="B26" s="988"/>
      <c r="C26" s="92"/>
      <c r="D26" s="92"/>
      <c r="E26" s="115"/>
      <c r="F26" s="92"/>
      <c r="G26" s="92"/>
      <c r="H26" s="106"/>
      <c r="I26" s="92"/>
      <c r="J26" s="92"/>
      <c r="K26" s="105"/>
      <c r="L26" s="92"/>
      <c r="M26" s="106"/>
      <c r="N26" s="92"/>
      <c r="O26" s="92"/>
      <c r="P26" s="201" t="str">
        <f t="shared" si="5"/>
        <v/>
      </c>
    </row>
    <row r="27" spans="2:16" x14ac:dyDescent="0.15">
      <c r="B27" s="988"/>
      <c r="C27" s="92"/>
      <c r="D27" s="92"/>
      <c r="E27" s="92"/>
      <c r="F27" s="92"/>
      <c r="G27" s="92"/>
      <c r="H27" s="106"/>
      <c r="I27" s="92"/>
      <c r="J27" s="92"/>
      <c r="K27" s="105"/>
      <c r="L27" s="92"/>
      <c r="M27" s="106"/>
      <c r="N27" s="92"/>
      <c r="O27" s="92"/>
      <c r="P27" s="201" t="str">
        <f t="shared" si="5"/>
        <v/>
      </c>
    </row>
    <row r="28" spans="2:16" x14ac:dyDescent="0.15">
      <c r="B28" s="988"/>
      <c r="C28" s="92"/>
      <c r="D28" s="92"/>
      <c r="E28" s="92"/>
      <c r="F28" s="92"/>
      <c r="G28" s="92"/>
      <c r="H28" s="106"/>
      <c r="I28" s="92"/>
      <c r="J28" s="92"/>
      <c r="K28" s="105"/>
      <c r="L28" s="92"/>
      <c r="M28" s="106"/>
      <c r="N28" s="92"/>
      <c r="O28" s="92"/>
      <c r="P28" s="201" t="str">
        <f t="shared" si="5"/>
        <v/>
      </c>
    </row>
    <row r="29" spans="2:16" x14ac:dyDescent="0.15">
      <c r="B29" s="988"/>
      <c r="C29" s="92"/>
      <c r="D29" s="92"/>
      <c r="E29" s="92"/>
      <c r="F29" s="92"/>
      <c r="G29" s="92"/>
      <c r="H29" s="106"/>
      <c r="I29" s="92"/>
      <c r="J29" s="92"/>
      <c r="K29" s="105"/>
      <c r="L29" s="92"/>
      <c r="M29" s="106"/>
      <c r="N29" s="92"/>
      <c r="O29" s="92"/>
      <c r="P29" s="201" t="str">
        <f t="shared" si="5"/>
        <v/>
      </c>
    </row>
    <row r="30" spans="2:16" x14ac:dyDescent="0.15">
      <c r="B30" s="988"/>
      <c r="C30" s="92"/>
      <c r="D30" s="92"/>
      <c r="E30" s="92"/>
      <c r="F30" s="92"/>
      <c r="G30" s="92"/>
      <c r="H30" s="106"/>
      <c r="I30" s="92"/>
      <c r="J30" s="92"/>
      <c r="K30" s="105"/>
      <c r="L30" s="92"/>
      <c r="M30" s="106"/>
      <c r="N30" s="92"/>
      <c r="O30" s="92"/>
      <c r="P30" s="201" t="str">
        <f t="shared" si="5"/>
        <v/>
      </c>
    </row>
    <row r="31" spans="2:16" x14ac:dyDescent="0.15">
      <c r="B31" s="988"/>
      <c r="C31" s="92"/>
      <c r="D31" s="92"/>
      <c r="E31" s="92"/>
      <c r="F31" s="92"/>
      <c r="G31" s="92"/>
      <c r="H31" s="106"/>
      <c r="I31" s="92"/>
      <c r="J31" s="92"/>
      <c r="K31" s="105"/>
      <c r="L31" s="92"/>
      <c r="M31" s="106"/>
      <c r="N31" s="92"/>
      <c r="O31" s="92"/>
      <c r="P31" s="201" t="str">
        <f t="shared" si="5"/>
        <v/>
      </c>
    </row>
    <row r="32" spans="2:16" x14ac:dyDescent="0.15">
      <c r="B32" s="989"/>
      <c r="C32" s="110" t="s">
        <v>45</v>
      </c>
      <c r="D32" s="110"/>
      <c r="E32" s="110"/>
      <c r="F32" s="111"/>
      <c r="G32" s="110">
        <f>SUM(G14:G31)</f>
        <v>16279670</v>
      </c>
      <c r="H32" s="110"/>
      <c r="I32" s="110">
        <f>SUM(I14:I31)</f>
        <v>16279670</v>
      </c>
      <c r="J32" s="110"/>
      <c r="K32" s="112"/>
      <c r="L32" s="110">
        <f>SUM(L14:L31)</f>
        <v>10390556.666666666</v>
      </c>
      <c r="M32" s="110"/>
      <c r="N32" s="110"/>
      <c r="O32" s="110"/>
      <c r="P32" s="391">
        <f>SUM(P14:P31)</f>
        <v>1550079.5238095238</v>
      </c>
    </row>
    <row r="33" spans="2:16" x14ac:dyDescent="0.15">
      <c r="B33" s="987" t="s">
        <v>126</v>
      </c>
      <c r="C33" s="92" t="str">
        <f>+'６-１　ピオーネトンネル被覆資本装備'!C30</f>
        <v>ピオーネ</v>
      </c>
      <c r="D33" s="92" t="str">
        <f>+'６-１　ピオーネトンネル被覆資本装備'!D30</f>
        <v>1年間育成</v>
      </c>
      <c r="E33" s="92">
        <v>1</v>
      </c>
      <c r="F33" s="92" t="s">
        <v>433</v>
      </c>
      <c r="G33" s="92">
        <f>+'６-１　ピオーネトンネル被覆資本装備'!G30</f>
        <v>2704270</v>
      </c>
      <c r="H33" s="116"/>
      <c r="I33" s="92">
        <f t="shared" si="7"/>
        <v>2704270</v>
      </c>
      <c r="J33" s="92" t="s">
        <v>434</v>
      </c>
      <c r="K33" s="105">
        <v>1</v>
      </c>
      <c r="L33" s="92">
        <f>I33*K33</f>
        <v>2704270</v>
      </c>
      <c r="M33" s="116">
        <v>0.05</v>
      </c>
      <c r="N33" s="92">
        <f>L33*M33</f>
        <v>135213.5</v>
      </c>
      <c r="O33" s="92">
        <v>15</v>
      </c>
      <c r="P33" s="201">
        <f>IF(O33="","",(L33-N33)/O33)</f>
        <v>171270.43333333332</v>
      </c>
    </row>
    <row r="34" spans="2:16" x14ac:dyDescent="0.15">
      <c r="B34" s="988"/>
      <c r="C34" s="92" t="s">
        <v>613</v>
      </c>
      <c r="D34" s="92" t="s">
        <v>612</v>
      </c>
      <c r="E34" s="92">
        <v>1</v>
      </c>
      <c r="F34" s="92" t="s">
        <v>374</v>
      </c>
      <c r="G34" s="92">
        <f>+'６-２　シャイントハウス資本装備'!G36</f>
        <v>3481190</v>
      </c>
      <c r="H34" s="116"/>
      <c r="I34" s="92">
        <f t="shared" ref="I34" si="8">G34*(1-H34)</f>
        <v>3481190</v>
      </c>
      <c r="J34" s="92" t="s">
        <v>432</v>
      </c>
      <c r="K34" s="105">
        <v>1</v>
      </c>
      <c r="L34" s="92">
        <f>I34*K34</f>
        <v>3481190</v>
      </c>
      <c r="M34" s="116">
        <v>0.05</v>
      </c>
      <c r="N34" s="92">
        <f>L34*M34</f>
        <v>174059.5</v>
      </c>
      <c r="O34" s="92">
        <v>15</v>
      </c>
      <c r="P34" s="201">
        <f>IF(O34="","",(L34-N34)/O34)</f>
        <v>220475.36666666667</v>
      </c>
    </row>
    <row r="35" spans="2:16" x14ac:dyDescent="0.15">
      <c r="B35" s="988"/>
      <c r="C35" s="92"/>
      <c r="D35" s="92"/>
      <c r="E35" s="92"/>
      <c r="F35" s="92"/>
      <c r="G35" s="92"/>
      <c r="H35" s="116"/>
      <c r="I35" s="92"/>
      <c r="J35" s="92"/>
      <c r="K35" s="105"/>
      <c r="L35" s="92"/>
      <c r="M35" s="116"/>
      <c r="N35" s="92"/>
      <c r="O35" s="92"/>
      <c r="P35" s="201" t="str">
        <f>IF(O35="","",(L35-N35)/O35)</f>
        <v/>
      </c>
    </row>
    <row r="36" spans="2:16" x14ac:dyDescent="0.15">
      <c r="B36" s="988"/>
      <c r="C36" s="92"/>
      <c r="D36" s="92"/>
      <c r="E36" s="92"/>
      <c r="F36" s="92"/>
      <c r="G36" s="92"/>
      <c r="H36" s="116"/>
      <c r="I36" s="92"/>
      <c r="J36" s="92"/>
      <c r="K36" s="105"/>
      <c r="L36" s="92"/>
      <c r="M36" s="116"/>
      <c r="N36" s="92"/>
      <c r="O36" s="92"/>
      <c r="P36" s="201" t="str">
        <f>IF(O36="","",(L36-N36)/O36)</f>
        <v/>
      </c>
    </row>
    <row r="37" spans="2:16" x14ac:dyDescent="0.15">
      <c r="B37" s="989"/>
      <c r="C37" s="117" t="s">
        <v>45</v>
      </c>
      <c r="D37" s="110"/>
      <c r="E37" s="110"/>
      <c r="F37" s="111"/>
      <c r="G37" s="110">
        <f>SUM(G33:G36)</f>
        <v>6185460</v>
      </c>
      <c r="H37" s="110"/>
      <c r="I37" s="110">
        <f>SUM(I33:I36)</f>
        <v>6185460</v>
      </c>
      <c r="J37" s="110"/>
      <c r="K37" s="112"/>
      <c r="L37" s="110">
        <f>SUM(L33:L36)</f>
        <v>6185460</v>
      </c>
      <c r="M37" s="110"/>
      <c r="N37" s="110"/>
      <c r="O37" s="110"/>
      <c r="P37" s="391">
        <f>SUM(P33:P36)</f>
        <v>391745.8</v>
      </c>
    </row>
    <row r="38" spans="2:16" ht="14.25" thickBot="1" x14ac:dyDescent="0.2">
      <c r="B38" s="118"/>
      <c r="C38" s="119" t="s">
        <v>153</v>
      </c>
      <c r="D38" s="120"/>
      <c r="E38" s="120"/>
      <c r="F38" s="121"/>
      <c r="G38" s="120">
        <f>G13+G32+G37</f>
        <v>204829130</v>
      </c>
      <c r="H38" s="120"/>
      <c r="I38" s="120">
        <f>I13+I32+I37</f>
        <v>154829130</v>
      </c>
      <c r="J38" s="120"/>
      <c r="K38" s="122"/>
      <c r="L38" s="120">
        <f>L13+L32+L37</f>
        <v>96120016.666666672</v>
      </c>
      <c r="M38" s="120"/>
      <c r="N38" s="120"/>
      <c r="O38" s="120"/>
      <c r="P38" s="392">
        <f>P13+P32+P37</f>
        <v>9497609.886021506</v>
      </c>
    </row>
    <row r="39" spans="2:16" ht="11.25" customHeight="1" x14ac:dyDescent="0.15"/>
  </sheetData>
  <mergeCells count="9">
    <mergeCell ref="B33:B37"/>
    <mergeCell ref="J3:J4"/>
    <mergeCell ref="F2:G2"/>
    <mergeCell ref="E3:F3"/>
    <mergeCell ref="B5:B13"/>
    <mergeCell ref="B3:B4"/>
    <mergeCell ref="B14:B32"/>
    <mergeCell ref="C3:C4"/>
    <mergeCell ref="D3:D4"/>
  </mergeCells>
  <phoneticPr fontId="5"/>
  <pageMargins left="0.78740157480314965" right="0.78740157480314965" top="0.78740157480314965" bottom="0.78740157480314965" header="0.39370078740157483" footer="0.39370078740157483"/>
  <pageSetup paperSize="9" scale="59" orientation="landscape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72"/>
  <sheetViews>
    <sheetView view="pageBreakPreview" zoomScale="60" zoomScaleNormal="85" workbookViewId="0">
      <selection activeCell="P64" sqref="B1:P64"/>
    </sheetView>
  </sheetViews>
  <sheetFormatPr defaultRowHeight="13.5" x14ac:dyDescent="0.15"/>
  <cols>
    <col min="1" max="1" width="1.625" style="10" customWidth="1"/>
    <col min="2" max="2" width="5" style="10" customWidth="1"/>
    <col min="3" max="3" width="22.5" style="10" bestFit="1" customWidth="1"/>
    <col min="4" max="4" width="30" style="10" bestFit="1" customWidth="1"/>
    <col min="5" max="6" width="6" style="10" bestFit="1" customWidth="1"/>
    <col min="7" max="7" width="17.625" style="10" customWidth="1"/>
    <col min="8" max="8" width="10.625" style="10" customWidth="1"/>
    <col min="9" max="9" width="17.625" style="10" customWidth="1"/>
    <col min="10" max="10" width="10.625" style="10" customWidth="1"/>
    <col min="11" max="11" width="15.125" style="12" bestFit="1" customWidth="1"/>
    <col min="12" max="12" width="17.625" style="10" customWidth="1"/>
    <col min="13" max="13" width="10.625" style="10" customWidth="1"/>
    <col min="14" max="14" width="17.625" style="10" customWidth="1"/>
    <col min="15" max="15" width="10.625" style="10" customWidth="1"/>
    <col min="16" max="16" width="19.75" style="10" bestFit="1" customWidth="1"/>
    <col min="17" max="17" width="9.875" style="10" bestFit="1" customWidth="1"/>
    <col min="18" max="16384" width="9" style="10"/>
  </cols>
  <sheetData>
    <row r="1" spans="2:17" s="5" customFormat="1" ht="9.9499999999999993" customHeight="1" x14ac:dyDescent="0.15">
      <c r="K1" s="6"/>
    </row>
    <row r="2" spans="2:17" s="5" customFormat="1" ht="24.95" customHeight="1" thickBot="1" x14ac:dyDescent="0.2">
      <c r="B2" s="2" t="s">
        <v>581</v>
      </c>
      <c r="C2" s="7"/>
      <c r="D2" s="7"/>
      <c r="E2" s="8"/>
      <c r="F2" s="1004"/>
      <c r="G2" s="1005"/>
      <c r="H2" s="163" t="s">
        <v>264</v>
      </c>
      <c r="I2" s="3" t="s">
        <v>580</v>
      </c>
      <c r="J2" s="162"/>
      <c r="K2" s="163" t="s">
        <v>265</v>
      </c>
      <c r="L2" s="3" t="s">
        <v>493</v>
      </c>
      <c r="M2" s="9"/>
      <c r="P2" s="14"/>
    </row>
    <row r="3" spans="2:17" s="5" customFormat="1" x14ac:dyDescent="0.15">
      <c r="B3" s="1006" t="s">
        <v>117</v>
      </c>
      <c r="C3" s="1000" t="s">
        <v>37</v>
      </c>
      <c r="D3" s="1008" t="s">
        <v>116</v>
      </c>
      <c r="E3" s="1010" t="s">
        <v>38</v>
      </c>
      <c r="F3" s="1011"/>
      <c r="G3" s="20" t="s">
        <v>39</v>
      </c>
      <c r="H3" s="19" t="s">
        <v>119</v>
      </c>
      <c r="I3" s="19" t="s">
        <v>118</v>
      </c>
      <c r="J3" s="1000" t="s">
        <v>84</v>
      </c>
      <c r="K3" s="21" t="s">
        <v>85</v>
      </c>
      <c r="L3" s="20" t="s">
        <v>40</v>
      </c>
      <c r="M3" s="19" t="s">
        <v>123</v>
      </c>
      <c r="N3" s="20" t="s">
        <v>41</v>
      </c>
      <c r="O3" s="20" t="s">
        <v>42</v>
      </c>
      <c r="P3" s="384" t="s">
        <v>43</v>
      </c>
    </row>
    <row r="4" spans="2:17" x14ac:dyDescent="0.15">
      <c r="B4" s="1007"/>
      <c r="C4" s="1001"/>
      <c r="D4" s="1009"/>
      <c r="E4" s="22" t="s">
        <v>86</v>
      </c>
      <c r="F4" s="22" t="s">
        <v>9</v>
      </c>
      <c r="G4" s="23" t="s">
        <v>121</v>
      </c>
      <c r="H4" s="23" t="s">
        <v>120</v>
      </c>
      <c r="I4" s="23" t="s">
        <v>127</v>
      </c>
      <c r="J4" s="1001"/>
      <c r="K4" s="24" t="s">
        <v>122</v>
      </c>
      <c r="L4" s="23" t="s">
        <v>128</v>
      </c>
      <c r="M4" s="23" t="s">
        <v>124</v>
      </c>
      <c r="N4" s="23" t="s">
        <v>129</v>
      </c>
      <c r="O4" s="23" t="s">
        <v>125</v>
      </c>
      <c r="P4" s="385" t="s">
        <v>130</v>
      </c>
    </row>
    <row r="5" spans="2:17" x14ac:dyDescent="0.15">
      <c r="B5" s="996" t="s">
        <v>193</v>
      </c>
      <c r="C5" s="380" t="s">
        <v>369</v>
      </c>
      <c r="D5" s="380" t="s">
        <v>370</v>
      </c>
      <c r="E5" s="573">
        <v>3</v>
      </c>
      <c r="F5" s="380" t="s">
        <v>562</v>
      </c>
      <c r="G5" s="41">
        <f>Q5*E5*10</f>
        <v>48000000</v>
      </c>
      <c r="H5" s="42">
        <v>0</v>
      </c>
      <c r="I5" s="41">
        <f>G5*(1-H5)</f>
        <v>48000000</v>
      </c>
      <c r="J5" s="380" t="s">
        <v>596</v>
      </c>
      <c r="K5" s="43">
        <f>1/3</f>
        <v>0.33333333333333331</v>
      </c>
      <c r="L5" s="11">
        <f>I5*K5</f>
        <v>16000000</v>
      </c>
      <c r="M5" s="26">
        <v>0</v>
      </c>
      <c r="N5" s="11">
        <v>1</v>
      </c>
      <c r="O5" s="11">
        <v>14</v>
      </c>
      <c r="P5" s="386">
        <f>IF(O5="","",(L5-N5)/O5)</f>
        <v>1142857.0714285714</v>
      </c>
      <c r="Q5" s="10">
        <v>1600000</v>
      </c>
    </row>
    <row r="6" spans="2:17" x14ac:dyDescent="0.15">
      <c r="B6" s="1002"/>
      <c r="C6" s="380" t="s">
        <v>561</v>
      </c>
      <c r="D6" s="380" t="s">
        <v>409</v>
      </c>
      <c r="E6" s="573">
        <v>150</v>
      </c>
      <c r="F6" s="41" t="s">
        <v>563</v>
      </c>
      <c r="G6" s="41">
        <v>6480000</v>
      </c>
      <c r="H6" s="42"/>
      <c r="I6" s="41">
        <f>G6*(1-H6)</f>
        <v>6480000</v>
      </c>
      <c r="J6" s="380" t="s">
        <v>595</v>
      </c>
      <c r="K6" s="43">
        <f>1/3</f>
        <v>0.33333333333333331</v>
      </c>
      <c r="L6" s="11">
        <f>I6*K6</f>
        <v>2160000</v>
      </c>
      <c r="M6" s="26"/>
      <c r="N6" s="11">
        <v>1</v>
      </c>
      <c r="O6" s="11">
        <v>31</v>
      </c>
      <c r="P6" s="386">
        <f t="shared" ref="P6:P14" si="0">IF(O6="","",(L6-N6)/O6)</f>
        <v>69677.387096774197</v>
      </c>
    </row>
    <row r="7" spans="2:17" x14ac:dyDescent="0.15">
      <c r="B7" s="1002"/>
      <c r="C7" s="380" t="s">
        <v>565</v>
      </c>
      <c r="D7" s="380" t="s">
        <v>566</v>
      </c>
      <c r="E7" s="573">
        <v>1</v>
      </c>
      <c r="F7" s="380" t="s">
        <v>562</v>
      </c>
      <c r="G7" s="41">
        <f>10000000*10</f>
        <v>100000000</v>
      </c>
      <c r="H7" s="42">
        <v>0.5</v>
      </c>
      <c r="I7" s="41">
        <f>G7*(1-H7)</f>
        <v>50000000</v>
      </c>
      <c r="J7" s="380" t="s">
        <v>598</v>
      </c>
      <c r="K7" s="43">
        <f>1/1</f>
        <v>1</v>
      </c>
      <c r="L7" s="11">
        <f t="shared" ref="L7" si="1">I7*K7</f>
        <v>50000000</v>
      </c>
      <c r="M7" s="26"/>
      <c r="N7" s="11">
        <v>1</v>
      </c>
      <c r="O7" s="11">
        <v>10</v>
      </c>
      <c r="P7" s="386">
        <f t="shared" si="0"/>
        <v>4999999.9000000004</v>
      </c>
    </row>
    <row r="8" spans="2:17" x14ac:dyDescent="0.15">
      <c r="B8" s="1002"/>
      <c r="C8" s="380" t="s">
        <v>568</v>
      </c>
      <c r="D8" s="380" t="s">
        <v>570</v>
      </c>
      <c r="E8" s="574">
        <v>6</v>
      </c>
      <c r="F8" s="487" t="s">
        <v>571</v>
      </c>
      <c r="G8" s="41">
        <f>189000*6</f>
        <v>1134000</v>
      </c>
      <c r="H8" s="42"/>
      <c r="I8" s="41">
        <f t="shared" ref="I8:I14" si="2">G8*(1-H8)</f>
        <v>1134000</v>
      </c>
      <c r="J8" s="380" t="s">
        <v>597</v>
      </c>
      <c r="K8" s="43">
        <f>1/1</f>
        <v>1</v>
      </c>
      <c r="L8" s="11">
        <f t="shared" ref="L8:L14" si="3">I8*K8</f>
        <v>1134000</v>
      </c>
      <c r="M8" s="26"/>
      <c r="N8" s="11">
        <v>1</v>
      </c>
      <c r="O8" s="576">
        <v>7</v>
      </c>
      <c r="P8" s="386">
        <f t="shared" si="0"/>
        <v>161999.85714285713</v>
      </c>
    </row>
    <row r="9" spans="2:17" x14ac:dyDescent="0.15">
      <c r="B9" s="1002"/>
      <c r="C9" s="380" t="s">
        <v>572</v>
      </c>
      <c r="D9" s="41"/>
      <c r="E9" s="573">
        <v>3</v>
      </c>
      <c r="F9" s="380" t="s">
        <v>562</v>
      </c>
      <c r="G9" s="41">
        <f>Q9*E9*10</f>
        <v>18750000</v>
      </c>
      <c r="H9" s="42">
        <v>0</v>
      </c>
      <c r="I9" s="41">
        <f t="shared" si="2"/>
        <v>18750000</v>
      </c>
      <c r="J9" s="380" t="s">
        <v>595</v>
      </c>
      <c r="K9" s="43">
        <f>1/3</f>
        <v>0.33333333333333331</v>
      </c>
      <c r="L9" s="11">
        <f t="shared" si="3"/>
        <v>6250000</v>
      </c>
      <c r="M9" s="26">
        <v>0</v>
      </c>
      <c r="N9" s="11">
        <v>1</v>
      </c>
      <c r="O9" s="11">
        <v>8</v>
      </c>
      <c r="P9" s="386">
        <f t="shared" si="0"/>
        <v>781249.875</v>
      </c>
      <c r="Q9" s="10">
        <v>625000</v>
      </c>
    </row>
    <row r="10" spans="2:17" x14ac:dyDescent="0.15">
      <c r="B10" s="1002"/>
      <c r="C10" s="41"/>
      <c r="D10" s="41"/>
      <c r="E10" s="41"/>
      <c r="F10" s="44"/>
      <c r="G10" s="41"/>
      <c r="H10" s="42"/>
      <c r="I10" s="41">
        <f t="shared" si="2"/>
        <v>0</v>
      </c>
      <c r="J10" s="41"/>
      <c r="K10" s="43"/>
      <c r="L10" s="11">
        <f t="shared" si="3"/>
        <v>0</v>
      </c>
      <c r="M10" s="26"/>
      <c r="N10" s="11">
        <f t="shared" ref="N10:N14" si="4">L10*M10/100</f>
        <v>0</v>
      </c>
      <c r="O10" s="11"/>
      <c r="P10" s="386" t="str">
        <f t="shared" si="0"/>
        <v/>
      </c>
    </row>
    <row r="11" spans="2:17" x14ac:dyDescent="0.15">
      <c r="B11" s="1002"/>
      <c r="C11" s="41"/>
      <c r="D11" s="41"/>
      <c r="E11" s="41"/>
      <c r="F11" s="41"/>
      <c r="G11" s="41"/>
      <c r="H11" s="42"/>
      <c r="I11" s="41">
        <f t="shared" si="2"/>
        <v>0</v>
      </c>
      <c r="J11" s="41"/>
      <c r="K11" s="43"/>
      <c r="L11" s="11">
        <f t="shared" si="3"/>
        <v>0</v>
      </c>
      <c r="M11" s="26"/>
      <c r="N11" s="11">
        <f t="shared" si="4"/>
        <v>0</v>
      </c>
      <c r="O11" s="11"/>
      <c r="P11" s="386" t="str">
        <f t="shared" si="0"/>
        <v/>
      </c>
    </row>
    <row r="12" spans="2:17" x14ac:dyDescent="0.15">
      <c r="B12" s="1002"/>
      <c r="C12" s="41"/>
      <c r="D12" s="41"/>
      <c r="E12" s="41"/>
      <c r="F12" s="44"/>
      <c r="G12" s="41"/>
      <c r="H12" s="42"/>
      <c r="I12" s="41">
        <f t="shared" si="2"/>
        <v>0</v>
      </c>
      <c r="J12" s="44"/>
      <c r="K12" s="43"/>
      <c r="L12" s="11">
        <f t="shared" si="3"/>
        <v>0</v>
      </c>
      <c r="M12" s="26"/>
      <c r="N12" s="11">
        <f t="shared" si="4"/>
        <v>0</v>
      </c>
      <c r="O12" s="11"/>
      <c r="P12" s="386" t="str">
        <f t="shared" si="0"/>
        <v/>
      </c>
    </row>
    <row r="13" spans="2:17" x14ac:dyDescent="0.15">
      <c r="B13" s="1002"/>
      <c r="C13" s="11"/>
      <c r="D13" s="11"/>
      <c r="E13" s="11"/>
      <c r="F13" s="11"/>
      <c r="G13" s="11"/>
      <c r="H13" s="26"/>
      <c r="I13" s="11">
        <f t="shared" si="2"/>
        <v>0</v>
      </c>
      <c r="J13" s="11"/>
      <c r="K13" s="40"/>
      <c r="L13" s="11">
        <f t="shared" si="3"/>
        <v>0</v>
      </c>
      <c r="M13" s="26"/>
      <c r="N13" s="11">
        <f t="shared" si="4"/>
        <v>0</v>
      </c>
      <c r="O13" s="11"/>
      <c r="P13" s="386" t="str">
        <f t="shared" si="0"/>
        <v/>
      </c>
    </row>
    <row r="14" spans="2:17" x14ac:dyDescent="0.15">
      <c r="B14" s="1002"/>
      <c r="C14" s="11"/>
      <c r="D14" s="11"/>
      <c r="E14" s="11"/>
      <c r="F14" s="11"/>
      <c r="G14" s="11"/>
      <c r="H14" s="26"/>
      <c r="I14" s="11">
        <f t="shared" si="2"/>
        <v>0</v>
      </c>
      <c r="J14" s="11"/>
      <c r="K14" s="40"/>
      <c r="L14" s="11">
        <f t="shared" si="3"/>
        <v>0</v>
      </c>
      <c r="M14" s="26"/>
      <c r="N14" s="11">
        <f t="shared" si="4"/>
        <v>0</v>
      </c>
      <c r="O14" s="11"/>
      <c r="P14" s="386" t="str">
        <f t="shared" si="0"/>
        <v/>
      </c>
    </row>
    <row r="15" spans="2:17" x14ac:dyDescent="0.15">
      <c r="B15" s="1003"/>
      <c r="C15" s="27" t="s">
        <v>44</v>
      </c>
      <c r="D15" s="28"/>
      <c r="E15" s="28"/>
      <c r="F15" s="29"/>
      <c r="G15" s="28">
        <f>SUM(G5:G14)</f>
        <v>174364000</v>
      </c>
      <c r="H15" s="28"/>
      <c r="I15" s="28">
        <f>SUM(I5:I14)</f>
        <v>124364000</v>
      </c>
      <c r="J15" s="28"/>
      <c r="K15" s="30"/>
      <c r="L15" s="28">
        <f>SUM(L5:L14)</f>
        <v>75544000</v>
      </c>
      <c r="M15" s="28"/>
      <c r="N15" s="28"/>
      <c r="O15" s="28"/>
      <c r="P15" s="387">
        <f>SUM(P5:P14)</f>
        <v>7155784.0906682033</v>
      </c>
    </row>
    <row r="16" spans="2:17" x14ac:dyDescent="0.15">
      <c r="B16" s="996" t="s">
        <v>194</v>
      </c>
      <c r="C16" s="41" t="s">
        <v>573</v>
      </c>
      <c r="D16" s="380" t="s">
        <v>583</v>
      </c>
      <c r="E16" s="41">
        <v>1</v>
      </c>
      <c r="F16" s="41" t="s">
        <v>88</v>
      </c>
      <c r="G16" s="41">
        <v>3937500</v>
      </c>
      <c r="H16" s="42">
        <v>0</v>
      </c>
      <c r="I16" s="41">
        <f>G16*(1-H16)</f>
        <v>3937500</v>
      </c>
      <c r="J16" s="41" t="s">
        <v>595</v>
      </c>
      <c r="K16" s="43">
        <f t="shared" ref="K16:K22" si="5">1/3</f>
        <v>0.33333333333333331</v>
      </c>
      <c r="L16" s="41">
        <f>I16*K16</f>
        <v>1312500</v>
      </c>
      <c r="M16" s="38">
        <v>0</v>
      </c>
      <c r="N16" s="11">
        <v>1</v>
      </c>
      <c r="O16" s="31">
        <v>7</v>
      </c>
      <c r="P16" s="386">
        <f t="shared" ref="P16:P57" si="6">IF(O16="","",(L16-N16)/O16)</f>
        <v>187499.85714285713</v>
      </c>
    </row>
    <row r="17" spans="2:16" x14ac:dyDescent="0.15">
      <c r="B17" s="1002"/>
      <c r="C17" s="41" t="s">
        <v>251</v>
      </c>
      <c r="D17" s="41" t="s">
        <v>574</v>
      </c>
      <c r="E17" s="41">
        <v>2</v>
      </c>
      <c r="F17" s="380" t="s">
        <v>53</v>
      </c>
      <c r="G17" s="41">
        <f>920000*2</f>
        <v>1840000</v>
      </c>
      <c r="H17" s="42"/>
      <c r="I17" s="41">
        <f>G17*(1-H17)</f>
        <v>1840000</v>
      </c>
      <c r="J17" s="44" t="s">
        <v>595</v>
      </c>
      <c r="K17" s="43">
        <f t="shared" si="5"/>
        <v>0.33333333333333331</v>
      </c>
      <c r="L17" s="41">
        <f t="shared" ref="L17:L57" si="7">I17*K17</f>
        <v>613333.33333333326</v>
      </c>
      <c r="M17" s="38"/>
      <c r="N17" s="11">
        <v>1</v>
      </c>
      <c r="O17" s="31">
        <v>4</v>
      </c>
      <c r="P17" s="386">
        <f t="shared" si="6"/>
        <v>153333.08333333331</v>
      </c>
    </row>
    <row r="18" spans="2:16" x14ac:dyDescent="0.15">
      <c r="B18" s="1002"/>
      <c r="C18" s="41" t="s">
        <v>420</v>
      </c>
      <c r="D18" s="41" t="s">
        <v>421</v>
      </c>
      <c r="E18" s="41">
        <v>1</v>
      </c>
      <c r="F18" s="41" t="s">
        <v>88</v>
      </c>
      <c r="G18" s="41">
        <v>163170</v>
      </c>
      <c r="H18" s="42"/>
      <c r="I18" s="41">
        <f t="shared" ref="I18:I19" si="8">G18*(1-H18)</f>
        <v>163170</v>
      </c>
      <c r="J18" s="41" t="s">
        <v>595</v>
      </c>
      <c r="K18" s="43">
        <f t="shared" si="5"/>
        <v>0.33333333333333331</v>
      </c>
      <c r="L18" s="41">
        <f t="shared" si="7"/>
        <v>54390</v>
      </c>
      <c r="M18" s="26"/>
      <c r="N18" s="11">
        <v>1</v>
      </c>
      <c r="O18" s="11">
        <v>7</v>
      </c>
      <c r="P18" s="386">
        <f t="shared" ref="P18:P19" si="9">IF(O18="","",(L18-N18)/O18)</f>
        <v>7769.8571428571431</v>
      </c>
    </row>
    <row r="19" spans="2:16" x14ac:dyDescent="0.15">
      <c r="B19" s="1002"/>
      <c r="C19" s="41" t="s">
        <v>422</v>
      </c>
      <c r="D19" s="41" t="s">
        <v>575</v>
      </c>
      <c r="E19" s="41">
        <v>1</v>
      </c>
      <c r="F19" s="41" t="s">
        <v>88</v>
      </c>
      <c r="G19" s="41">
        <v>843000</v>
      </c>
      <c r="H19" s="42"/>
      <c r="I19" s="41">
        <f t="shared" si="8"/>
        <v>843000</v>
      </c>
      <c r="J19" s="41" t="s">
        <v>595</v>
      </c>
      <c r="K19" s="43">
        <f t="shared" si="5"/>
        <v>0.33333333333333331</v>
      </c>
      <c r="L19" s="41">
        <f t="shared" si="7"/>
        <v>281000</v>
      </c>
      <c r="M19" s="26"/>
      <c r="N19" s="11">
        <v>1</v>
      </c>
      <c r="O19" s="11">
        <v>7</v>
      </c>
      <c r="P19" s="386">
        <f t="shared" si="9"/>
        <v>40142.714285714283</v>
      </c>
    </row>
    <row r="20" spans="2:16" x14ac:dyDescent="0.15">
      <c r="B20" s="1002"/>
      <c r="C20" s="41" t="s">
        <v>576</v>
      </c>
      <c r="D20" s="41" t="s">
        <v>577</v>
      </c>
      <c r="E20" s="41">
        <v>1</v>
      </c>
      <c r="F20" s="41" t="s">
        <v>88</v>
      </c>
      <c r="G20" s="41">
        <v>1802000</v>
      </c>
      <c r="H20" s="42">
        <v>0</v>
      </c>
      <c r="I20" s="41">
        <f t="shared" ref="I20:I62" si="10">G20*(1-H20)</f>
        <v>1802000</v>
      </c>
      <c r="J20" s="41" t="s">
        <v>595</v>
      </c>
      <c r="K20" s="43">
        <f t="shared" si="5"/>
        <v>0.33333333333333331</v>
      </c>
      <c r="L20" s="41">
        <f t="shared" si="7"/>
        <v>600666.66666666663</v>
      </c>
      <c r="M20" s="26">
        <v>0</v>
      </c>
      <c r="N20" s="11">
        <v>1</v>
      </c>
      <c r="O20" s="11">
        <v>7</v>
      </c>
      <c r="P20" s="386">
        <f t="shared" si="6"/>
        <v>85809.380952380947</v>
      </c>
    </row>
    <row r="21" spans="2:16" x14ac:dyDescent="0.15">
      <c r="B21" s="1002"/>
      <c r="C21" s="10" t="s">
        <v>584</v>
      </c>
      <c r="D21" s="575" t="s">
        <v>578</v>
      </c>
      <c r="E21" s="41">
        <v>6</v>
      </c>
      <c r="F21" s="41" t="s">
        <v>579</v>
      </c>
      <c r="G21" s="41">
        <v>7446000</v>
      </c>
      <c r="H21" s="42"/>
      <c r="I21" s="41">
        <f t="shared" ref="I21" si="11">G21*(1-H21)</f>
        <v>7446000</v>
      </c>
      <c r="J21" s="44" t="s">
        <v>597</v>
      </c>
      <c r="K21" s="43">
        <f>1/1</f>
        <v>1</v>
      </c>
      <c r="L21" s="41">
        <f t="shared" si="7"/>
        <v>7446000</v>
      </c>
      <c r="M21" s="26"/>
      <c r="N21" s="11">
        <v>1</v>
      </c>
      <c r="O21" s="11">
        <v>7</v>
      </c>
      <c r="P21" s="386">
        <f t="shared" si="6"/>
        <v>1063714.142857143</v>
      </c>
    </row>
    <row r="22" spans="2:16" x14ac:dyDescent="0.15">
      <c r="B22" s="1002"/>
      <c r="C22" s="380" t="s">
        <v>624</v>
      </c>
      <c r="D22" s="380" t="s">
        <v>625</v>
      </c>
      <c r="E22" s="41">
        <v>1</v>
      </c>
      <c r="F22" s="380" t="s">
        <v>626</v>
      </c>
      <c r="G22" s="41">
        <v>248000</v>
      </c>
      <c r="H22" s="42"/>
      <c r="I22" s="41">
        <f t="shared" ref="I22:I23" si="12">G22*(1-H22)</f>
        <v>248000</v>
      </c>
      <c r="J22" s="41" t="s">
        <v>595</v>
      </c>
      <c r="K22" s="43">
        <f t="shared" si="5"/>
        <v>0.33333333333333331</v>
      </c>
      <c r="L22" s="41">
        <f t="shared" si="7"/>
        <v>82666.666666666657</v>
      </c>
      <c r="M22" s="26"/>
      <c r="N22" s="11">
        <f t="shared" ref="N22:N57" si="13">L22*M22</f>
        <v>0</v>
      </c>
      <c r="O22" s="11">
        <v>7</v>
      </c>
      <c r="P22" s="386">
        <f t="shared" si="6"/>
        <v>11809.523809523807</v>
      </c>
    </row>
    <row r="23" spans="2:16" x14ac:dyDescent="0.15">
      <c r="B23" s="1002"/>
      <c r="C23" s="41"/>
      <c r="D23" s="41"/>
      <c r="E23" s="41"/>
      <c r="F23" s="41"/>
      <c r="G23" s="41"/>
      <c r="H23" s="42"/>
      <c r="I23" s="41">
        <f t="shared" si="12"/>
        <v>0</v>
      </c>
      <c r="J23" s="41"/>
      <c r="K23" s="43"/>
      <c r="L23" s="41">
        <f t="shared" si="7"/>
        <v>0</v>
      </c>
      <c r="M23" s="26"/>
      <c r="N23" s="11">
        <f t="shared" si="13"/>
        <v>0</v>
      </c>
      <c r="O23" s="11"/>
      <c r="P23" s="386" t="str">
        <f t="shared" si="6"/>
        <v/>
      </c>
    </row>
    <row r="24" spans="2:16" x14ac:dyDescent="0.15">
      <c r="B24" s="1002"/>
      <c r="C24" s="41"/>
      <c r="D24" s="41"/>
      <c r="E24" s="41"/>
      <c r="F24" s="41"/>
      <c r="G24" s="41"/>
      <c r="H24" s="42"/>
      <c r="I24" s="41">
        <f t="shared" si="10"/>
        <v>0</v>
      </c>
      <c r="J24" s="41"/>
      <c r="K24" s="43"/>
      <c r="L24" s="41">
        <f t="shared" si="7"/>
        <v>0</v>
      </c>
      <c r="M24" s="26"/>
      <c r="N24" s="11">
        <f t="shared" si="13"/>
        <v>0</v>
      </c>
      <c r="O24" s="11"/>
      <c r="P24" s="386" t="str">
        <f t="shared" si="6"/>
        <v/>
      </c>
    </row>
    <row r="25" spans="2:16" x14ac:dyDescent="0.15">
      <c r="B25" s="1002"/>
      <c r="C25" s="41"/>
      <c r="D25" s="41"/>
      <c r="E25" s="41"/>
      <c r="F25" s="41"/>
      <c r="G25" s="41"/>
      <c r="H25" s="42"/>
      <c r="I25" s="41">
        <f t="shared" si="10"/>
        <v>0</v>
      </c>
      <c r="J25" s="41"/>
      <c r="K25" s="43"/>
      <c r="L25" s="41">
        <f t="shared" si="7"/>
        <v>0</v>
      </c>
      <c r="M25" s="26"/>
      <c r="N25" s="11">
        <f t="shared" si="13"/>
        <v>0</v>
      </c>
      <c r="O25" s="11"/>
      <c r="P25" s="386" t="str">
        <f t="shared" si="6"/>
        <v/>
      </c>
    </row>
    <row r="26" spans="2:16" x14ac:dyDescent="0.15">
      <c r="B26" s="1002"/>
      <c r="C26" s="41"/>
      <c r="D26" s="41"/>
      <c r="E26" s="41"/>
      <c r="F26" s="41"/>
      <c r="G26" s="41"/>
      <c r="H26" s="42"/>
      <c r="I26" s="41">
        <f t="shared" ref="I26" si="14">G26*(1-H26)</f>
        <v>0</v>
      </c>
      <c r="J26" s="44"/>
      <c r="K26" s="43"/>
      <c r="L26" s="41">
        <f t="shared" si="7"/>
        <v>0</v>
      </c>
      <c r="M26" s="26"/>
      <c r="N26" s="11">
        <f t="shared" si="13"/>
        <v>0</v>
      </c>
      <c r="O26" s="11"/>
      <c r="P26" s="386" t="str">
        <f t="shared" si="6"/>
        <v/>
      </c>
    </row>
    <row r="27" spans="2:16" x14ac:dyDescent="0.15">
      <c r="B27" s="1002"/>
      <c r="C27" s="41"/>
      <c r="D27" s="41"/>
      <c r="E27" s="41"/>
      <c r="F27" s="41"/>
      <c r="G27" s="41"/>
      <c r="H27" s="42"/>
      <c r="I27" s="41">
        <f t="shared" si="10"/>
        <v>0</v>
      </c>
      <c r="J27" s="41"/>
      <c r="K27" s="43"/>
      <c r="L27" s="41">
        <f t="shared" si="7"/>
        <v>0</v>
      </c>
      <c r="M27" s="26"/>
      <c r="N27" s="11">
        <f t="shared" si="13"/>
        <v>0</v>
      </c>
      <c r="O27" s="11"/>
      <c r="P27" s="386" t="str">
        <f t="shared" si="6"/>
        <v/>
      </c>
    </row>
    <row r="28" spans="2:16" x14ac:dyDescent="0.15">
      <c r="B28" s="1002"/>
      <c r="C28" s="41"/>
      <c r="D28" s="41"/>
      <c r="E28" s="41"/>
      <c r="F28" s="41"/>
      <c r="G28" s="41"/>
      <c r="H28" s="42"/>
      <c r="I28" s="41">
        <f t="shared" si="10"/>
        <v>0</v>
      </c>
      <c r="J28" s="41"/>
      <c r="K28" s="43"/>
      <c r="L28" s="41">
        <f t="shared" si="7"/>
        <v>0</v>
      </c>
      <c r="M28" s="26"/>
      <c r="N28" s="11">
        <f t="shared" si="13"/>
        <v>0</v>
      </c>
      <c r="O28" s="11"/>
      <c r="P28" s="386" t="str">
        <f t="shared" si="6"/>
        <v/>
      </c>
    </row>
    <row r="29" spans="2:16" x14ac:dyDescent="0.15">
      <c r="B29" s="1002"/>
      <c r="C29" s="41"/>
      <c r="D29" s="41"/>
      <c r="E29" s="41"/>
      <c r="F29" s="41"/>
      <c r="G29" s="41"/>
      <c r="H29" s="42"/>
      <c r="I29" s="41">
        <f t="shared" si="10"/>
        <v>0</v>
      </c>
      <c r="J29" s="41"/>
      <c r="K29" s="43"/>
      <c r="L29" s="41">
        <f t="shared" si="7"/>
        <v>0</v>
      </c>
      <c r="M29" s="26"/>
      <c r="N29" s="11">
        <f t="shared" ref="N29:N30" si="15">L29*M29</f>
        <v>0</v>
      </c>
      <c r="O29" s="11"/>
      <c r="P29" s="386" t="str">
        <f t="shared" ref="P29:P30" si="16">IF(O29="","",(L29-N29)/O29)</f>
        <v/>
      </c>
    </row>
    <row r="30" spans="2:16" x14ac:dyDescent="0.15">
      <c r="B30" s="1002"/>
      <c r="C30" s="41"/>
      <c r="D30" s="41"/>
      <c r="E30" s="41"/>
      <c r="F30" s="41"/>
      <c r="G30" s="41"/>
      <c r="H30" s="42"/>
      <c r="I30" s="41">
        <f t="shared" si="10"/>
        <v>0</v>
      </c>
      <c r="J30" s="41"/>
      <c r="K30" s="43"/>
      <c r="L30" s="41">
        <f t="shared" si="7"/>
        <v>0</v>
      </c>
      <c r="M30" s="26"/>
      <c r="N30" s="11">
        <f t="shared" si="15"/>
        <v>0</v>
      </c>
      <c r="O30" s="11"/>
      <c r="P30" s="386" t="str">
        <f t="shared" si="16"/>
        <v/>
      </c>
    </row>
    <row r="31" spans="2:16" x14ac:dyDescent="0.15">
      <c r="B31" s="1002"/>
      <c r="C31" s="41"/>
      <c r="D31" s="41"/>
      <c r="E31" s="41"/>
      <c r="F31" s="41"/>
      <c r="G31" s="41"/>
      <c r="H31" s="42"/>
      <c r="I31" s="41">
        <f t="shared" si="10"/>
        <v>0</v>
      </c>
      <c r="J31" s="41"/>
      <c r="K31" s="43"/>
      <c r="L31" s="41">
        <f t="shared" si="7"/>
        <v>0</v>
      </c>
      <c r="M31" s="26"/>
      <c r="N31" s="11">
        <f t="shared" si="13"/>
        <v>0</v>
      </c>
      <c r="O31" s="11"/>
      <c r="P31" s="386" t="str">
        <f t="shared" si="6"/>
        <v/>
      </c>
    </row>
    <row r="32" spans="2:16" x14ac:dyDescent="0.15">
      <c r="B32" s="1002"/>
      <c r="C32" s="41"/>
      <c r="D32" s="41"/>
      <c r="E32" s="41"/>
      <c r="F32" s="41"/>
      <c r="G32" s="41"/>
      <c r="H32" s="42"/>
      <c r="I32" s="41">
        <f t="shared" si="10"/>
        <v>0</v>
      </c>
      <c r="J32" s="41"/>
      <c r="K32" s="43"/>
      <c r="L32" s="41">
        <f t="shared" si="7"/>
        <v>0</v>
      </c>
      <c r="M32" s="26"/>
      <c r="N32" s="11">
        <f t="shared" si="13"/>
        <v>0</v>
      </c>
      <c r="O32" s="11"/>
      <c r="P32" s="386" t="str">
        <f t="shared" si="6"/>
        <v/>
      </c>
    </row>
    <row r="33" spans="2:16" x14ac:dyDescent="0.15">
      <c r="B33" s="1002"/>
      <c r="C33" s="41"/>
      <c r="D33" s="41"/>
      <c r="E33" s="41"/>
      <c r="F33" s="41"/>
      <c r="G33" s="41"/>
      <c r="H33" s="42"/>
      <c r="I33" s="41">
        <f t="shared" si="10"/>
        <v>0</v>
      </c>
      <c r="J33" s="41"/>
      <c r="K33" s="43"/>
      <c r="L33" s="41">
        <f t="shared" si="7"/>
        <v>0</v>
      </c>
      <c r="M33" s="26"/>
      <c r="N33" s="11">
        <f t="shared" si="13"/>
        <v>0</v>
      </c>
      <c r="O33" s="11"/>
      <c r="P33" s="386" t="str">
        <f t="shared" si="6"/>
        <v/>
      </c>
    </row>
    <row r="34" spans="2:16" x14ac:dyDescent="0.15">
      <c r="B34" s="1002"/>
      <c r="C34" s="41"/>
      <c r="D34" s="41"/>
      <c r="E34" s="41"/>
      <c r="F34" s="41"/>
      <c r="G34" s="41"/>
      <c r="H34" s="42"/>
      <c r="I34" s="41">
        <f t="shared" si="10"/>
        <v>0</v>
      </c>
      <c r="J34" s="41"/>
      <c r="K34" s="43"/>
      <c r="L34" s="41">
        <f t="shared" si="7"/>
        <v>0</v>
      </c>
      <c r="M34" s="26"/>
      <c r="N34" s="11">
        <f t="shared" si="13"/>
        <v>0</v>
      </c>
      <c r="O34" s="11"/>
      <c r="P34" s="386" t="str">
        <f t="shared" si="6"/>
        <v/>
      </c>
    </row>
    <row r="35" spans="2:16" x14ac:dyDescent="0.15">
      <c r="B35" s="1002"/>
      <c r="C35" s="41"/>
      <c r="D35" s="41"/>
      <c r="E35" s="41"/>
      <c r="F35" s="41"/>
      <c r="G35" s="41"/>
      <c r="H35" s="42"/>
      <c r="I35" s="41">
        <f t="shared" si="10"/>
        <v>0</v>
      </c>
      <c r="J35" s="41"/>
      <c r="K35" s="43"/>
      <c r="L35" s="41">
        <f t="shared" si="7"/>
        <v>0</v>
      </c>
      <c r="M35" s="26"/>
      <c r="N35" s="11">
        <f t="shared" si="13"/>
        <v>0</v>
      </c>
      <c r="O35" s="11"/>
      <c r="P35" s="386" t="str">
        <f t="shared" si="6"/>
        <v/>
      </c>
    </row>
    <row r="36" spans="2:16" x14ac:dyDescent="0.15">
      <c r="B36" s="1002"/>
      <c r="C36" s="41"/>
      <c r="D36" s="41"/>
      <c r="E36" s="41"/>
      <c r="F36" s="41"/>
      <c r="G36" s="41"/>
      <c r="H36" s="42"/>
      <c r="I36" s="41">
        <f t="shared" si="10"/>
        <v>0</v>
      </c>
      <c r="J36" s="41"/>
      <c r="K36" s="43"/>
      <c r="L36" s="41">
        <f t="shared" si="7"/>
        <v>0</v>
      </c>
      <c r="M36" s="26"/>
      <c r="N36" s="11">
        <f t="shared" si="13"/>
        <v>0</v>
      </c>
      <c r="O36" s="11"/>
      <c r="P36" s="386" t="str">
        <f t="shared" si="6"/>
        <v/>
      </c>
    </row>
    <row r="37" spans="2:16" x14ac:dyDescent="0.15">
      <c r="B37" s="1002"/>
      <c r="C37" s="41"/>
      <c r="D37" s="41"/>
      <c r="E37" s="41"/>
      <c r="F37" s="41"/>
      <c r="G37" s="41"/>
      <c r="H37" s="42"/>
      <c r="I37" s="41">
        <f t="shared" si="10"/>
        <v>0</v>
      </c>
      <c r="J37" s="44"/>
      <c r="K37" s="43"/>
      <c r="L37" s="41">
        <f t="shared" si="7"/>
        <v>0</v>
      </c>
      <c r="M37" s="26"/>
      <c r="N37" s="11">
        <f t="shared" si="13"/>
        <v>0</v>
      </c>
      <c r="O37" s="11"/>
      <c r="P37" s="386" t="str">
        <f t="shared" si="6"/>
        <v/>
      </c>
    </row>
    <row r="38" spans="2:16" x14ac:dyDescent="0.15">
      <c r="B38" s="1002"/>
      <c r="C38" s="41"/>
      <c r="D38" s="41"/>
      <c r="E38" s="47"/>
      <c r="F38" s="41"/>
      <c r="G38" s="41"/>
      <c r="H38" s="42"/>
      <c r="I38" s="41">
        <f t="shared" si="10"/>
        <v>0</v>
      </c>
      <c r="J38" s="41"/>
      <c r="K38" s="43"/>
      <c r="L38" s="41">
        <f t="shared" si="7"/>
        <v>0</v>
      </c>
      <c r="M38" s="26"/>
      <c r="N38" s="11">
        <f t="shared" si="13"/>
        <v>0</v>
      </c>
      <c r="O38" s="11"/>
      <c r="P38" s="386" t="str">
        <f t="shared" si="6"/>
        <v/>
      </c>
    </row>
    <row r="39" spans="2:16" x14ac:dyDescent="0.15">
      <c r="B39" s="1002"/>
      <c r="C39" s="41"/>
      <c r="D39" s="41"/>
      <c r="E39" s="47"/>
      <c r="F39" s="41"/>
      <c r="G39" s="41"/>
      <c r="H39" s="42"/>
      <c r="I39" s="41">
        <f t="shared" si="10"/>
        <v>0</v>
      </c>
      <c r="J39" s="41"/>
      <c r="K39" s="43"/>
      <c r="L39" s="41">
        <f t="shared" si="7"/>
        <v>0</v>
      </c>
      <c r="M39" s="26"/>
      <c r="N39" s="11">
        <f t="shared" si="13"/>
        <v>0</v>
      </c>
      <c r="O39" s="11"/>
      <c r="P39" s="386" t="str">
        <f t="shared" si="6"/>
        <v/>
      </c>
    </row>
    <row r="40" spans="2:16" x14ac:dyDescent="0.15">
      <c r="B40" s="1002"/>
      <c r="C40" s="41"/>
      <c r="D40" s="41"/>
      <c r="E40" s="41"/>
      <c r="F40" s="41"/>
      <c r="G40" s="41"/>
      <c r="H40" s="42"/>
      <c r="I40" s="41">
        <f t="shared" si="10"/>
        <v>0</v>
      </c>
      <c r="J40" s="44"/>
      <c r="K40" s="43"/>
      <c r="L40" s="41">
        <f t="shared" si="7"/>
        <v>0</v>
      </c>
      <c r="M40" s="26"/>
      <c r="N40" s="11">
        <f t="shared" si="13"/>
        <v>0</v>
      </c>
      <c r="O40" s="11"/>
      <c r="P40" s="386" t="str">
        <f t="shared" si="6"/>
        <v/>
      </c>
    </row>
    <row r="41" spans="2:16" x14ac:dyDescent="0.15">
      <c r="B41" s="1002"/>
      <c r="C41" s="41"/>
      <c r="D41" s="41"/>
      <c r="E41" s="41"/>
      <c r="F41" s="41"/>
      <c r="G41" s="41"/>
      <c r="H41" s="42"/>
      <c r="I41" s="41">
        <f t="shared" si="10"/>
        <v>0</v>
      </c>
      <c r="J41" s="44"/>
      <c r="K41" s="43"/>
      <c r="L41" s="41">
        <f t="shared" si="7"/>
        <v>0</v>
      </c>
      <c r="M41" s="26"/>
      <c r="N41" s="11">
        <f t="shared" si="13"/>
        <v>0</v>
      </c>
      <c r="O41" s="11"/>
      <c r="P41" s="386" t="str">
        <f t="shared" si="6"/>
        <v/>
      </c>
    </row>
    <row r="42" spans="2:16" x14ac:dyDescent="0.15">
      <c r="B42" s="1002"/>
      <c r="C42" s="41"/>
      <c r="D42" s="41"/>
      <c r="E42" s="41"/>
      <c r="F42" s="41"/>
      <c r="G42" s="41"/>
      <c r="H42" s="42"/>
      <c r="I42" s="41">
        <f t="shared" si="10"/>
        <v>0</v>
      </c>
      <c r="J42" s="41"/>
      <c r="K42" s="43"/>
      <c r="L42" s="41">
        <f t="shared" si="7"/>
        <v>0</v>
      </c>
      <c r="M42" s="26"/>
      <c r="N42" s="11">
        <f t="shared" si="13"/>
        <v>0</v>
      </c>
      <c r="O42" s="11"/>
      <c r="P42" s="386" t="str">
        <f t="shared" si="6"/>
        <v/>
      </c>
    </row>
    <row r="43" spans="2:16" x14ac:dyDescent="0.15">
      <c r="B43" s="1002"/>
      <c r="C43" s="41"/>
      <c r="D43" s="41"/>
      <c r="E43" s="41"/>
      <c r="F43" s="41"/>
      <c r="G43" s="41"/>
      <c r="H43" s="42"/>
      <c r="I43" s="41">
        <f t="shared" si="10"/>
        <v>0</v>
      </c>
      <c r="J43" s="41"/>
      <c r="K43" s="43"/>
      <c r="L43" s="41">
        <f t="shared" si="7"/>
        <v>0</v>
      </c>
      <c r="M43" s="26"/>
      <c r="N43" s="11">
        <f t="shared" si="13"/>
        <v>0</v>
      </c>
      <c r="O43" s="11"/>
      <c r="P43" s="386" t="str">
        <f t="shared" si="6"/>
        <v/>
      </c>
    </row>
    <row r="44" spans="2:16" x14ac:dyDescent="0.15">
      <c r="B44" s="1002"/>
      <c r="C44" s="41"/>
      <c r="D44" s="41"/>
      <c r="E44" s="41"/>
      <c r="F44" s="41"/>
      <c r="G44" s="41"/>
      <c r="H44" s="42"/>
      <c r="I44" s="41">
        <f t="shared" si="10"/>
        <v>0</v>
      </c>
      <c r="J44" s="41"/>
      <c r="K44" s="43"/>
      <c r="L44" s="41">
        <f t="shared" si="7"/>
        <v>0</v>
      </c>
      <c r="M44" s="26"/>
      <c r="N44" s="11">
        <f t="shared" si="13"/>
        <v>0</v>
      </c>
      <c r="O44" s="11"/>
      <c r="P44" s="386" t="str">
        <f t="shared" si="6"/>
        <v/>
      </c>
    </row>
    <row r="45" spans="2:16" x14ac:dyDescent="0.15">
      <c r="B45" s="1002"/>
      <c r="C45" s="41"/>
      <c r="D45" s="41"/>
      <c r="E45" s="41"/>
      <c r="F45" s="41"/>
      <c r="G45" s="41"/>
      <c r="H45" s="42"/>
      <c r="I45" s="41">
        <f t="shared" ref="I45:I46" si="17">G45*(1-H45)</f>
        <v>0</v>
      </c>
      <c r="J45" s="41"/>
      <c r="K45" s="43"/>
      <c r="L45" s="41">
        <f t="shared" si="7"/>
        <v>0</v>
      </c>
      <c r="M45" s="26"/>
      <c r="N45" s="11">
        <f t="shared" ref="N45:N46" si="18">L45*M45</f>
        <v>0</v>
      </c>
      <c r="O45" s="11"/>
      <c r="P45" s="386" t="str">
        <f t="shared" ref="P45:P46" si="19">IF(O45="","",(L45-N45)/O45)</f>
        <v/>
      </c>
    </row>
    <row r="46" spans="2:16" x14ac:dyDescent="0.15">
      <c r="B46" s="1002"/>
      <c r="C46" s="41"/>
      <c r="D46" s="41"/>
      <c r="E46" s="41"/>
      <c r="F46" s="41"/>
      <c r="G46" s="41"/>
      <c r="H46" s="42"/>
      <c r="I46" s="41">
        <f t="shared" si="17"/>
        <v>0</v>
      </c>
      <c r="J46" s="41"/>
      <c r="K46" s="43"/>
      <c r="L46" s="41">
        <f t="shared" si="7"/>
        <v>0</v>
      </c>
      <c r="M46" s="26"/>
      <c r="N46" s="11">
        <f t="shared" si="18"/>
        <v>0</v>
      </c>
      <c r="O46" s="11"/>
      <c r="P46" s="386" t="str">
        <f t="shared" si="19"/>
        <v/>
      </c>
    </row>
    <row r="47" spans="2:16" x14ac:dyDescent="0.15">
      <c r="B47" s="1002"/>
      <c r="C47" s="41"/>
      <c r="D47" s="41"/>
      <c r="E47" s="41"/>
      <c r="F47" s="41"/>
      <c r="G47" s="41"/>
      <c r="H47" s="42"/>
      <c r="I47" s="41">
        <f t="shared" ref="I47:I48" si="20">G47*(1-H47)</f>
        <v>0</v>
      </c>
      <c r="J47" s="41"/>
      <c r="K47" s="43"/>
      <c r="L47" s="41">
        <f t="shared" si="7"/>
        <v>0</v>
      </c>
      <c r="M47" s="26"/>
      <c r="N47" s="11">
        <f t="shared" ref="N47:N48" si="21">L47*M47</f>
        <v>0</v>
      </c>
      <c r="O47" s="11"/>
      <c r="P47" s="386" t="str">
        <f t="shared" ref="P47:P48" si="22">IF(O47="","",(L47-N47)/O47)</f>
        <v/>
      </c>
    </row>
    <row r="48" spans="2:16" x14ac:dyDescent="0.15">
      <c r="B48" s="1002"/>
      <c r="C48" s="41"/>
      <c r="D48" s="41"/>
      <c r="E48" s="41"/>
      <c r="F48" s="41"/>
      <c r="G48" s="41"/>
      <c r="H48" s="42"/>
      <c r="I48" s="41">
        <f t="shared" si="20"/>
        <v>0</v>
      </c>
      <c r="J48" s="41"/>
      <c r="K48" s="43"/>
      <c r="L48" s="41">
        <f t="shared" si="7"/>
        <v>0</v>
      </c>
      <c r="M48" s="26"/>
      <c r="N48" s="11">
        <f t="shared" si="21"/>
        <v>0</v>
      </c>
      <c r="O48" s="11"/>
      <c r="P48" s="386" t="str">
        <f t="shared" si="22"/>
        <v/>
      </c>
    </row>
    <row r="49" spans="2:16" x14ac:dyDescent="0.15">
      <c r="B49" s="1002"/>
      <c r="C49" s="41"/>
      <c r="D49" s="41"/>
      <c r="E49" s="41"/>
      <c r="F49" s="41"/>
      <c r="G49" s="41"/>
      <c r="H49" s="42"/>
      <c r="I49" s="41">
        <f t="shared" ref="I49:I50" si="23">G49*(1-H49)</f>
        <v>0</v>
      </c>
      <c r="J49" s="41"/>
      <c r="K49" s="43"/>
      <c r="L49" s="41">
        <f t="shared" si="7"/>
        <v>0</v>
      </c>
      <c r="M49" s="26"/>
      <c r="N49" s="11">
        <f t="shared" ref="N49:N50" si="24">L49*M49</f>
        <v>0</v>
      </c>
      <c r="O49" s="11"/>
      <c r="P49" s="386" t="str">
        <f t="shared" ref="P49:P50" si="25">IF(O49="","",(L49-N49)/O49)</f>
        <v/>
      </c>
    </row>
    <row r="50" spans="2:16" x14ac:dyDescent="0.15">
      <c r="B50" s="1002"/>
      <c r="C50" s="41"/>
      <c r="D50" s="41"/>
      <c r="E50" s="41"/>
      <c r="F50" s="41"/>
      <c r="G50" s="41"/>
      <c r="H50" s="42"/>
      <c r="I50" s="41">
        <f t="shared" si="23"/>
        <v>0</v>
      </c>
      <c r="J50" s="41"/>
      <c r="K50" s="43"/>
      <c r="L50" s="41">
        <f t="shared" si="7"/>
        <v>0</v>
      </c>
      <c r="M50" s="26"/>
      <c r="N50" s="11">
        <f t="shared" si="24"/>
        <v>0</v>
      </c>
      <c r="O50" s="11"/>
      <c r="P50" s="386" t="str">
        <f t="shared" si="25"/>
        <v/>
      </c>
    </row>
    <row r="51" spans="2:16" x14ac:dyDescent="0.15">
      <c r="B51" s="1002"/>
      <c r="C51" s="41"/>
      <c r="D51" s="41"/>
      <c r="E51" s="41"/>
      <c r="F51" s="41"/>
      <c r="G51" s="41"/>
      <c r="H51" s="42"/>
      <c r="I51" s="41">
        <f t="shared" ref="I51:I52" si="26">G51*(1-H51)</f>
        <v>0</v>
      </c>
      <c r="J51" s="41"/>
      <c r="K51" s="43"/>
      <c r="L51" s="41">
        <f t="shared" si="7"/>
        <v>0</v>
      </c>
      <c r="M51" s="26"/>
      <c r="N51" s="11">
        <f t="shared" ref="N51:N52" si="27">L51*M51</f>
        <v>0</v>
      </c>
      <c r="O51" s="11"/>
      <c r="P51" s="386" t="str">
        <f t="shared" ref="P51:P52" si="28">IF(O51="","",(L51-N51)/O51)</f>
        <v/>
      </c>
    </row>
    <row r="52" spans="2:16" x14ac:dyDescent="0.15">
      <c r="B52" s="1002"/>
      <c r="C52" s="41"/>
      <c r="D52" s="41"/>
      <c r="E52" s="41"/>
      <c r="F52" s="41"/>
      <c r="G52" s="41"/>
      <c r="H52" s="42"/>
      <c r="I52" s="41">
        <f t="shared" si="26"/>
        <v>0</v>
      </c>
      <c r="J52" s="41"/>
      <c r="K52" s="43"/>
      <c r="L52" s="41">
        <f t="shared" si="7"/>
        <v>0</v>
      </c>
      <c r="M52" s="26"/>
      <c r="N52" s="11">
        <f t="shared" si="27"/>
        <v>0</v>
      </c>
      <c r="O52" s="11"/>
      <c r="P52" s="386" t="str">
        <f t="shared" si="28"/>
        <v/>
      </c>
    </row>
    <row r="53" spans="2:16" x14ac:dyDescent="0.15">
      <c r="B53" s="1002"/>
      <c r="C53" s="41"/>
      <c r="D53" s="41"/>
      <c r="E53" s="41"/>
      <c r="F53" s="41"/>
      <c r="G53" s="41"/>
      <c r="H53" s="42"/>
      <c r="I53" s="41">
        <f t="shared" ref="I53:I54" si="29">G53*(1-H53)</f>
        <v>0</v>
      </c>
      <c r="J53" s="41"/>
      <c r="K53" s="43"/>
      <c r="L53" s="41">
        <f t="shared" si="7"/>
        <v>0</v>
      </c>
      <c r="M53" s="26"/>
      <c r="N53" s="11">
        <f t="shared" ref="N53:N54" si="30">L53*M53</f>
        <v>0</v>
      </c>
      <c r="O53" s="11"/>
      <c r="P53" s="386" t="str">
        <f t="shared" ref="P53:P54" si="31">IF(O53="","",(L53-N53)/O53)</f>
        <v/>
      </c>
    </row>
    <row r="54" spans="2:16" x14ac:dyDescent="0.15">
      <c r="B54" s="1002"/>
      <c r="C54" s="41"/>
      <c r="D54" s="41"/>
      <c r="E54" s="41"/>
      <c r="F54" s="41"/>
      <c r="G54" s="41"/>
      <c r="H54" s="42"/>
      <c r="I54" s="41">
        <f t="shared" si="29"/>
        <v>0</v>
      </c>
      <c r="J54" s="41"/>
      <c r="K54" s="43"/>
      <c r="L54" s="41">
        <f t="shared" si="7"/>
        <v>0</v>
      </c>
      <c r="M54" s="26"/>
      <c r="N54" s="11">
        <f t="shared" si="30"/>
        <v>0</v>
      </c>
      <c r="O54" s="11"/>
      <c r="P54" s="386" t="str">
        <f t="shared" si="31"/>
        <v/>
      </c>
    </row>
    <row r="55" spans="2:16" x14ac:dyDescent="0.15">
      <c r="B55" s="1002"/>
      <c r="C55" s="41"/>
      <c r="D55" s="44"/>
      <c r="E55" s="41"/>
      <c r="F55" s="41"/>
      <c r="G55" s="41"/>
      <c r="H55" s="42"/>
      <c r="I55" s="41">
        <f t="shared" si="10"/>
        <v>0</v>
      </c>
      <c r="J55" s="41"/>
      <c r="K55" s="43"/>
      <c r="L55" s="41">
        <f t="shared" si="7"/>
        <v>0</v>
      </c>
      <c r="M55" s="26"/>
      <c r="N55" s="11">
        <f t="shared" si="13"/>
        <v>0</v>
      </c>
      <c r="O55" s="11"/>
      <c r="P55" s="386" t="str">
        <f t="shared" si="6"/>
        <v/>
      </c>
    </row>
    <row r="56" spans="2:16" x14ac:dyDescent="0.15">
      <c r="B56" s="1002"/>
      <c r="C56" s="41"/>
      <c r="D56" s="44"/>
      <c r="E56" s="41"/>
      <c r="F56" s="41"/>
      <c r="G56" s="41"/>
      <c r="H56" s="42"/>
      <c r="I56" s="41">
        <f t="shared" ref="I56" si="32">G56*(1-H56)</f>
        <v>0</v>
      </c>
      <c r="J56" s="44"/>
      <c r="K56" s="43"/>
      <c r="L56" s="41">
        <f t="shared" si="7"/>
        <v>0</v>
      </c>
      <c r="M56" s="26"/>
      <c r="N56" s="11">
        <f t="shared" si="13"/>
        <v>0</v>
      </c>
      <c r="O56" s="11"/>
      <c r="P56" s="386" t="str">
        <f t="shared" si="6"/>
        <v/>
      </c>
    </row>
    <row r="57" spans="2:16" x14ac:dyDescent="0.15">
      <c r="B57" s="1002"/>
      <c r="C57" s="41"/>
      <c r="D57" s="44"/>
      <c r="E57" s="41"/>
      <c r="F57" s="41"/>
      <c r="G57" s="41"/>
      <c r="H57" s="42"/>
      <c r="I57" s="41">
        <f t="shared" ref="I57" si="33">G57*(1-H57)</f>
        <v>0</v>
      </c>
      <c r="J57" s="44"/>
      <c r="K57" s="43"/>
      <c r="L57" s="41">
        <f t="shared" si="7"/>
        <v>0</v>
      </c>
      <c r="M57" s="26"/>
      <c r="N57" s="11">
        <f t="shared" si="13"/>
        <v>0</v>
      </c>
      <c r="O57" s="11"/>
      <c r="P57" s="386" t="str">
        <f t="shared" si="6"/>
        <v/>
      </c>
    </row>
    <row r="58" spans="2:16" x14ac:dyDescent="0.15">
      <c r="B58" s="1003"/>
      <c r="C58" s="48" t="s">
        <v>45</v>
      </c>
      <c r="D58" s="48"/>
      <c r="E58" s="48"/>
      <c r="F58" s="49"/>
      <c r="G58" s="48">
        <f>SUM(G16:G55)</f>
        <v>16279670</v>
      </c>
      <c r="H58" s="48"/>
      <c r="I58" s="48">
        <f>SUM(I16:I55)</f>
        <v>16279670</v>
      </c>
      <c r="J58" s="48"/>
      <c r="K58" s="50"/>
      <c r="L58" s="48">
        <f>SUM(L16:L55)</f>
        <v>10390556.666666666</v>
      </c>
      <c r="M58" s="28"/>
      <c r="N58" s="28"/>
      <c r="O58" s="28"/>
      <c r="P58" s="387">
        <f>SUM(P16:P55)</f>
        <v>1550078.5595238095</v>
      </c>
    </row>
    <row r="59" spans="2:16" x14ac:dyDescent="0.15">
      <c r="B59" s="996" t="s">
        <v>126</v>
      </c>
      <c r="C59" s="380" t="s">
        <v>585</v>
      </c>
      <c r="D59" s="380" t="s">
        <v>586</v>
      </c>
      <c r="E59" s="572">
        <v>1</v>
      </c>
      <c r="F59" s="44" t="s">
        <v>587</v>
      </c>
      <c r="G59" s="41">
        <f>+D72*10</f>
        <v>2704270</v>
      </c>
      <c r="H59" s="51"/>
      <c r="I59" s="41">
        <f t="shared" si="10"/>
        <v>2704270</v>
      </c>
      <c r="J59" s="44" t="s">
        <v>611</v>
      </c>
      <c r="K59" s="43">
        <v>1</v>
      </c>
      <c r="L59" s="41">
        <f>I59*K59</f>
        <v>2704270</v>
      </c>
      <c r="M59" s="39"/>
      <c r="N59" s="11">
        <v>1</v>
      </c>
      <c r="O59" s="11">
        <v>15</v>
      </c>
      <c r="P59" s="386">
        <f>IF(O59="","",(L59-N59)/O59)</f>
        <v>180284.6</v>
      </c>
    </row>
    <row r="60" spans="2:16" x14ac:dyDescent="0.15">
      <c r="B60" s="1002"/>
      <c r="C60" s="41"/>
      <c r="D60" s="41"/>
      <c r="E60" s="41"/>
      <c r="F60" s="44"/>
      <c r="G60" s="41"/>
      <c r="H60" s="51"/>
      <c r="I60" s="41">
        <f t="shared" si="10"/>
        <v>0</v>
      </c>
      <c r="J60" s="41"/>
      <c r="K60" s="43"/>
      <c r="L60" s="41">
        <f>I60*K60</f>
        <v>0</v>
      </c>
      <c r="M60" s="39"/>
      <c r="N60" s="11">
        <f>L60*M60</f>
        <v>0</v>
      </c>
      <c r="O60" s="11"/>
      <c r="P60" s="386" t="str">
        <f>IF(O60="","",(L60-N60)/O60)</f>
        <v/>
      </c>
    </row>
    <row r="61" spans="2:16" x14ac:dyDescent="0.15">
      <c r="B61" s="1002"/>
      <c r="C61" s="11"/>
      <c r="D61" s="11"/>
      <c r="E61" s="11"/>
      <c r="F61" s="25"/>
      <c r="G61" s="11"/>
      <c r="H61" s="39"/>
      <c r="I61" s="11">
        <f t="shared" si="10"/>
        <v>0</v>
      </c>
      <c r="J61" s="11"/>
      <c r="K61" s="40"/>
      <c r="L61" s="11">
        <f>I61*K61</f>
        <v>0</v>
      </c>
      <c r="M61" s="39"/>
      <c r="N61" s="11">
        <f>L61*M61</f>
        <v>0</v>
      </c>
      <c r="O61" s="11"/>
      <c r="P61" s="386" t="str">
        <f>IF(O61="","",(L61-N61)/O61)</f>
        <v/>
      </c>
    </row>
    <row r="62" spans="2:16" x14ac:dyDescent="0.15">
      <c r="B62" s="1002"/>
      <c r="C62" s="11"/>
      <c r="D62" s="11"/>
      <c r="E62" s="11"/>
      <c r="F62" s="25"/>
      <c r="G62" s="11"/>
      <c r="H62" s="39"/>
      <c r="I62" s="11">
        <f t="shared" si="10"/>
        <v>0</v>
      </c>
      <c r="J62" s="11"/>
      <c r="K62" s="40"/>
      <c r="L62" s="11">
        <f>I62*K62</f>
        <v>0</v>
      </c>
      <c r="M62" s="39"/>
      <c r="N62" s="11">
        <f>L62*M62</f>
        <v>0</v>
      </c>
      <c r="O62" s="11"/>
      <c r="P62" s="386" t="str">
        <f>IF(O62="","",(L62-N62)/O62)</f>
        <v/>
      </c>
    </row>
    <row r="63" spans="2:16" x14ac:dyDescent="0.15">
      <c r="B63" s="1003"/>
      <c r="C63" s="32" t="s">
        <v>45</v>
      </c>
      <c r="D63" s="28"/>
      <c r="E63" s="28"/>
      <c r="F63" s="29"/>
      <c r="G63" s="28">
        <f>SUM(G59:G62)</f>
        <v>2704270</v>
      </c>
      <c r="H63" s="28"/>
      <c r="I63" s="28">
        <f>SUM(I59:I62)</f>
        <v>2704270</v>
      </c>
      <c r="J63" s="28"/>
      <c r="K63" s="30"/>
      <c r="L63" s="28">
        <f>SUM(L59:L62)</f>
        <v>2704270</v>
      </c>
      <c r="M63" s="28"/>
      <c r="N63" s="28"/>
      <c r="O63" s="28"/>
      <c r="P63" s="387">
        <f>SUM(P59:P62)</f>
        <v>180284.6</v>
      </c>
    </row>
    <row r="64" spans="2:16" ht="14.25" thickBot="1" x14ac:dyDescent="0.2">
      <c r="B64" s="33"/>
      <c r="C64" s="34" t="s">
        <v>87</v>
      </c>
      <c r="D64" s="35"/>
      <c r="E64" s="35"/>
      <c r="F64" s="36"/>
      <c r="G64" s="35">
        <f>G15+G58+G63</f>
        <v>193347940</v>
      </c>
      <c r="H64" s="35"/>
      <c r="I64" s="35">
        <f>I15+I58+I63</f>
        <v>143347940</v>
      </c>
      <c r="J64" s="35"/>
      <c r="K64" s="37"/>
      <c r="L64" s="35">
        <f>L15+L58+L63</f>
        <v>88638826.666666672</v>
      </c>
      <c r="M64" s="35"/>
      <c r="N64" s="35"/>
      <c r="O64" s="35"/>
      <c r="P64" s="388">
        <f>P15+P58+P63</f>
        <v>8886147.2501920126</v>
      </c>
    </row>
    <row r="65" spans="3:5" ht="11.25" customHeight="1" x14ac:dyDescent="0.15"/>
    <row r="68" spans="3:5" x14ac:dyDescent="0.15">
      <c r="C68" s="93" t="s">
        <v>427</v>
      </c>
      <c r="D68" s="93"/>
      <c r="E68" s="93"/>
    </row>
    <row r="69" spans="3:5" x14ac:dyDescent="0.15">
      <c r="C69" s="93" t="s">
        <v>428</v>
      </c>
      <c r="D69" s="93">
        <v>182708</v>
      </c>
      <c r="E69" s="93"/>
    </row>
    <row r="70" spans="3:5" x14ac:dyDescent="0.15">
      <c r="C70" s="93" t="s">
        <v>429</v>
      </c>
      <c r="D70" s="93">
        <v>83509</v>
      </c>
      <c r="E70" s="93" t="s">
        <v>430</v>
      </c>
    </row>
    <row r="71" spans="3:5" x14ac:dyDescent="0.15">
      <c r="C71" s="93" t="s">
        <v>58</v>
      </c>
      <c r="D71" s="93">
        <v>4210</v>
      </c>
      <c r="E71" s="93" t="s">
        <v>431</v>
      </c>
    </row>
    <row r="72" spans="3:5" x14ac:dyDescent="0.15">
      <c r="C72" s="93" t="s">
        <v>24</v>
      </c>
      <c r="D72" s="93">
        <f>SUM(D69:D71)</f>
        <v>270427</v>
      </c>
      <c r="E72" s="93"/>
    </row>
  </sheetData>
  <mergeCells count="9">
    <mergeCell ref="J3:J4"/>
    <mergeCell ref="B59:B63"/>
    <mergeCell ref="B16:B58"/>
    <mergeCell ref="B5:B15"/>
    <mergeCell ref="F2:G2"/>
    <mergeCell ref="B3:B4"/>
    <mergeCell ref="C3:C4"/>
    <mergeCell ref="D3:D4"/>
    <mergeCell ref="E3:F3"/>
  </mergeCells>
  <phoneticPr fontId="5"/>
  <pageMargins left="0.78740157480314965" right="0.78740157480314965" top="0.78740157480314965" bottom="0.78740157480314965" header="0.39370078740157483" footer="0.39370078740157483"/>
  <pageSetup paperSize="9" scale="59" orientation="landscape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5"/>
  <sheetViews>
    <sheetView zoomScale="75" zoomScaleNormal="75" zoomScaleSheetLayoutView="80" workbookViewId="0">
      <selection activeCell="A2" sqref="A2"/>
    </sheetView>
  </sheetViews>
  <sheetFormatPr defaultRowHeight="13.5" x14ac:dyDescent="0.15"/>
  <cols>
    <col min="1" max="1" width="1.625" style="10" customWidth="1"/>
    <col min="2" max="2" width="5" style="10" customWidth="1"/>
    <col min="3" max="3" width="22.5" style="10" bestFit="1" customWidth="1"/>
    <col min="4" max="4" width="30" style="10" bestFit="1" customWidth="1"/>
    <col min="5" max="6" width="6" style="10" bestFit="1" customWidth="1"/>
    <col min="7" max="7" width="17.625" style="10" customWidth="1"/>
    <col min="8" max="8" width="10.625" style="10" customWidth="1"/>
    <col min="9" max="9" width="17.625" style="10" customWidth="1"/>
    <col min="10" max="10" width="10.625" style="10" customWidth="1"/>
    <col min="11" max="11" width="15.125" style="12" bestFit="1" customWidth="1"/>
    <col min="12" max="12" width="17.625" style="10" customWidth="1"/>
    <col min="13" max="13" width="10.625" style="10" customWidth="1"/>
    <col min="14" max="14" width="17.625" style="10" customWidth="1"/>
    <col min="15" max="15" width="10.625" style="10" customWidth="1"/>
    <col min="16" max="16" width="19.75" style="10" bestFit="1" customWidth="1"/>
    <col min="17" max="17" width="9.875" style="10" bestFit="1" customWidth="1"/>
    <col min="18" max="16384" width="9" style="10"/>
  </cols>
  <sheetData>
    <row r="1" spans="2:17" s="5" customFormat="1" ht="9.9499999999999993" customHeight="1" x14ac:dyDescent="0.15">
      <c r="K1" s="6"/>
    </row>
    <row r="2" spans="2:17" s="5" customFormat="1" ht="24.95" customHeight="1" thickBot="1" x14ac:dyDescent="0.2">
      <c r="B2" s="1012" t="s">
        <v>751</v>
      </c>
      <c r="C2" s="1012"/>
      <c r="D2" s="1012"/>
      <c r="E2" s="1012"/>
      <c r="F2" s="1012"/>
      <c r="G2" s="1012"/>
      <c r="H2" s="163" t="s">
        <v>264</v>
      </c>
      <c r="I2" s="3" t="s">
        <v>387</v>
      </c>
      <c r="J2" s="162"/>
      <c r="K2" s="163" t="s">
        <v>265</v>
      </c>
      <c r="L2" s="3" t="s">
        <v>484</v>
      </c>
      <c r="M2" s="9"/>
      <c r="P2" s="14"/>
    </row>
    <row r="3" spans="2:17" s="5" customFormat="1" x14ac:dyDescent="0.15">
      <c r="B3" s="1006" t="s">
        <v>117</v>
      </c>
      <c r="C3" s="1000" t="s">
        <v>37</v>
      </c>
      <c r="D3" s="1008" t="s">
        <v>116</v>
      </c>
      <c r="E3" s="1010" t="s">
        <v>38</v>
      </c>
      <c r="F3" s="1011"/>
      <c r="G3" s="20" t="s">
        <v>39</v>
      </c>
      <c r="H3" s="19" t="s">
        <v>119</v>
      </c>
      <c r="I3" s="19" t="s">
        <v>118</v>
      </c>
      <c r="J3" s="1000" t="s">
        <v>84</v>
      </c>
      <c r="K3" s="21" t="s">
        <v>85</v>
      </c>
      <c r="L3" s="20" t="s">
        <v>40</v>
      </c>
      <c r="M3" s="19" t="s">
        <v>123</v>
      </c>
      <c r="N3" s="20" t="s">
        <v>41</v>
      </c>
      <c r="O3" s="20" t="s">
        <v>42</v>
      </c>
      <c r="P3" s="384" t="s">
        <v>43</v>
      </c>
    </row>
    <row r="4" spans="2:17" x14ac:dyDescent="0.15">
      <c r="B4" s="1007"/>
      <c r="C4" s="1001"/>
      <c r="D4" s="1009"/>
      <c r="E4" s="22" t="s">
        <v>86</v>
      </c>
      <c r="F4" s="22" t="s">
        <v>9</v>
      </c>
      <c r="G4" s="23" t="s">
        <v>121</v>
      </c>
      <c r="H4" s="23" t="s">
        <v>120</v>
      </c>
      <c r="I4" s="23" t="s">
        <v>127</v>
      </c>
      <c r="J4" s="1001"/>
      <c r="K4" s="24" t="s">
        <v>122</v>
      </c>
      <c r="L4" s="23" t="s">
        <v>128</v>
      </c>
      <c r="M4" s="23" t="s">
        <v>124</v>
      </c>
      <c r="N4" s="23" t="s">
        <v>129</v>
      </c>
      <c r="O4" s="23" t="s">
        <v>125</v>
      </c>
      <c r="P4" s="385" t="s">
        <v>130</v>
      </c>
    </row>
    <row r="5" spans="2:17" x14ac:dyDescent="0.15">
      <c r="B5" s="996" t="s">
        <v>193</v>
      </c>
      <c r="C5" s="569" t="s">
        <v>369</v>
      </c>
      <c r="D5" s="380" t="s">
        <v>370</v>
      </c>
      <c r="E5" s="41">
        <v>3</v>
      </c>
      <c r="F5" s="380" t="s">
        <v>371</v>
      </c>
      <c r="G5" s="41">
        <f>Q5*E5*10</f>
        <v>48000000</v>
      </c>
      <c r="H5" s="42">
        <v>0</v>
      </c>
      <c r="I5" s="41">
        <f>G5*(1-H5)</f>
        <v>48000000</v>
      </c>
      <c r="J5" s="380" t="s">
        <v>596</v>
      </c>
      <c r="K5" s="43">
        <f>1/3</f>
        <v>0.33333333333333331</v>
      </c>
      <c r="L5" s="11">
        <f>I5*K5</f>
        <v>16000000</v>
      </c>
      <c r="M5" s="26">
        <v>0</v>
      </c>
      <c r="N5" s="11">
        <v>0</v>
      </c>
      <c r="O5" s="11">
        <v>14</v>
      </c>
      <c r="P5" s="386">
        <f>IF(O5="","",(L5-N5)/O5)</f>
        <v>1142857.142857143</v>
      </c>
      <c r="Q5" s="718">
        <v>1600000</v>
      </c>
    </row>
    <row r="6" spans="2:17" x14ac:dyDescent="0.15">
      <c r="B6" s="1002"/>
      <c r="C6" s="569" t="s">
        <v>561</v>
      </c>
      <c r="D6" s="380" t="s">
        <v>409</v>
      </c>
      <c r="E6" s="41">
        <v>150</v>
      </c>
      <c r="F6" s="41" t="s">
        <v>89</v>
      </c>
      <c r="G6" s="41">
        <v>6480000</v>
      </c>
      <c r="H6" s="42">
        <v>0</v>
      </c>
      <c r="I6" s="41">
        <f>G6*(1-H6)</f>
        <v>6480000</v>
      </c>
      <c r="J6" s="44" t="s">
        <v>595</v>
      </c>
      <c r="K6" s="43">
        <f>1/3</f>
        <v>0.33333333333333331</v>
      </c>
      <c r="L6" s="11">
        <f>I6*K6</f>
        <v>2160000</v>
      </c>
      <c r="M6" s="26">
        <v>0</v>
      </c>
      <c r="N6" s="11">
        <v>0</v>
      </c>
      <c r="O6" s="11">
        <v>31</v>
      </c>
      <c r="P6" s="386">
        <f>IF(O6="","",(L6-N6)/O6)</f>
        <v>69677.419354838712</v>
      </c>
      <c r="Q6" s="718"/>
    </row>
    <row r="7" spans="2:17" x14ac:dyDescent="0.15">
      <c r="B7" s="1002"/>
      <c r="C7" s="569" t="s">
        <v>372</v>
      </c>
      <c r="D7" s="41"/>
      <c r="E7" s="41">
        <v>2</v>
      </c>
      <c r="F7" s="380" t="s">
        <v>371</v>
      </c>
      <c r="G7" s="41">
        <f>Q7*E7*10</f>
        <v>8000000</v>
      </c>
      <c r="H7" s="42">
        <v>0</v>
      </c>
      <c r="I7" s="41">
        <f>G7*(1-H7)</f>
        <v>8000000</v>
      </c>
      <c r="J7" s="44" t="s">
        <v>599</v>
      </c>
      <c r="K7" s="43">
        <f>1/2</f>
        <v>0.5</v>
      </c>
      <c r="L7" s="11">
        <f t="shared" ref="L7:L8" si="0">I7*K7</f>
        <v>4000000</v>
      </c>
      <c r="M7" s="26">
        <v>0</v>
      </c>
      <c r="N7" s="11">
        <v>0</v>
      </c>
      <c r="O7" s="11">
        <v>10</v>
      </c>
      <c r="P7" s="386">
        <f t="shared" ref="P7:P14" si="1">IF(O7="","",(L7-N7)/O7)</f>
        <v>400000</v>
      </c>
      <c r="Q7" s="718">
        <v>400000</v>
      </c>
    </row>
    <row r="8" spans="2:17" x14ac:dyDescent="0.15">
      <c r="B8" s="1002"/>
      <c r="C8" s="569" t="s">
        <v>373</v>
      </c>
      <c r="D8" s="41"/>
      <c r="E8" s="45">
        <v>3</v>
      </c>
      <c r="F8" s="46" t="s">
        <v>374</v>
      </c>
      <c r="G8" s="41">
        <f>Q8*E8*10</f>
        <v>18750000</v>
      </c>
      <c r="H8" s="42">
        <v>0</v>
      </c>
      <c r="I8" s="41">
        <f t="shared" ref="I8" si="2">G8*(1-H8)</f>
        <v>18750000</v>
      </c>
      <c r="J8" s="44" t="s">
        <v>595</v>
      </c>
      <c r="K8" s="43">
        <f>1/3</f>
        <v>0.33333333333333331</v>
      </c>
      <c r="L8" s="11">
        <f t="shared" si="0"/>
        <v>6250000</v>
      </c>
      <c r="M8" s="26">
        <v>0</v>
      </c>
      <c r="N8" s="11">
        <v>0</v>
      </c>
      <c r="O8" s="11">
        <v>8</v>
      </c>
      <c r="P8" s="386">
        <f t="shared" si="1"/>
        <v>781250</v>
      </c>
      <c r="Q8" s="718">
        <v>625000</v>
      </c>
    </row>
    <row r="9" spans="2:17" x14ac:dyDescent="0.15">
      <c r="B9" s="1002"/>
      <c r="C9" s="569"/>
      <c r="D9" s="41"/>
      <c r="E9" s="45"/>
      <c r="F9" s="487"/>
      <c r="G9" s="41"/>
      <c r="H9" s="42"/>
      <c r="I9" s="41"/>
      <c r="J9" s="44"/>
      <c r="K9" s="43"/>
      <c r="L9" s="11"/>
      <c r="M9" s="26"/>
      <c r="N9" s="11"/>
      <c r="O9" s="11"/>
      <c r="P9" s="386" t="str">
        <f t="shared" si="1"/>
        <v/>
      </c>
    </row>
    <row r="10" spans="2:17" x14ac:dyDescent="0.15">
      <c r="B10" s="1002"/>
      <c r="C10" s="570"/>
      <c r="D10" s="41"/>
      <c r="E10" s="41"/>
      <c r="F10" s="44"/>
      <c r="G10" s="41"/>
      <c r="H10" s="42"/>
      <c r="I10" s="41"/>
      <c r="J10" s="41"/>
      <c r="K10" s="43"/>
      <c r="L10" s="11"/>
      <c r="M10" s="26"/>
      <c r="N10" s="11"/>
      <c r="O10" s="11"/>
      <c r="P10" s="386" t="str">
        <f t="shared" si="1"/>
        <v/>
      </c>
    </row>
    <row r="11" spans="2:17" x14ac:dyDescent="0.15">
      <c r="B11" s="1002"/>
      <c r="C11" s="41"/>
      <c r="D11" s="41"/>
      <c r="E11" s="41"/>
      <c r="F11" s="41"/>
      <c r="G11" s="41"/>
      <c r="H11" s="42"/>
      <c r="I11" s="41"/>
      <c r="J11" s="41"/>
      <c r="K11" s="43"/>
      <c r="L11" s="11"/>
      <c r="M11" s="26"/>
      <c r="N11" s="11"/>
      <c r="O11" s="11"/>
      <c r="P11" s="386" t="str">
        <f t="shared" si="1"/>
        <v/>
      </c>
    </row>
    <row r="12" spans="2:17" x14ac:dyDescent="0.15">
      <c r="B12" s="1002"/>
      <c r="C12" s="41"/>
      <c r="D12" s="41"/>
      <c r="E12" s="41"/>
      <c r="F12" s="44"/>
      <c r="G12" s="41"/>
      <c r="H12" s="42"/>
      <c r="I12" s="41"/>
      <c r="J12" s="44"/>
      <c r="K12" s="43"/>
      <c r="L12" s="11"/>
      <c r="M12" s="26"/>
      <c r="N12" s="11"/>
      <c r="O12" s="11"/>
      <c r="P12" s="386" t="str">
        <f t="shared" si="1"/>
        <v/>
      </c>
    </row>
    <row r="13" spans="2:17" x14ac:dyDescent="0.15">
      <c r="B13" s="1002"/>
      <c r="C13" s="11"/>
      <c r="D13" s="11"/>
      <c r="E13" s="11"/>
      <c r="F13" s="11"/>
      <c r="G13" s="11"/>
      <c r="H13" s="26"/>
      <c r="I13" s="11"/>
      <c r="J13" s="11"/>
      <c r="K13" s="40"/>
      <c r="L13" s="11"/>
      <c r="M13" s="26"/>
      <c r="N13" s="11"/>
      <c r="O13" s="11"/>
      <c r="P13" s="386" t="str">
        <f t="shared" si="1"/>
        <v/>
      </c>
    </row>
    <row r="14" spans="2:17" x14ac:dyDescent="0.15">
      <c r="B14" s="1002"/>
      <c r="C14" s="11"/>
      <c r="D14" s="11"/>
      <c r="E14" s="11"/>
      <c r="F14" s="11"/>
      <c r="G14" s="11"/>
      <c r="H14" s="26"/>
      <c r="I14" s="11"/>
      <c r="J14" s="11"/>
      <c r="K14" s="40"/>
      <c r="L14" s="11"/>
      <c r="M14" s="26"/>
      <c r="N14" s="11"/>
      <c r="O14" s="11"/>
      <c r="P14" s="386" t="str">
        <f t="shared" si="1"/>
        <v/>
      </c>
    </row>
    <row r="15" spans="2:17" x14ac:dyDescent="0.15">
      <c r="B15" s="1003"/>
      <c r="C15" s="27" t="s">
        <v>44</v>
      </c>
      <c r="D15" s="28"/>
      <c r="E15" s="28"/>
      <c r="F15" s="29"/>
      <c r="G15" s="28">
        <f>SUM(G5:G14)</f>
        <v>81230000</v>
      </c>
      <c r="H15" s="28"/>
      <c r="I15" s="28">
        <f>SUM(I5:I14)</f>
        <v>81230000</v>
      </c>
      <c r="J15" s="28"/>
      <c r="K15" s="30"/>
      <c r="L15" s="28">
        <f>SUM(L5:L14)</f>
        <v>28410000</v>
      </c>
      <c r="M15" s="28"/>
      <c r="N15" s="28"/>
      <c r="O15" s="28"/>
      <c r="P15" s="387">
        <f>SUM(P5:P14)</f>
        <v>2393784.562211982</v>
      </c>
    </row>
    <row r="16" spans="2:17" x14ac:dyDescent="0.15">
      <c r="B16" s="996" t="s">
        <v>194</v>
      </c>
      <c r="C16" s="569" t="s">
        <v>573</v>
      </c>
      <c r="D16" s="380" t="s">
        <v>582</v>
      </c>
      <c r="E16" s="41">
        <v>1</v>
      </c>
      <c r="F16" s="41" t="s">
        <v>88</v>
      </c>
      <c r="G16" s="41">
        <v>3937500</v>
      </c>
      <c r="H16" s="42">
        <v>0</v>
      </c>
      <c r="I16" s="41">
        <f>G16*(1-H16)</f>
        <v>3937500</v>
      </c>
      <c r="J16" s="577" t="s">
        <v>595</v>
      </c>
      <c r="K16" s="43">
        <f t="shared" ref="K16:K21" si="3">1/3</f>
        <v>0.33333333333333331</v>
      </c>
      <c r="L16" s="41">
        <f>I16*K16</f>
        <v>1312500</v>
      </c>
      <c r="M16" s="38">
        <v>0</v>
      </c>
      <c r="N16" s="11">
        <v>0</v>
      </c>
      <c r="O16" s="31">
        <v>7</v>
      </c>
      <c r="P16" s="386">
        <f>IF(O16="","",(L16-N16)/O16)</f>
        <v>187500</v>
      </c>
    </row>
    <row r="17" spans="2:16" x14ac:dyDescent="0.15">
      <c r="B17" s="1002"/>
      <c r="C17" s="569" t="s">
        <v>367</v>
      </c>
      <c r="D17" s="380" t="s">
        <v>368</v>
      </c>
      <c r="E17" s="41">
        <v>2</v>
      </c>
      <c r="F17" s="41" t="s">
        <v>53</v>
      </c>
      <c r="G17" s="41">
        <f>920000*2</f>
        <v>1840000</v>
      </c>
      <c r="H17" s="42">
        <v>0</v>
      </c>
      <c r="I17" s="41">
        <f>G17*(1-H17)</f>
        <v>1840000</v>
      </c>
      <c r="J17" s="44" t="s">
        <v>595</v>
      </c>
      <c r="K17" s="43">
        <f t="shared" si="3"/>
        <v>0.33333333333333331</v>
      </c>
      <c r="L17" s="41">
        <f t="shared" ref="L17:L19" si="4">I17*K17</f>
        <v>613333.33333333326</v>
      </c>
      <c r="M17" s="38">
        <v>0</v>
      </c>
      <c r="N17" s="11">
        <v>0</v>
      </c>
      <c r="O17" s="31">
        <v>4</v>
      </c>
      <c r="P17" s="386">
        <f t="shared" ref="P17:P28" si="5">IF(O17="","",(L17-N17)/O17)</f>
        <v>153333.33333333331</v>
      </c>
    </row>
    <row r="18" spans="2:16" x14ac:dyDescent="0.15">
      <c r="B18" s="1002"/>
      <c r="C18" s="569" t="s">
        <v>420</v>
      </c>
      <c r="D18" s="380" t="s">
        <v>421</v>
      </c>
      <c r="E18" s="41">
        <v>1</v>
      </c>
      <c r="F18" s="41" t="s">
        <v>53</v>
      </c>
      <c r="G18" s="41">
        <v>163170</v>
      </c>
      <c r="H18" s="42">
        <v>0</v>
      </c>
      <c r="I18" s="41">
        <f t="shared" ref="I18:I30" si="6">G18*(1-H18)</f>
        <v>163170</v>
      </c>
      <c r="J18" s="41" t="s">
        <v>595</v>
      </c>
      <c r="K18" s="43">
        <f t="shared" si="3"/>
        <v>0.33333333333333331</v>
      </c>
      <c r="L18" s="41">
        <f t="shared" si="4"/>
        <v>54390</v>
      </c>
      <c r="M18" s="38">
        <v>0</v>
      </c>
      <c r="N18" s="11">
        <v>0</v>
      </c>
      <c r="O18" s="11">
        <v>7</v>
      </c>
      <c r="P18" s="386">
        <f>IF(O18="","",(L18-N18)/O18)</f>
        <v>7770</v>
      </c>
    </row>
    <row r="19" spans="2:16" x14ac:dyDescent="0.15">
      <c r="B19" s="1002"/>
      <c r="C19" s="569" t="s">
        <v>422</v>
      </c>
      <c r="D19" s="380" t="s">
        <v>423</v>
      </c>
      <c r="E19" s="41">
        <v>1</v>
      </c>
      <c r="F19" s="41" t="s">
        <v>53</v>
      </c>
      <c r="G19" s="41">
        <v>843000</v>
      </c>
      <c r="H19" s="42">
        <v>0</v>
      </c>
      <c r="I19" s="41">
        <f t="shared" si="6"/>
        <v>843000</v>
      </c>
      <c r="J19" s="380" t="s">
        <v>595</v>
      </c>
      <c r="K19" s="43">
        <f t="shared" si="3"/>
        <v>0.33333333333333331</v>
      </c>
      <c r="L19" s="41">
        <f t="shared" si="4"/>
        <v>281000</v>
      </c>
      <c r="M19" s="38">
        <v>0</v>
      </c>
      <c r="N19" s="11">
        <v>0</v>
      </c>
      <c r="O19" s="11">
        <v>7</v>
      </c>
      <c r="P19" s="386">
        <f t="shared" si="5"/>
        <v>40142.857142857145</v>
      </c>
    </row>
    <row r="20" spans="2:16" x14ac:dyDescent="0.15">
      <c r="B20" s="1002"/>
      <c r="C20" s="569" t="s">
        <v>424</v>
      </c>
      <c r="D20" s="380" t="s">
        <v>425</v>
      </c>
      <c r="E20" s="41">
        <v>1</v>
      </c>
      <c r="F20" s="41" t="s">
        <v>53</v>
      </c>
      <c r="G20" s="41">
        <v>1802000</v>
      </c>
      <c r="H20" s="42">
        <v>0</v>
      </c>
      <c r="I20" s="41">
        <f t="shared" si="6"/>
        <v>1802000</v>
      </c>
      <c r="J20" s="41" t="s">
        <v>595</v>
      </c>
      <c r="K20" s="43">
        <f t="shared" si="3"/>
        <v>0.33333333333333331</v>
      </c>
      <c r="L20" s="41">
        <f>I20*K20</f>
        <v>600666.66666666663</v>
      </c>
      <c r="M20" s="38">
        <v>0</v>
      </c>
      <c r="N20" s="11">
        <v>0</v>
      </c>
      <c r="O20" s="11">
        <v>7</v>
      </c>
      <c r="P20" s="386">
        <f t="shared" si="5"/>
        <v>85809.523809523802</v>
      </c>
    </row>
    <row r="21" spans="2:16" x14ac:dyDescent="0.15">
      <c r="B21" s="1002"/>
      <c r="C21" s="569" t="s">
        <v>624</v>
      </c>
      <c r="D21" s="380" t="s">
        <v>625</v>
      </c>
      <c r="E21" s="41">
        <v>1</v>
      </c>
      <c r="F21" s="41" t="s">
        <v>626</v>
      </c>
      <c r="G21" s="41">
        <v>248000</v>
      </c>
      <c r="H21" s="42">
        <v>0</v>
      </c>
      <c r="I21" s="41">
        <f t="shared" si="6"/>
        <v>248000</v>
      </c>
      <c r="J21" s="44" t="s">
        <v>595</v>
      </c>
      <c r="K21" s="43">
        <f t="shared" si="3"/>
        <v>0.33333333333333331</v>
      </c>
      <c r="L21" s="41">
        <f>I21*K21</f>
        <v>82666.666666666657</v>
      </c>
      <c r="M21" s="38">
        <v>0</v>
      </c>
      <c r="N21" s="11">
        <v>0</v>
      </c>
      <c r="O21" s="11">
        <v>7</v>
      </c>
      <c r="P21" s="386">
        <f t="shared" si="5"/>
        <v>11809.523809523807</v>
      </c>
    </row>
    <row r="22" spans="2:16" x14ac:dyDescent="0.15">
      <c r="B22" s="1002"/>
      <c r="C22" s="41"/>
      <c r="D22" s="41"/>
      <c r="E22" s="41"/>
      <c r="F22" s="41"/>
      <c r="G22" s="41"/>
      <c r="H22" s="42"/>
      <c r="I22" s="41"/>
      <c r="J22" s="41"/>
      <c r="K22" s="43"/>
      <c r="L22" s="41"/>
      <c r="M22" s="26"/>
      <c r="N22" s="11"/>
      <c r="O22" s="11"/>
      <c r="P22" s="386" t="str">
        <f t="shared" si="5"/>
        <v/>
      </c>
    </row>
    <row r="23" spans="2:16" x14ac:dyDescent="0.15">
      <c r="B23" s="1002"/>
      <c r="C23" s="41"/>
      <c r="D23" s="41"/>
      <c r="E23" s="41"/>
      <c r="F23" s="41"/>
      <c r="G23" s="41"/>
      <c r="H23" s="42"/>
      <c r="I23" s="41"/>
      <c r="J23" s="41"/>
      <c r="K23" s="43"/>
      <c r="L23" s="41"/>
      <c r="M23" s="26"/>
      <c r="N23" s="11"/>
      <c r="O23" s="11"/>
      <c r="P23" s="386" t="str">
        <f t="shared" si="5"/>
        <v/>
      </c>
    </row>
    <row r="24" spans="2:16" x14ac:dyDescent="0.15">
      <c r="B24" s="1002"/>
      <c r="C24" s="41"/>
      <c r="D24" s="41"/>
      <c r="E24" s="41"/>
      <c r="F24" s="41"/>
      <c r="G24" s="41"/>
      <c r="H24" s="42"/>
      <c r="I24" s="41"/>
      <c r="J24" s="41"/>
      <c r="K24" s="43"/>
      <c r="L24" s="41"/>
      <c r="M24" s="26"/>
      <c r="N24" s="11"/>
      <c r="O24" s="11"/>
      <c r="P24" s="386" t="str">
        <f t="shared" si="5"/>
        <v/>
      </c>
    </row>
    <row r="25" spans="2:16" x14ac:dyDescent="0.15">
      <c r="B25" s="1002"/>
      <c r="C25" s="41"/>
      <c r="D25" s="41"/>
      <c r="E25" s="41"/>
      <c r="F25" s="41"/>
      <c r="G25" s="41"/>
      <c r="H25" s="42"/>
      <c r="I25" s="41"/>
      <c r="J25" s="41"/>
      <c r="K25" s="43"/>
      <c r="L25" s="41"/>
      <c r="M25" s="26"/>
      <c r="N25" s="11"/>
      <c r="O25" s="11"/>
      <c r="P25" s="386" t="str">
        <f t="shared" si="5"/>
        <v/>
      </c>
    </row>
    <row r="26" spans="2:16" x14ac:dyDescent="0.15">
      <c r="B26" s="1002"/>
      <c r="C26" s="41"/>
      <c r="D26" s="41"/>
      <c r="E26" s="47"/>
      <c r="F26" s="41"/>
      <c r="G26" s="41"/>
      <c r="H26" s="42"/>
      <c r="I26" s="41"/>
      <c r="J26" s="44"/>
      <c r="K26" s="43"/>
      <c r="L26" s="41"/>
      <c r="M26" s="26"/>
      <c r="N26" s="11"/>
      <c r="O26" s="11"/>
      <c r="P26" s="386" t="str">
        <f t="shared" si="5"/>
        <v/>
      </c>
    </row>
    <row r="27" spans="2:16" x14ac:dyDescent="0.15">
      <c r="B27" s="1002"/>
      <c r="C27" s="41"/>
      <c r="D27" s="41"/>
      <c r="E27" s="47"/>
      <c r="F27" s="41"/>
      <c r="G27" s="41"/>
      <c r="H27" s="42"/>
      <c r="I27" s="41"/>
      <c r="J27" s="41"/>
      <c r="K27" s="43"/>
      <c r="L27" s="41"/>
      <c r="M27" s="26"/>
      <c r="N27" s="11"/>
      <c r="O27" s="11"/>
      <c r="P27" s="386" t="str">
        <f t="shared" si="5"/>
        <v/>
      </c>
    </row>
    <row r="28" spans="2:16" x14ac:dyDescent="0.15">
      <c r="B28" s="1002"/>
      <c r="C28" s="41"/>
      <c r="D28" s="41"/>
      <c r="E28" s="47"/>
      <c r="F28" s="41"/>
      <c r="G28" s="41"/>
      <c r="H28" s="42"/>
      <c r="I28" s="41"/>
      <c r="J28" s="41"/>
      <c r="K28" s="43"/>
      <c r="L28" s="41"/>
      <c r="M28" s="26"/>
      <c r="N28" s="11"/>
      <c r="O28" s="11"/>
      <c r="P28" s="386" t="str">
        <f t="shared" si="5"/>
        <v/>
      </c>
    </row>
    <row r="29" spans="2:16" x14ac:dyDescent="0.15">
      <c r="B29" s="1003"/>
      <c r="C29" s="48" t="s">
        <v>45</v>
      </c>
      <c r="D29" s="48"/>
      <c r="E29" s="48"/>
      <c r="F29" s="49"/>
      <c r="G29" s="48">
        <f>SUM(G16:G28)</f>
        <v>8833670</v>
      </c>
      <c r="H29" s="48"/>
      <c r="I29" s="48">
        <f>SUM(I16:I28)</f>
        <v>8833670</v>
      </c>
      <c r="J29" s="48"/>
      <c r="K29" s="50"/>
      <c r="L29" s="48">
        <f>SUM(L16:L28)</f>
        <v>2944556.666666666</v>
      </c>
      <c r="M29" s="28"/>
      <c r="N29" s="28"/>
      <c r="O29" s="28"/>
      <c r="P29" s="387">
        <f>SUM(P16:P28)</f>
        <v>486365.23809523805</v>
      </c>
    </row>
    <row r="30" spans="2:16" x14ac:dyDescent="0.15">
      <c r="B30" s="996" t="s">
        <v>126</v>
      </c>
      <c r="C30" s="380" t="s">
        <v>551</v>
      </c>
      <c r="D30" s="380" t="s">
        <v>426</v>
      </c>
      <c r="E30" s="572">
        <v>1</v>
      </c>
      <c r="F30" s="44" t="s">
        <v>410</v>
      </c>
      <c r="G30" s="41">
        <f>+D43*10</f>
        <v>2704270</v>
      </c>
      <c r="H30" s="51"/>
      <c r="I30" s="41">
        <f t="shared" si="6"/>
        <v>2704270</v>
      </c>
      <c r="J30" s="44" t="s">
        <v>610</v>
      </c>
      <c r="K30" s="43">
        <v>1</v>
      </c>
      <c r="L30" s="41">
        <f>I30*K30</f>
        <v>2704270</v>
      </c>
      <c r="M30" s="39">
        <v>0.05</v>
      </c>
      <c r="N30" s="11">
        <f>L30*M30</f>
        <v>135213.5</v>
      </c>
      <c r="O30" s="11">
        <v>15</v>
      </c>
      <c r="P30" s="386">
        <f>IF(O30="","",(L30-N30)/O30)</f>
        <v>171270.43333333332</v>
      </c>
    </row>
    <row r="31" spans="2:16" x14ac:dyDescent="0.15">
      <c r="B31" s="1002"/>
      <c r="C31" s="380"/>
      <c r="D31" s="41"/>
      <c r="E31" s="41"/>
      <c r="F31" s="44"/>
      <c r="G31" s="41"/>
      <c r="H31" s="51"/>
      <c r="I31" s="41"/>
      <c r="J31" s="41"/>
      <c r="K31" s="43"/>
      <c r="L31" s="41"/>
      <c r="M31" s="39"/>
      <c r="N31" s="11"/>
      <c r="O31" s="11"/>
      <c r="P31" s="386" t="str">
        <f>IF(O31="","",(L31-N31)/O31)</f>
        <v/>
      </c>
    </row>
    <row r="32" spans="2:16" x14ac:dyDescent="0.15">
      <c r="B32" s="1002"/>
      <c r="C32" s="92"/>
      <c r="D32" s="11"/>
      <c r="E32" s="11"/>
      <c r="F32" s="25"/>
      <c r="G32" s="11"/>
      <c r="H32" s="39"/>
      <c r="I32" s="11"/>
      <c r="J32" s="11"/>
      <c r="K32" s="40"/>
      <c r="L32" s="11"/>
      <c r="M32" s="39"/>
      <c r="N32" s="11"/>
      <c r="O32" s="11"/>
      <c r="P32" s="386" t="str">
        <f>IF(O32="","",(L32-N32)/O32)</f>
        <v/>
      </c>
    </row>
    <row r="33" spans="2:16" x14ac:dyDescent="0.15">
      <c r="B33" s="1002"/>
      <c r="C33" s="11"/>
      <c r="D33" s="11"/>
      <c r="E33" s="11"/>
      <c r="F33" s="25"/>
      <c r="G33" s="11"/>
      <c r="H33" s="39"/>
      <c r="I33" s="11"/>
      <c r="J33" s="11"/>
      <c r="K33" s="40"/>
      <c r="L33" s="11"/>
      <c r="M33" s="39"/>
      <c r="N33" s="11"/>
      <c r="O33" s="11"/>
      <c r="P33" s="386" t="str">
        <f>IF(O33="","",(L33-N33)/O33)</f>
        <v/>
      </c>
    </row>
    <row r="34" spans="2:16" x14ac:dyDescent="0.15">
      <c r="B34" s="1003"/>
      <c r="C34" s="32" t="s">
        <v>45</v>
      </c>
      <c r="D34" s="28"/>
      <c r="E34" s="28"/>
      <c r="F34" s="29"/>
      <c r="G34" s="28">
        <f>SUM(G30:G33)</f>
        <v>2704270</v>
      </c>
      <c r="H34" s="28"/>
      <c r="I34" s="28">
        <f>SUM(I30:I33)</f>
        <v>2704270</v>
      </c>
      <c r="J34" s="28"/>
      <c r="K34" s="30"/>
      <c r="L34" s="28">
        <f>SUM(L30:L33)</f>
        <v>2704270</v>
      </c>
      <c r="M34" s="28"/>
      <c r="N34" s="28"/>
      <c r="O34" s="28"/>
      <c r="P34" s="387">
        <f>SUM(P30:P33)</f>
        <v>171270.43333333332</v>
      </c>
    </row>
    <row r="35" spans="2:16" ht="14.25" thickBot="1" x14ac:dyDescent="0.2">
      <c r="B35" s="33"/>
      <c r="C35" s="34" t="s">
        <v>87</v>
      </c>
      <c r="D35" s="35"/>
      <c r="E35" s="35"/>
      <c r="F35" s="36"/>
      <c r="G35" s="35">
        <f>G15+G29+G34</f>
        <v>92767940</v>
      </c>
      <c r="H35" s="35"/>
      <c r="I35" s="35">
        <f>I15+I29+I34</f>
        <v>92767940</v>
      </c>
      <c r="J35" s="35"/>
      <c r="K35" s="37"/>
      <c r="L35" s="35">
        <f>L15+L29+L34</f>
        <v>34058826.666666664</v>
      </c>
      <c r="M35" s="35"/>
      <c r="N35" s="35"/>
      <c r="O35" s="35"/>
      <c r="P35" s="388">
        <f>P15+P29+P34</f>
        <v>3051420.233640553</v>
      </c>
    </row>
    <row r="36" spans="2:16" ht="11.25" customHeight="1" x14ac:dyDescent="0.15"/>
    <row r="39" spans="2:16" x14ac:dyDescent="0.15">
      <c r="C39" s="718" t="s">
        <v>427</v>
      </c>
      <c r="D39" s="718"/>
      <c r="E39" s="718"/>
      <c r="F39" s="718"/>
      <c r="G39" s="718"/>
      <c r="H39" s="718"/>
      <c r="I39" s="718"/>
      <c r="J39" s="718"/>
      <c r="K39" s="724"/>
      <c r="L39" s="718"/>
      <c r="M39" s="718"/>
      <c r="N39" s="718"/>
    </row>
    <row r="40" spans="2:16" x14ac:dyDescent="0.15">
      <c r="C40" s="718" t="s">
        <v>428</v>
      </c>
      <c r="D40" s="718">
        <v>182708</v>
      </c>
      <c r="E40" s="718"/>
      <c r="F40" s="718"/>
      <c r="G40" s="718"/>
      <c r="H40" s="718"/>
      <c r="I40" s="718"/>
      <c r="J40" s="718"/>
      <c r="K40" s="724"/>
      <c r="L40" s="718"/>
      <c r="M40" s="718"/>
      <c r="N40" s="718"/>
    </row>
    <row r="41" spans="2:16" x14ac:dyDescent="0.15">
      <c r="C41" s="718" t="s">
        <v>429</v>
      </c>
      <c r="D41" s="718">
        <v>83509</v>
      </c>
      <c r="E41" s="718" t="s">
        <v>430</v>
      </c>
      <c r="F41" s="718"/>
      <c r="G41" s="718"/>
      <c r="H41" s="718"/>
      <c r="I41" s="718"/>
      <c r="J41" s="718"/>
      <c r="K41" s="724"/>
      <c r="L41" s="718"/>
      <c r="M41" s="718"/>
      <c r="N41" s="718"/>
    </row>
    <row r="42" spans="2:16" x14ac:dyDescent="0.15">
      <c r="C42" s="718" t="s">
        <v>58</v>
      </c>
      <c r="D42" s="718">
        <v>4210</v>
      </c>
      <c r="E42" s="718" t="s">
        <v>431</v>
      </c>
      <c r="F42" s="718"/>
      <c r="G42" s="718"/>
      <c r="H42" s="718"/>
      <c r="I42" s="718"/>
      <c r="J42" s="718"/>
      <c r="K42" s="724"/>
      <c r="L42" s="718"/>
      <c r="M42" s="718"/>
      <c r="N42" s="718"/>
    </row>
    <row r="43" spans="2:16" x14ac:dyDescent="0.15">
      <c r="C43" s="718" t="s">
        <v>24</v>
      </c>
      <c r="D43" s="718">
        <f>SUM(D40:D42)</f>
        <v>270427</v>
      </c>
      <c r="E43" s="718"/>
      <c r="F43" s="718"/>
      <c r="G43" s="718"/>
      <c r="H43" s="718"/>
      <c r="I43" s="718"/>
      <c r="J43" s="718"/>
      <c r="K43" s="724"/>
      <c r="L43" s="718"/>
      <c r="M43" s="718"/>
      <c r="N43" s="718"/>
    </row>
    <row r="44" spans="2:16" x14ac:dyDescent="0.15">
      <c r="C44" s="718"/>
      <c r="D44" s="718"/>
      <c r="E44" s="718"/>
      <c r="F44" s="718"/>
      <c r="G44" s="718"/>
      <c r="H44" s="718"/>
      <c r="I44" s="718"/>
      <c r="J44" s="718"/>
      <c r="K44" s="724"/>
      <c r="L44" s="718"/>
      <c r="M44" s="718"/>
      <c r="N44" s="718"/>
    </row>
    <row r="45" spans="2:16" x14ac:dyDescent="0.15">
      <c r="C45" s="93"/>
      <c r="D45" s="93"/>
      <c r="E45" s="93"/>
    </row>
    <row r="46" spans="2:16" x14ac:dyDescent="0.15">
      <c r="C46" s="93"/>
      <c r="D46" s="93"/>
      <c r="E46" s="93"/>
    </row>
    <row r="47" spans="2:16" x14ac:dyDescent="0.15">
      <c r="C47" s="93"/>
      <c r="D47" s="93"/>
      <c r="E47" s="93"/>
    </row>
    <row r="48" spans="2:16" x14ac:dyDescent="0.15">
      <c r="C48" s="93"/>
      <c r="D48" s="93"/>
      <c r="E48" s="93"/>
    </row>
    <row r="49" spans="3:5" x14ac:dyDescent="0.15">
      <c r="C49" s="93"/>
      <c r="D49" s="93"/>
      <c r="E49" s="93"/>
    </row>
    <row r="51" spans="3:5" x14ac:dyDescent="0.15">
      <c r="C51" s="93"/>
      <c r="D51" s="93"/>
      <c r="E51" s="93"/>
    </row>
    <row r="52" spans="3:5" x14ac:dyDescent="0.15">
      <c r="C52" s="93"/>
      <c r="D52" s="93"/>
      <c r="E52" s="93"/>
    </row>
    <row r="53" spans="3:5" x14ac:dyDescent="0.15">
      <c r="C53" s="93"/>
      <c r="D53" s="93"/>
      <c r="E53" s="93"/>
    </row>
    <row r="54" spans="3:5" x14ac:dyDescent="0.15">
      <c r="C54" s="93"/>
      <c r="D54" s="93"/>
      <c r="E54" s="93"/>
    </row>
    <row r="55" spans="3:5" x14ac:dyDescent="0.15">
      <c r="C55" s="93"/>
      <c r="D55" s="93"/>
      <c r="E55" s="93"/>
    </row>
  </sheetData>
  <mergeCells count="9">
    <mergeCell ref="B2:G2"/>
    <mergeCell ref="J3:J4"/>
    <mergeCell ref="B5:B15"/>
    <mergeCell ref="B16:B29"/>
    <mergeCell ref="B30:B34"/>
    <mergeCell ref="B3:B4"/>
    <mergeCell ref="C3:C4"/>
    <mergeCell ref="D3:D4"/>
    <mergeCell ref="E3:F3"/>
  </mergeCells>
  <phoneticPr fontId="5"/>
  <pageMargins left="0.78740157480314965" right="0.78740157480314965" top="0.78740157480314965" bottom="0.78740157480314965" header="0.39370078740157483" footer="0.39370078740157483"/>
  <pageSetup paperSize="9" scale="59" orientation="landscape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0"/>
  <sheetViews>
    <sheetView zoomScale="75" zoomScaleNormal="75" zoomScaleSheetLayoutView="80" workbookViewId="0"/>
  </sheetViews>
  <sheetFormatPr defaultRowHeight="13.5" x14ac:dyDescent="0.15"/>
  <cols>
    <col min="1" max="1" width="1.625" style="10" customWidth="1"/>
    <col min="2" max="2" width="5" style="10" customWidth="1"/>
    <col min="3" max="3" width="22.5" style="10" bestFit="1" customWidth="1"/>
    <col min="4" max="4" width="30" style="10" bestFit="1" customWidth="1"/>
    <col min="5" max="6" width="6" style="10" bestFit="1" customWidth="1"/>
    <col min="7" max="7" width="17.625" style="10" customWidth="1"/>
    <col min="8" max="8" width="10.625" style="10" customWidth="1"/>
    <col min="9" max="9" width="17.625" style="10" customWidth="1"/>
    <col min="10" max="10" width="10.625" style="10" customWidth="1"/>
    <col min="11" max="11" width="15.125" style="12" bestFit="1" customWidth="1"/>
    <col min="12" max="12" width="17.625" style="10" customWidth="1"/>
    <col min="13" max="13" width="10.625" style="10" customWidth="1"/>
    <col min="14" max="14" width="17.625" style="10" customWidth="1"/>
    <col min="15" max="15" width="10.625" style="10" customWidth="1"/>
    <col min="16" max="16" width="19.75" style="10" bestFit="1" customWidth="1"/>
    <col min="17" max="17" width="9.875" style="10" bestFit="1" customWidth="1"/>
    <col min="18" max="16384" width="9" style="10"/>
  </cols>
  <sheetData>
    <row r="1" spans="2:17" s="5" customFormat="1" ht="9.9499999999999993" customHeight="1" x14ac:dyDescent="0.15">
      <c r="K1" s="6"/>
    </row>
    <row r="2" spans="2:17" s="5" customFormat="1" ht="24.95" customHeight="1" thickBot="1" x14ac:dyDescent="0.2">
      <c r="B2" s="1012" t="s">
        <v>752</v>
      </c>
      <c r="C2" s="1012"/>
      <c r="D2" s="1012"/>
      <c r="E2" s="1012"/>
      <c r="F2" s="1012"/>
      <c r="G2" s="1012"/>
      <c r="H2" s="163" t="s">
        <v>264</v>
      </c>
      <c r="I2" s="3" t="s">
        <v>494</v>
      </c>
      <c r="J2" s="162"/>
      <c r="K2" s="163" t="s">
        <v>265</v>
      </c>
      <c r="L2" s="3" t="s">
        <v>493</v>
      </c>
      <c r="M2" s="9"/>
      <c r="P2" s="524"/>
    </row>
    <row r="3" spans="2:17" s="5" customFormat="1" x14ac:dyDescent="0.15">
      <c r="B3" s="1006" t="s">
        <v>74</v>
      </c>
      <c r="C3" s="1000" t="s">
        <v>37</v>
      </c>
      <c r="D3" s="1008" t="s">
        <v>116</v>
      </c>
      <c r="E3" s="1010" t="s">
        <v>38</v>
      </c>
      <c r="F3" s="1011"/>
      <c r="G3" s="525" t="s">
        <v>39</v>
      </c>
      <c r="H3" s="19" t="s">
        <v>119</v>
      </c>
      <c r="I3" s="19" t="s">
        <v>118</v>
      </c>
      <c r="J3" s="1000" t="s">
        <v>84</v>
      </c>
      <c r="K3" s="21" t="s">
        <v>85</v>
      </c>
      <c r="L3" s="525" t="s">
        <v>40</v>
      </c>
      <c r="M3" s="19" t="s">
        <v>123</v>
      </c>
      <c r="N3" s="525" t="s">
        <v>41</v>
      </c>
      <c r="O3" s="525" t="s">
        <v>42</v>
      </c>
      <c r="P3" s="384" t="s">
        <v>43</v>
      </c>
    </row>
    <row r="4" spans="2:17" x14ac:dyDescent="0.15">
      <c r="B4" s="1007"/>
      <c r="C4" s="1001"/>
      <c r="D4" s="1009"/>
      <c r="E4" s="22" t="s">
        <v>86</v>
      </c>
      <c r="F4" s="22" t="s">
        <v>9</v>
      </c>
      <c r="G4" s="23" t="s">
        <v>121</v>
      </c>
      <c r="H4" s="23" t="s">
        <v>120</v>
      </c>
      <c r="I4" s="23" t="s">
        <v>127</v>
      </c>
      <c r="J4" s="1001"/>
      <c r="K4" s="24" t="s">
        <v>122</v>
      </c>
      <c r="L4" s="23" t="s">
        <v>128</v>
      </c>
      <c r="M4" s="23" t="s">
        <v>124</v>
      </c>
      <c r="N4" s="23" t="s">
        <v>129</v>
      </c>
      <c r="O4" s="23" t="s">
        <v>125</v>
      </c>
      <c r="P4" s="385" t="s">
        <v>130</v>
      </c>
    </row>
    <row r="5" spans="2:17" x14ac:dyDescent="0.15">
      <c r="B5" s="996" t="s">
        <v>191</v>
      </c>
      <c r="C5" s="41" t="s">
        <v>369</v>
      </c>
      <c r="D5" s="41" t="s">
        <v>370</v>
      </c>
      <c r="E5" s="41">
        <v>3</v>
      </c>
      <c r="F5" s="41" t="s">
        <v>374</v>
      </c>
      <c r="G5" s="41">
        <f>Q5*E5*10</f>
        <v>48000000</v>
      </c>
      <c r="H5" s="42">
        <v>0</v>
      </c>
      <c r="I5" s="41">
        <f>G5*(1-H5)</f>
        <v>48000000</v>
      </c>
      <c r="J5" s="380" t="s">
        <v>595</v>
      </c>
      <c r="K5" s="43">
        <f>1/3</f>
        <v>0.33333333333333331</v>
      </c>
      <c r="L5" s="11">
        <f>I5*K5</f>
        <v>16000000</v>
      </c>
      <c r="M5" s="26">
        <v>0</v>
      </c>
      <c r="N5" s="11">
        <v>0</v>
      </c>
      <c r="O5" s="11">
        <v>14</v>
      </c>
      <c r="P5" s="386">
        <f>IF(O5="","",(L5-N5)/O5)</f>
        <v>1142857.142857143</v>
      </c>
      <c r="Q5" s="718">
        <v>1600000</v>
      </c>
    </row>
    <row r="6" spans="2:17" x14ac:dyDescent="0.15">
      <c r="B6" s="1002"/>
      <c r="C6" s="41" t="s">
        <v>561</v>
      </c>
      <c r="D6" s="41" t="s">
        <v>409</v>
      </c>
      <c r="E6" s="41">
        <v>150</v>
      </c>
      <c r="F6" s="41" t="s">
        <v>563</v>
      </c>
      <c r="G6" s="41">
        <v>6480000</v>
      </c>
      <c r="H6" s="42">
        <v>0</v>
      </c>
      <c r="I6" s="41">
        <f>G6*(1-H6)</f>
        <v>6480000</v>
      </c>
      <c r="J6" s="44" t="s">
        <v>595</v>
      </c>
      <c r="K6" s="43">
        <f>1/3</f>
        <v>0.33333333333333331</v>
      </c>
      <c r="L6" s="11">
        <f t="shared" ref="L6:L9" si="0">I6*K6</f>
        <v>2160000</v>
      </c>
      <c r="M6" s="26">
        <v>0</v>
      </c>
      <c r="N6" s="11">
        <v>0</v>
      </c>
      <c r="O6" s="11">
        <v>31</v>
      </c>
      <c r="P6" s="386">
        <f t="shared" ref="P6:P14" si="1">IF(O6="","",(L6-N6)/O6)</f>
        <v>69677.419354838712</v>
      </c>
      <c r="Q6" s="718"/>
    </row>
    <row r="7" spans="2:17" x14ac:dyDescent="0.15">
      <c r="B7" s="1002"/>
      <c r="C7" s="41" t="s">
        <v>564</v>
      </c>
      <c r="D7" s="41" t="s">
        <v>566</v>
      </c>
      <c r="E7" s="41">
        <v>1</v>
      </c>
      <c r="F7" s="41" t="s">
        <v>374</v>
      </c>
      <c r="G7" s="41">
        <v>100000000</v>
      </c>
      <c r="H7" s="42">
        <v>0.5</v>
      </c>
      <c r="I7" s="41">
        <f>G7*(1-H7)</f>
        <v>50000000</v>
      </c>
      <c r="J7" s="44" t="s">
        <v>598</v>
      </c>
      <c r="K7" s="43">
        <f>1/1</f>
        <v>1</v>
      </c>
      <c r="L7" s="11">
        <f t="shared" si="0"/>
        <v>50000000</v>
      </c>
      <c r="M7" s="26">
        <v>0</v>
      </c>
      <c r="N7" s="11">
        <v>0</v>
      </c>
      <c r="O7" s="11">
        <v>10</v>
      </c>
      <c r="P7" s="386">
        <f t="shared" si="1"/>
        <v>5000000</v>
      </c>
      <c r="Q7" s="718"/>
    </row>
    <row r="8" spans="2:17" x14ac:dyDescent="0.15">
      <c r="B8" s="1002"/>
      <c r="C8" s="41" t="s">
        <v>567</v>
      </c>
      <c r="D8" s="41" t="s">
        <v>569</v>
      </c>
      <c r="E8" s="45">
        <v>6</v>
      </c>
      <c r="F8" s="46" t="s">
        <v>571</v>
      </c>
      <c r="G8" s="41">
        <v>1134000</v>
      </c>
      <c r="H8" s="42">
        <v>0</v>
      </c>
      <c r="I8" s="41">
        <f t="shared" ref="I8:I9" si="2">G8*(1-H8)</f>
        <v>1134000</v>
      </c>
      <c r="J8" s="380" t="s">
        <v>597</v>
      </c>
      <c r="K8" s="43">
        <f>1/1</f>
        <v>1</v>
      </c>
      <c r="L8" s="11">
        <f t="shared" si="0"/>
        <v>1134000</v>
      </c>
      <c r="M8" s="26">
        <v>0</v>
      </c>
      <c r="N8" s="11">
        <v>0</v>
      </c>
      <c r="O8" s="11">
        <v>7</v>
      </c>
      <c r="P8" s="386">
        <f t="shared" si="1"/>
        <v>162000</v>
      </c>
      <c r="Q8" s="718"/>
    </row>
    <row r="9" spans="2:17" x14ac:dyDescent="0.15">
      <c r="B9" s="1002"/>
      <c r="C9" s="41" t="s">
        <v>572</v>
      </c>
      <c r="D9" s="41"/>
      <c r="E9" s="45">
        <v>3</v>
      </c>
      <c r="F9" s="46" t="s">
        <v>374</v>
      </c>
      <c r="G9" s="41">
        <f>Q9*E9*10</f>
        <v>18750000</v>
      </c>
      <c r="H9" s="42">
        <v>0</v>
      </c>
      <c r="I9" s="41">
        <f t="shared" si="2"/>
        <v>18750000</v>
      </c>
      <c r="J9" s="41" t="s">
        <v>595</v>
      </c>
      <c r="K9" s="43">
        <f>1/3</f>
        <v>0.33333333333333331</v>
      </c>
      <c r="L9" s="11">
        <f t="shared" si="0"/>
        <v>6250000</v>
      </c>
      <c r="M9" s="26">
        <v>0</v>
      </c>
      <c r="N9" s="11">
        <v>0</v>
      </c>
      <c r="O9" s="11">
        <v>8</v>
      </c>
      <c r="P9" s="386">
        <f t="shared" si="1"/>
        <v>781250</v>
      </c>
      <c r="Q9" s="718">
        <v>625000</v>
      </c>
    </row>
    <row r="10" spans="2:17" x14ac:dyDescent="0.15">
      <c r="B10" s="1002"/>
      <c r="C10" s="41"/>
      <c r="D10" s="41"/>
      <c r="E10" s="41"/>
      <c r="F10" s="44"/>
      <c r="G10" s="41"/>
      <c r="H10" s="42"/>
      <c r="I10" s="41"/>
      <c r="J10" s="41"/>
      <c r="K10" s="43"/>
      <c r="L10" s="11"/>
      <c r="M10" s="26"/>
      <c r="N10" s="11"/>
      <c r="O10" s="11"/>
      <c r="P10" s="386" t="str">
        <f t="shared" si="1"/>
        <v/>
      </c>
    </row>
    <row r="11" spans="2:17" x14ac:dyDescent="0.15">
      <c r="B11" s="1002"/>
      <c r="C11" s="41"/>
      <c r="D11" s="41"/>
      <c r="E11" s="41"/>
      <c r="F11" s="41"/>
      <c r="G11" s="41"/>
      <c r="H11" s="42"/>
      <c r="I11" s="41"/>
      <c r="J11" s="41"/>
      <c r="K11" s="43"/>
      <c r="L11" s="11"/>
      <c r="M11" s="26"/>
      <c r="N11" s="11"/>
      <c r="O11" s="11"/>
      <c r="P11" s="386" t="str">
        <f t="shared" si="1"/>
        <v/>
      </c>
    </row>
    <row r="12" spans="2:17" x14ac:dyDescent="0.15">
      <c r="B12" s="1002"/>
      <c r="C12" s="41"/>
      <c r="D12" s="41"/>
      <c r="E12" s="41"/>
      <c r="F12" s="44"/>
      <c r="G12" s="41"/>
      <c r="H12" s="42"/>
      <c r="I12" s="41"/>
      <c r="J12" s="44"/>
      <c r="K12" s="43"/>
      <c r="L12" s="11"/>
      <c r="M12" s="26"/>
      <c r="N12" s="11"/>
      <c r="O12" s="11"/>
      <c r="P12" s="386" t="str">
        <f t="shared" si="1"/>
        <v/>
      </c>
    </row>
    <row r="13" spans="2:17" x14ac:dyDescent="0.15">
      <c r="B13" s="1002"/>
      <c r="C13" s="11"/>
      <c r="D13" s="11"/>
      <c r="E13" s="11"/>
      <c r="F13" s="11"/>
      <c r="G13" s="11"/>
      <c r="H13" s="26"/>
      <c r="I13" s="11"/>
      <c r="J13" s="11"/>
      <c r="K13" s="40"/>
      <c r="L13" s="11"/>
      <c r="M13" s="26"/>
      <c r="N13" s="11"/>
      <c r="O13" s="11"/>
      <c r="P13" s="386" t="str">
        <f t="shared" si="1"/>
        <v/>
      </c>
    </row>
    <row r="14" spans="2:17" x14ac:dyDescent="0.15">
      <c r="B14" s="1002"/>
      <c r="C14" s="11"/>
      <c r="D14" s="11"/>
      <c r="E14" s="11"/>
      <c r="F14" s="11"/>
      <c r="G14" s="11"/>
      <c r="H14" s="26"/>
      <c r="I14" s="11"/>
      <c r="J14" s="11"/>
      <c r="K14" s="40"/>
      <c r="L14" s="11"/>
      <c r="M14" s="26"/>
      <c r="N14" s="11"/>
      <c r="O14" s="11"/>
      <c r="P14" s="386" t="str">
        <f t="shared" si="1"/>
        <v/>
      </c>
    </row>
    <row r="15" spans="2:17" x14ac:dyDescent="0.15">
      <c r="B15" s="1003"/>
      <c r="C15" s="27" t="s">
        <v>44</v>
      </c>
      <c r="D15" s="28"/>
      <c r="E15" s="28"/>
      <c r="F15" s="29"/>
      <c r="G15" s="28">
        <f>SUM(G5:G14)</f>
        <v>174364000</v>
      </c>
      <c r="H15" s="28"/>
      <c r="I15" s="28">
        <f>SUM(I5:I14)</f>
        <v>124364000</v>
      </c>
      <c r="J15" s="28"/>
      <c r="K15" s="30"/>
      <c r="L15" s="28">
        <f>SUM(L5:L14)</f>
        <v>75544000</v>
      </c>
      <c r="M15" s="28"/>
      <c r="N15" s="28"/>
      <c r="O15" s="28"/>
      <c r="P15" s="387">
        <f>SUM(P5:P14)</f>
        <v>7155784.562211982</v>
      </c>
    </row>
    <row r="16" spans="2:17" x14ac:dyDescent="0.15">
      <c r="B16" s="996" t="s">
        <v>192</v>
      </c>
      <c r="C16" s="41" t="s">
        <v>573</v>
      </c>
      <c r="D16" s="41" t="s">
        <v>582</v>
      </c>
      <c r="E16" s="41">
        <v>1</v>
      </c>
      <c r="F16" s="41" t="s">
        <v>88</v>
      </c>
      <c r="G16" s="41">
        <v>3937500</v>
      </c>
      <c r="H16" s="42">
        <v>0</v>
      </c>
      <c r="I16" s="41">
        <f>G16*(1-H16)</f>
        <v>3937500</v>
      </c>
      <c r="J16" s="380" t="s">
        <v>595</v>
      </c>
      <c r="K16" s="43">
        <f t="shared" ref="K16:K22" si="3">1/3</f>
        <v>0.33333333333333331</v>
      </c>
      <c r="L16" s="41">
        <f>I16*K16</f>
        <v>1312500</v>
      </c>
      <c r="M16" s="38">
        <v>0</v>
      </c>
      <c r="N16" s="11">
        <v>0</v>
      </c>
      <c r="O16" s="31">
        <v>7</v>
      </c>
      <c r="P16" s="386">
        <f t="shared" ref="P16:P34" si="4">IF(O16="","",(L16-N16)/O16)</f>
        <v>187500</v>
      </c>
    </row>
    <row r="17" spans="2:16" x14ac:dyDescent="0.15">
      <c r="B17" s="1002"/>
      <c r="C17" s="41" t="s">
        <v>251</v>
      </c>
      <c r="D17" s="41" t="s">
        <v>574</v>
      </c>
      <c r="E17" s="41">
        <v>2</v>
      </c>
      <c r="F17" s="41" t="s">
        <v>53</v>
      </c>
      <c r="G17" s="41">
        <f>920000*2</f>
        <v>1840000</v>
      </c>
      <c r="H17" s="42">
        <v>0</v>
      </c>
      <c r="I17" s="41">
        <f>G17*(1-H17)</f>
        <v>1840000</v>
      </c>
      <c r="J17" s="44" t="s">
        <v>595</v>
      </c>
      <c r="K17" s="43">
        <f t="shared" si="3"/>
        <v>0.33333333333333331</v>
      </c>
      <c r="L17" s="41">
        <f t="shared" ref="L17:L22" si="5">I17*K17</f>
        <v>613333.33333333326</v>
      </c>
      <c r="M17" s="38">
        <v>0</v>
      </c>
      <c r="N17" s="11">
        <v>0</v>
      </c>
      <c r="O17" s="31">
        <v>4</v>
      </c>
      <c r="P17" s="386">
        <f t="shared" si="4"/>
        <v>153333.33333333331</v>
      </c>
    </row>
    <row r="18" spans="2:16" x14ac:dyDescent="0.15">
      <c r="B18" s="1002"/>
      <c r="C18" s="41" t="s">
        <v>420</v>
      </c>
      <c r="D18" s="41" t="s">
        <v>421</v>
      </c>
      <c r="E18" s="41">
        <v>1</v>
      </c>
      <c r="F18" s="41" t="s">
        <v>88</v>
      </c>
      <c r="G18" s="41">
        <v>163170</v>
      </c>
      <c r="H18" s="42">
        <v>0</v>
      </c>
      <c r="I18" s="41">
        <f t="shared" ref="I18:I36" si="6">G18*(1-H18)</f>
        <v>163170</v>
      </c>
      <c r="J18" s="41" t="s">
        <v>595</v>
      </c>
      <c r="K18" s="43">
        <f t="shared" si="3"/>
        <v>0.33333333333333331</v>
      </c>
      <c r="L18" s="41">
        <f t="shared" si="5"/>
        <v>54390</v>
      </c>
      <c r="M18" s="38">
        <v>0</v>
      </c>
      <c r="N18" s="11">
        <v>0</v>
      </c>
      <c r="O18" s="11">
        <v>7</v>
      </c>
      <c r="P18" s="386">
        <f t="shared" si="4"/>
        <v>7770</v>
      </c>
    </row>
    <row r="19" spans="2:16" x14ac:dyDescent="0.15">
      <c r="B19" s="1002"/>
      <c r="C19" s="41" t="s">
        <v>422</v>
      </c>
      <c r="D19" s="41" t="s">
        <v>575</v>
      </c>
      <c r="E19" s="41">
        <v>1</v>
      </c>
      <c r="F19" s="41" t="s">
        <v>88</v>
      </c>
      <c r="G19" s="41">
        <v>843000</v>
      </c>
      <c r="H19" s="42">
        <v>0</v>
      </c>
      <c r="I19" s="41">
        <f t="shared" si="6"/>
        <v>843000</v>
      </c>
      <c r="J19" s="41" t="s">
        <v>595</v>
      </c>
      <c r="K19" s="43">
        <f t="shared" si="3"/>
        <v>0.33333333333333331</v>
      </c>
      <c r="L19" s="41">
        <f t="shared" si="5"/>
        <v>281000</v>
      </c>
      <c r="M19" s="38">
        <v>0</v>
      </c>
      <c r="N19" s="11">
        <v>0</v>
      </c>
      <c r="O19" s="11">
        <v>7</v>
      </c>
      <c r="P19" s="386">
        <f t="shared" si="4"/>
        <v>40142.857142857145</v>
      </c>
    </row>
    <row r="20" spans="2:16" x14ac:dyDescent="0.15">
      <c r="B20" s="1002"/>
      <c r="C20" s="41" t="s">
        <v>576</v>
      </c>
      <c r="D20" s="41" t="s">
        <v>577</v>
      </c>
      <c r="E20" s="41">
        <v>1</v>
      </c>
      <c r="F20" s="41" t="s">
        <v>88</v>
      </c>
      <c r="G20" s="41">
        <v>1802000</v>
      </c>
      <c r="H20" s="42">
        <v>0</v>
      </c>
      <c r="I20" s="41">
        <f t="shared" si="6"/>
        <v>1802000</v>
      </c>
      <c r="J20" s="41" t="s">
        <v>595</v>
      </c>
      <c r="K20" s="43">
        <f t="shared" si="3"/>
        <v>0.33333333333333331</v>
      </c>
      <c r="L20" s="41">
        <f t="shared" si="5"/>
        <v>600666.66666666663</v>
      </c>
      <c r="M20" s="38">
        <v>0</v>
      </c>
      <c r="N20" s="11">
        <v>0</v>
      </c>
      <c r="O20" s="11">
        <v>7</v>
      </c>
      <c r="P20" s="386">
        <f t="shared" si="4"/>
        <v>85809.523809523802</v>
      </c>
    </row>
    <row r="21" spans="2:16" x14ac:dyDescent="0.15">
      <c r="B21" s="1002"/>
      <c r="C21" s="41" t="s">
        <v>584</v>
      </c>
      <c r="D21" s="41" t="s">
        <v>578</v>
      </c>
      <c r="E21" s="41">
        <v>6</v>
      </c>
      <c r="F21" s="41" t="s">
        <v>579</v>
      </c>
      <c r="G21" s="41">
        <v>7446000</v>
      </c>
      <c r="H21" s="42">
        <v>0</v>
      </c>
      <c r="I21" s="41">
        <f t="shared" si="6"/>
        <v>7446000</v>
      </c>
      <c r="J21" s="44" t="s">
        <v>597</v>
      </c>
      <c r="K21" s="43">
        <f>1/1</f>
        <v>1</v>
      </c>
      <c r="L21" s="41">
        <f t="shared" si="5"/>
        <v>7446000</v>
      </c>
      <c r="M21" s="38">
        <v>0</v>
      </c>
      <c r="N21" s="11">
        <v>0</v>
      </c>
      <c r="O21" s="11">
        <v>7</v>
      </c>
      <c r="P21" s="386">
        <f t="shared" si="4"/>
        <v>1063714.2857142857</v>
      </c>
    </row>
    <row r="22" spans="2:16" x14ac:dyDescent="0.15">
      <c r="B22" s="1002"/>
      <c r="C22" s="41" t="s">
        <v>624</v>
      </c>
      <c r="D22" s="41" t="s">
        <v>625</v>
      </c>
      <c r="E22" s="41">
        <v>1</v>
      </c>
      <c r="F22" s="41" t="s">
        <v>626</v>
      </c>
      <c r="G22" s="41">
        <v>248000</v>
      </c>
      <c r="H22" s="42">
        <v>0</v>
      </c>
      <c r="I22" s="41">
        <f t="shared" si="6"/>
        <v>248000</v>
      </c>
      <c r="J22" s="41" t="s">
        <v>595</v>
      </c>
      <c r="K22" s="43">
        <f t="shared" si="3"/>
        <v>0.33333333333333331</v>
      </c>
      <c r="L22" s="41">
        <f t="shared" si="5"/>
        <v>82666.666666666657</v>
      </c>
      <c r="M22" s="38">
        <v>0</v>
      </c>
      <c r="N22" s="11">
        <v>0</v>
      </c>
      <c r="O22" s="11">
        <v>7</v>
      </c>
      <c r="P22" s="386">
        <f t="shared" si="4"/>
        <v>11809.523809523807</v>
      </c>
    </row>
    <row r="23" spans="2:16" x14ac:dyDescent="0.15">
      <c r="B23" s="1002"/>
      <c r="C23" s="41"/>
      <c r="D23" s="41"/>
      <c r="E23" s="41"/>
      <c r="F23" s="41"/>
      <c r="G23" s="41"/>
      <c r="H23" s="42"/>
      <c r="I23" s="41"/>
      <c r="J23" s="41"/>
      <c r="K23" s="43"/>
      <c r="L23" s="41"/>
      <c r="M23" s="26"/>
      <c r="N23" s="11"/>
      <c r="O23" s="11"/>
      <c r="P23" s="386" t="str">
        <f t="shared" si="4"/>
        <v/>
      </c>
    </row>
    <row r="24" spans="2:16" x14ac:dyDescent="0.15">
      <c r="B24" s="1002"/>
      <c r="C24" s="41"/>
      <c r="D24" s="41"/>
      <c r="E24" s="41"/>
      <c r="F24" s="41"/>
      <c r="G24" s="41"/>
      <c r="H24" s="42"/>
      <c r="I24" s="41"/>
      <c r="J24" s="41"/>
      <c r="K24" s="43"/>
      <c r="L24" s="41"/>
      <c r="M24" s="26"/>
      <c r="N24" s="11"/>
      <c r="O24" s="11"/>
      <c r="P24" s="386" t="str">
        <f t="shared" si="4"/>
        <v/>
      </c>
    </row>
    <row r="25" spans="2:16" x14ac:dyDescent="0.15">
      <c r="B25" s="1002"/>
      <c r="C25" s="41"/>
      <c r="D25" s="41"/>
      <c r="E25" s="41"/>
      <c r="F25" s="41"/>
      <c r="G25" s="41"/>
      <c r="H25" s="42"/>
      <c r="I25" s="41"/>
      <c r="J25" s="41"/>
      <c r="K25" s="43"/>
      <c r="L25" s="41"/>
      <c r="M25" s="26"/>
      <c r="N25" s="11"/>
      <c r="O25" s="11"/>
      <c r="P25" s="386" t="str">
        <f t="shared" si="4"/>
        <v/>
      </c>
    </row>
    <row r="26" spans="2:16" x14ac:dyDescent="0.15">
      <c r="B26" s="1002"/>
      <c r="C26" s="41"/>
      <c r="D26" s="41"/>
      <c r="E26" s="41"/>
      <c r="F26" s="41"/>
      <c r="G26" s="41"/>
      <c r="H26" s="42"/>
      <c r="I26" s="41"/>
      <c r="J26" s="44"/>
      <c r="K26" s="43"/>
      <c r="L26" s="41"/>
      <c r="M26" s="26"/>
      <c r="N26" s="11"/>
      <c r="O26" s="11"/>
      <c r="P26" s="386" t="str">
        <f t="shared" si="4"/>
        <v/>
      </c>
    </row>
    <row r="27" spans="2:16" x14ac:dyDescent="0.15">
      <c r="B27" s="1002"/>
      <c r="C27" s="41"/>
      <c r="D27" s="41"/>
      <c r="E27" s="47"/>
      <c r="F27" s="41"/>
      <c r="G27" s="41"/>
      <c r="H27" s="42"/>
      <c r="I27" s="41"/>
      <c r="J27" s="41"/>
      <c r="K27" s="43"/>
      <c r="L27" s="41"/>
      <c r="M27" s="26"/>
      <c r="N27" s="11"/>
      <c r="O27" s="11"/>
      <c r="P27" s="386" t="str">
        <f t="shared" si="4"/>
        <v/>
      </c>
    </row>
    <row r="28" spans="2:16" x14ac:dyDescent="0.15">
      <c r="B28" s="1002"/>
      <c r="C28" s="41"/>
      <c r="D28" s="41"/>
      <c r="E28" s="47"/>
      <c r="F28" s="41"/>
      <c r="G28" s="41"/>
      <c r="H28" s="42"/>
      <c r="I28" s="41"/>
      <c r="J28" s="41"/>
      <c r="K28" s="43"/>
      <c r="L28" s="41"/>
      <c r="M28" s="26"/>
      <c r="N28" s="11"/>
      <c r="O28" s="11"/>
      <c r="P28" s="386" t="str">
        <f t="shared" si="4"/>
        <v/>
      </c>
    </row>
    <row r="29" spans="2:16" x14ac:dyDescent="0.15">
      <c r="B29" s="1002"/>
      <c r="C29" s="41"/>
      <c r="D29" s="41"/>
      <c r="E29" s="41"/>
      <c r="F29" s="41"/>
      <c r="G29" s="41"/>
      <c r="H29" s="42"/>
      <c r="I29" s="41"/>
      <c r="J29" s="44"/>
      <c r="K29" s="43"/>
      <c r="L29" s="41"/>
      <c r="M29" s="26"/>
      <c r="N29" s="11"/>
      <c r="O29" s="11"/>
      <c r="P29" s="386" t="str">
        <f t="shared" si="4"/>
        <v/>
      </c>
    </row>
    <row r="30" spans="2:16" x14ac:dyDescent="0.15">
      <c r="B30" s="1002"/>
      <c r="C30" s="41"/>
      <c r="D30" s="41"/>
      <c r="E30" s="41"/>
      <c r="F30" s="41"/>
      <c r="G30" s="41"/>
      <c r="H30" s="42"/>
      <c r="I30" s="41"/>
      <c r="J30" s="44"/>
      <c r="K30" s="43"/>
      <c r="L30" s="41"/>
      <c r="M30" s="26"/>
      <c r="N30" s="11"/>
      <c r="O30" s="11"/>
      <c r="P30" s="386" t="str">
        <f t="shared" si="4"/>
        <v/>
      </c>
    </row>
    <row r="31" spans="2:16" x14ac:dyDescent="0.15">
      <c r="B31" s="1002"/>
      <c r="C31" s="41"/>
      <c r="D31" s="41"/>
      <c r="E31" s="41"/>
      <c r="F31" s="41"/>
      <c r="G31" s="41"/>
      <c r="H31" s="42"/>
      <c r="I31" s="41"/>
      <c r="J31" s="41"/>
      <c r="K31" s="43"/>
      <c r="L31" s="41"/>
      <c r="M31" s="26"/>
      <c r="N31" s="11"/>
      <c r="O31" s="11"/>
      <c r="P31" s="386" t="str">
        <f t="shared" si="4"/>
        <v/>
      </c>
    </row>
    <row r="32" spans="2:16" x14ac:dyDescent="0.15">
      <c r="B32" s="1002"/>
      <c r="C32" s="41"/>
      <c r="D32" s="41"/>
      <c r="E32" s="41"/>
      <c r="F32" s="41"/>
      <c r="G32" s="41"/>
      <c r="H32" s="42"/>
      <c r="I32" s="41"/>
      <c r="J32" s="41"/>
      <c r="K32" s="43"/>
      <c r="L32" s="41"/>
      <c r="M32" s="26"/>
      <c r="N32" s="11"/>
      <c r="O32" s="11"/>
      <c r="P32" s="386" t="str">
        <f t="shared" si="4"/>
        <v/>
      </c>
    </row>
    <row r="33" spans="2:16" x14ac:dyDescent="0.15">
      <c r="B33" s="1002"/>
      <c r="C33" s="41"/>
      <c r="D33" s="41"/>
      <c r="E33" s="41"/>
      <c r="F33" s="41"/>
      <c r="G33" s="41"/>
      <c r="H33" s="42"/>
      <c r="I33" s="41"/>
      <c r="J33" s="41"/>
      <c r="K33" s="43"/>
      <c r="L33" s="41"/>
      <c r="M33" s="26"/>
      <c r="N33" s="11"/>
      <c r="O33" s="11"/>
      <c r="P33" s="386" t="str">
        <f t="shared" si="4"/>
        <v/>
      </c>
    </row>
    <row r="34" spans="2:16" x14ac:dyDescent="0.15">
      <c r="B34" s="1002"/>
      <c r="C34" s="41"/>
      <c r="D34" s="41"/>
      <c r="E34" s="41"/>
      <c r="F34" s="41"/>
      <c r="G34" s="41"/>
      <c r="H34" s="42"/>
      <c r="I34" s="41"/>
      <c r="J34" s="41"/>
      <c r="K34" s="43"/>
      <c r="L34" s="41"/>
      <c r="M34" s="26"/>
      <c r="N34" s="11"/>
      <c r="O34" s="11"/>
      <c r="P34" s="386" t="str">
        <f t="shared" si="4"/>
        <v/>
      </c>
    </row>
    <row r="35" spans="2:16" x14ac:dyDescent="0.15">
      <c r="B35" s="1003"/>
      <c r="C35" s="48" t="s">
        <v>45</v>
      </c>
      <c r="D35" s="48"/>
      <c r="E35" s="48"/>
      <c r="F35" s="49"/>
      <c r="G35" s="48">
        <f>SUM(G16:G34)</f>
        <v>16279670</v>
      </c>
      <c r="H35" s="48"/>
      <c r="I35" s="48">
        <f>SUM(I16:I34)</f>
        <v>16279670</v>
      </c>
      <c r="J35" s="48"/>
      <c r="K35" s="50"/>
      <c r="L35" s="48">
        <f>SUM(L16:L34)</f>
        <v>10390556.666666666</v>
      </c>
      <c r="M35" s="28"/>
      <c r="N35" s="28"/>
      <c r="O35" s="28"/>
      <c r="P35" s="387">
        <f>SUM(P16:P34)</f>
        <v>1550079.5238095238</v>
      </c>
    </row>
    <row r="36" spans="2:16" x14ac:dyDescent="0.15">
      <c r="B36" s="996" t="s">
        <v>126</v>
      </c>
      <c r="C36" s="380" t="s">
        <v>591</v>
      </c>
      <c r="D36" s="380" t="s">
        <v>586</v>
      </c>
      <c r="E36" s="572">
        <v>1</v>
      </c>
      <c r="F36" s="44" t="s">
        <v>587</v>
      </c>
      <c r="G36" s="41">
        <f>+D50*10</f>
        <v>3481190</v>
      </c>
      <c r="H36" s="51"/>
      <c r="I36" s="41">
        <f t="shared" si="6"/>
        <v>3481190</v>
      </c>
      <c r="J36" s="44" t="s">
        <v>610</v>
      </c>
      <c r="K36" s="43">
        <v>1</v>
      </c>
      <c r="L36" s="41">
        <f>I36*K36</f>
        <v>3481190</v>
      </c>
      <c r="M36" s="39">
        <v>0.05</v>
      </c>
      <c r="N36" s="11">
        <f>L36*M36</f>
        <v>174059.5</v>
      </c>
      <c r="O36" s="11">
        <v>15</v>
      </c>
      <c r="P36" s="386">
        <f>IF(O36="","",(L36-N36)/O36)</f>
        <v>220475.36666666667</v>
      </c>
    </row>
    <row r="37" spans="2:16" x14ac:dyDescent="0.15">
      <c r="B37" s="1002"/>
      <c r="C37" s="41"/>
      <c r="D37" s="41"/>
      <c r="E37" s="41"/>
      <c r="F37" s="44"/>
      <c r="G37" s="41"/>
      <c r="H37" s="51"/>
      <c r="I37" s="41"/>
      <c r="J37" s="41"/>
      <c r="K37" s="43"/>
      <c r="L37" s="41"/>
      <c r="M37" s="39"/>
      <c r="N37" s="11"/>
      <c r="O37" s="11"/>
      <c r="P37" s="386" t="str">
        <f>IF(O37="","",(L37-N37)/O37)</f>
        <v/>
      </c>
    </row>
    <row r="38" spans="2:16" x14ac:dyDescent="0.15">
      <c r="B38" s="1002"/>
      <c r="C38" s="11"/>
      <c r="D38" s="11"/>
      <c r="E38" s="11"/>
      <c r="F38" s="25"/>
      <c r="G38" s="11"/>
      <c r="H38" s="39"/>
      <c r="I38" s="11"/>
      <c r="J38" s="11"/>
      <c r="K38" s="40"/>
      <c r="L38" s="11"/>
      <c r="M38" s="39"/>
      <c r="N38" s="11"/>
      <c r="O38" s="11"/>
      <c r="P38" s="386" t="str">
        <f>IF(O38="","",(L38-N38)/O38)</f>
        <v/>
      </c>
    </row>
    <row r="39" spans="2:16" x14ac:dyDescent="0.15">
      <c r="B39" s="1002"/>
      <c r="C39" s="11"/>
      <c r="D39" s="11"/>
      <c r="E39" s="11"/>
      <c r="F39" s="25"/>
      <c r="G39" s="11"/>
      <c r="H39" s="39"/>
      <c r="I39" s="11"/>
      <c r="J39" s="11"/>
      <c r="K39" s="40"/>
      <c r="L39" s="11"/>
      <c r="M39" s="39"/>
      <c r="N39" s="11"/>
      <c r="O39" s="11"/>
      <c r="P39" s="386" t="str">
        <f>IF(O39="","",(L39-N39)/O39)</f>
        <v/>
      </c>
    </row>
    <row r="40" spans="2:16" x14ac:dyDescent="0.15">
      <c r="B40" s="1003"/>
      <c r="C40" s="32" t="s">
        <v>45</v>
      </c>
      <c r="D40" s="28"/>
      <c r="E40" s="28"/>
      <c r="F40" s="29"/>
      <c r="G40" s="28">
        <f>SUM(G36:G39)</f>
        <v>3481190</v>
      </c>
      <c r="H40" s="28"/>
      <c r="I40" s="28">
        <f>SUM(I36:I39)</f>
        <v>3481190</v>
      </c>
      <c r="J40" s="28"/>
      <c r="K40" s="30"/>
      <c r="L40" s="28">
        <f>SUM(L36:L39)</f>
        <v>3481190</v>
      </c>
      <c r="M40" s="28"/>
      <c r="N40" s="28"/>
      <c r="O40" s="28"/>
      <c r="P40" s="387">
        <f>SUM(P36:P39)</f>
        <v>220475.36666666667</v>
      </c>
    </row>
    <row r="41" spans="2:16" ht="14.25" thickBot="1" x14ac:dyDescent="0.2">
      <c r="B41" s="33"/>
      <c r="C41" s="34" t="s">
        <v>87</v>
      </c>
      <c r="D41" s="35"/>
      <c r="E41" s="35"/>
      <c r="F41" s="36"/>
      <c r="G41" s="35">
        <f>G15+G35+G40</f>
        <v>194124860</v>
      </c>
      <c r="H41" s="35"/>
      <c r="I41" s="35">
        <f>I15+I35+I40</f>
        <v>144124860</v>
      </c>
      <c r="J41" s="35"/>
      <c r="K41" s="37"/>
      <c r="L41" s="35">
        <f>L15+L35+L40</f>
        <v>89415746.666666672</v>
      </c>
      <c r="M41" s="35"/>
      <c r="N41" s="35"/>
      <c r="O41" s="35"/>
      <c r="P41" s="388">
        <f>P15+P35+P40</f>
        <v>8926339.4526881725</v>
      </c>
    </row>
    <row r="42" spans="2:16" ht="11.25" customHeight="1" x14ac:dyDescent="0.15"/>
    <row r="46" spans="2:16" x14ac:dyDescent="0.15">
      <c r="C46" s="718" t="s">
        <v>553</v>
      </c>
      <c r="D46" s="718"/>
      <c r="E46" s="718"/>
      <c r="F46" s="718"/>
      <c r="G46" s="718"/>
      <c r="H46" s="718"/>
      <c r="I46" s="718"/>
      <c r="J46" s="718"/>
      <c r="K46" s="724"/>
      <c r="L46" s="718"/>
      <c r="M46" s="718"/>
      <c r="N46" s="718"/>
    </row>
    <row r="47" spans="2:16" x14ac:dyDescent="0.15">
      <c r="C47" s="718" t="s">
        <v>428</v>
      </c>
      <c r="D47" s="718">
        <v>260400</v>
      </c>
      <c r="E47" s="718"/>
      <c r="F47" s="718"/>
      <c r="G47" s="718"/>
      <c r="H47" s="718"/>
      <c r="I47" s="718"/>
      <c r="J47" s="718"/>
      <c r="K47" s="724"/>
      <c r="L47" s="718"/>
      <c r="M47" s="718"/>
      <c r="N47" s="718"/>
    </row>
    <row r="48" spans="2:16" x14ac:dyDescent="0.15">
      <c r="C48" s="718" t="s">
        <v>429</v>
      </c>
      <c r="D48" s="718">
        <v>83509</v>
      </c>
      <c r="E48" s="718" t="s">
        <v>430</v>
      </c>
      <c r="F48" s="718"/>
      <c r="G48" s="718"/>
      <c r="H48" s="718"/>
      <c r="I48" s="718"/>
      <c r="J48" s="718"/>
      <c r="K48" s="724"/>
      <c r="L48" s="718"/>
      <c r="M48" s="718"/>
      <c r="N48" s="718"/>
    </row>
    <row r="49" spans="3:14" x14ac:dyDescent="0.15">
      <c r="C49" s="718" t="s">
        <v>58</v>
      </c>
      <c r="D49" s="718">
        <v>4210</v>
      </c>
      <c r="E49" s="718" t="s">
        <v>431</v>
      </c>
      <c r="F49" s="718"/>
      <c r="G49" s="718"/>
      <c r="H49" s="718"/>
      <c r="I49" s="718"/>
      <c r="J49" s="718"/>
      <c r="K49" s="724"/>
      <c r="L49" s="718"/>
      <c r="M49" s="718"/>
      <c r="N49" s="718"/>
    </row>
    <row r="50" spans="3:14" x14ac:dyDescent="0.15">
      <c r="C50" s="718" t="s">
        <v>24</v>
      </c>
      <c r="D50" s="718">
        <f>SUM(D47:D49)</f>
        <v>348119</v>
      </c>
      <c r="E50" s="718"/>
      <c r="F50" s="718"/>
      <c r="G50" s="718"/>
      <c r="H50" s="718"/>
      <c r="I50" s="718"/>
      <c r="J50" s="718"/>
      <c r="K50" s="724"/>
      <c r="L50" s="718"/>
      <c r="M50" s="718"/>
      <c r="N50" s="718"/>
    </row>
  </sheetData>
  <mergeCells count="9">
    <mergeCell ref="B2:G2"/>
    <mergeCell ref="J3:J4"/>
    <mergeCell ref="B5:B15"/>
    <mergeCell ref="B16:B35"/>
    <mergeCell ref="B36:B40"/>
    <mergeCell ref="B3:B4"/>
    <mergeCell ref="C3:C4"/>
    <mergeCell ref="D3:D4"/>
    <mergeCell ref="E3:F3"/>
  </mergeCells>
  <phoneticPr fontId="5"/>
  <pageMargins left="0.78740157480314965" right="0.78740157480314965" top="0.78740157480314965" bottom="0.78740157480314965" header="0.39370078740157483" footer="0.39370078740157483"/>
  <pageSetup paperSize="9" scale="59" orientation="landscape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67"/>
  <sheetViews>
    <sheetView zoomScale="75" zoomScaleNormal="75" zoomScaleSheetLayoutView="80" workbookViewId="0"/>
  </sheetViews>
  <sheetFormatPr defaultRowHeight="13.5" x14ac:dyDescent="0.15"/>
  <cols>
    <col min="1" max="1" width="1.625" style="10" customWidth="1"/>
    <col min="2" max="2" width="5" style="10" customWidth="1"/>
    <col min="3" max="3" width="22.5" style="10" bestFit="1" customWidth="1"/>
    <col min="4" max="4" width="30" style="10" bestFit="1" customWidth="1"/>
    <col min="5" max="6" width="6" style="10" bestFit="1" customWidth="1"/>
    <col min="7" max="7" width="17.625" style="10" customWidth="1"/>
    <col min="8" max="8" width="10.625" style="10" customWidth="1"/>
    <col min="9" max="9" width="17.625" style="10" customWidth="1"/>
    <col min="10" max="10" width="10.625" style="10" customWidth="1"/>
    <col min="11" max="11" width="15.125" style="12" bestFit="1" customWidth="1"/>
    <col min="12" max="12" width="17.625" style="10" customWidth="1"/>
    <col min="13" max="13" width="10.625" style="10" customWidth="1"/>
    <col min="14" max="14" width="17.625" style="10" customWidth="1"/>
    <col min="15" max="15" width="10.625" style="10" customWidth="1"/>
    <col min="16" max="16" width="19.75" style="10" bestFit="1" customWidth="1"/>
    <col min="17" max="17" width="9.875" style="10" bestFit="1" customWidth="1"/>
    <col min="18" max="16384" width="9" style="10"/>
  </cols>
  <sheetData>
    <row r="1" spans="2:17" s="5" customFormat="1" ht="9.9499999999999993" customHeight="1" x14ac:dyDescent="0.15">
      <c r="K1" s="6"/>
    </row>
    <row r="2" spans="2:17" s="5" customFormat="1" ht="24.95" customHeight="1" thickBot="1" x14ac:dyDescent="0.2">
      <c r="B2" s="1012" t="s">
        <v>753</v>
      </c>
      <c r="C2" s="1012"/>
      <c r="D2" s="1012"/>
      <c r="E2" s="1012"/>
      <c r="F2" s="1012"/>
      <c r="G2" s="1012"/>
      <c r="H2" s="163" t="s">
        <v>264</v>
      </c>
      <c r="I2" s="3" t="s">
        <v>494</v>
      </c>
      <c r="J2" s="162"/>
      <c r="K2" s="163" t="s">
        <v>265</v>
      </c>
      <c r="L2" s="3" t="s">
        <v>484</v>
      </c>
      <c r="M2" s="9"/>
      <c r="P2" s="524"/>
    </row>
    <row r="3" spans="2:17" s="5" customFormat="1" x14ac:dyDescent="0.15">
      <c r="B3" s="1006" t="s">
        <v>74</v>
      </c>
      <c r="C3" s="1000" t="s">
        <v>37</v>
      </c>
      <c r="D3" s="1008" t="s">
        <v>116</v>
      </c>
      <c r="E3" s="1010" t="s">
        <v>38</v>
      </c>
      <c r="F3" s="1011"/>
      <c r="G3" s="525" t="s">
        <v>39</v>
      </c>
      <c r="H3" s="19" t="s">
        <v>119</v>
      </c>
      <c r="I3" s="19" t="s">
        <v>118</v>
      </c>
      <c r="J3" s="1000" t="s">
        <v>84</v>
      </c>
      <c r="K3" s="21" t="s">
        <v>85</v>
      </c>
      <c r="L3" s="525" t="s">
        <v>40</v>
      </c>
      <c r="M3" s="19" t="s">
        <v>123</v>
      </c>
      <c r="N3" s="525" t="s">
        <v>41</v>
      </c>
      <c r="O3" s="525" t="s">
        <v>42</v>
      </c>
      <c r="P3" s="384" t="s">
        <v>43</v>
      </c>
    </row>
    <row r="4" spans="2:17" x14ac:dyDescent="0.15">
      <c r="B4" s="1007"/>
      <c r="C4" s="1001"/>
      <c r="D4" s="1009"/>
      <c r="E4" s="22" t="s">
        <v>86</v>
      </c>
      <c r="F4" s="22" t="s">
        <v>9</v>
      </c>
      <c r="G4" s="23" t="s">
        <v>121</v>
      </c>
      <c r="H4" s="23" t="s">
        <v>120</v>
      </c>
      <c r="I4" s="23" t="s">
        <v>127</v>
      </c>
      <c r="J4" s="1001"/>
      <c r="K4" s="24" t="s">
        <v>122</v>
      </c>
      <c r="L4" s="23" t="s">
        <v>128</v>
      </c>
      <c r="M4" s="23" t="s">
        <v>124</v>
      </c>
      <c r="N4" s="23" t="s">
        <v>129</v>
      </c>
      <c r="O4" s="23" t="s">
        <v>125</v>
      </c>
      <c r="P4" s="385" t="s">
        <v>130</v>
      </c>
    </row>
    <row r="5" spans="2:17" x14ac:dyDescent="0.15">
      <c r="B5" s="996" t="s">
        <v>191</v>
      </c>
      <c r="C5" s="569" t="s">
        <v>369</v>
      </c>
      <c r="D5" s="380" t="s">
        <v>370</v>
      </c>
      <c r="E5" s="41">
        <v>3</v>
      </c>
      <c r="F5" s="380" t="s">
        <v>374</v>
      </c>
      <c r="G5" s="41">
        <f>Q5*E5*10</f>
        <v>48000000</v>
      </c>
      <c r="H5" s="42">
        <v>0</v>
      </c>
      <c r="I5" s="41">
        <f>G5*(1-H5)</f>
        <v>48000000</v>
      </c>
      <c r="J5" s="380" t="s">
        <v>596</v>
      </c>
      <c r="K5" s="43">
        <f>1/3</f>
        <v>0.33333333333333331</v>
      </c>
      <c r="L5" s="11">
        <f>I5*K5</f>
        <v>16000000</v>
      </c>
      <c r="M5" s="26">
        <v>0</v>
      </c>
      <c r="N5" s="11">
        <v>0</v>
      </c>
      <c r="O5" s="11">
        <v>17</v>
      </c>
      <c r="P5" s="386">
        <f>IF(O5="","",(L5-N5)/O5)</f>
        <v>941176.4705882353</v>
      </c>
      <c r="Q5" s="718">
        <v>1600000</v>
      </c>
    </row>
    <row r="6" spans="2:17" x14ac:dyDescent="0.15">
      <c r="B6" s="1002"/>
      <c r="C6" s="570" t="s">
        <v>561</v>
      </c>
      <c r="D6" s="380" t="s">
        <v>409</v>
      </c>
      <c r="E6" s="41">
        <v>150</v>
      </c>
      <c r="F6" s="41" t="s">
        <v>563</v>
      </c>
      <c r="G6" s="41">
        <v>6480000</v>
      </c>
      <c r="H6" s="42">
        <v>0</v>
      </c>
      <c r="I6" s="41">
        <f>G6*(1-H6)</f>
        <v>6480000</v>
      </c>
      <c r="J6" s="44" t="s">
        <v>595</v>
      </c>
      <c r="K6" s="43">
        <f>1/3</f>
        <v>0.33333333333333331</v>
      </c>
      <c r="L6" s="11">
        <f>I6*K6</f>
        <v>2160000</v>
      </c>
      <c r="M6" s="26">
        <v>0</v>
      </c>
      <c r="N6" s="11">
        <v>0</v>
      </c>
      <c r="O6" s="11">
        <v>31</v>
      </c>
      <c r="P6" s="386">
        <f>IF(O6="","",(L6-N6)/O6)</f>
        <v>69677.419354838712</v>
      </c>
      <c r="Q6" s="718"/>
    </row>
    <row r="7" spans="2:17" x14ac:dyDescent="0.15">
      <c r="B7" s="1002"/>
      <c r="C7" s="569" t="s">
        <v>592</v>
      </c>
      <c r="D7" s="41"/>
      <c r="E7" s="41">
        <v>2</v>
      </c>
      <c r="F7" s="380" t="s">
        <v>374</v>
      </c>
      <c r="G7" s="41">
        <f>Q7*E7*10</f>
        <v>8000000</v>
      </c>
      <c r="H7" s="42">
        <v>0</v>
      </c>
      <c r="I7" s="41">
        <f>G7*(1-H7)</f>
        <v>8000000</v>
      </c>
      <c r="J7" s="44" t="s">
        <v>599</v>
      </c>
      <c r="K7" s="43">
        <f>1/2</f>
        <v>0.5</v>
      </c>
      <c r="L7" s="11">
        <f t="shared" ref="L7:L8" si="0">I7*K7</f>
        <v>4000000</v>
      </c>
      <c r="M7" s="26">
        <v>0</v>
      </c>
      <c r="N7" s="11">
        <v>0</v>
      </c>
      <c r="O7" s="11">
        <v>10</v>
      </c>
      <c r="P7" s="386">
        <f t="shared" ref="P7:P14" si="1">IF(O7="","",(L7-N7)/O7)</f>
        <v>400000</v>
      </c>
      <c r="Q7" s="718">
        <v>400000</v>
      </c>
    </row>
    <row r="8" spans="2:17" x14ac:dyDescent="0.15">
      <c r="B8" s="1002"/>
      <c r="C8" s="569" t="s">
        <v>373</v>
      </c>
      <c r="D8" s="41"/>
      <c r="E8" s="45">
        <v>3</v>
      </c>
      <c r="F8" s="46" t="s">
        <v>374</v>
      </c>
      <c r="G8" s="41">
        <f>Q8*E8*10</f>
        <v>18750000</v>
      </c>
      <c r="H8" s="42">
        <v>0</v>
      </c>
      <c r="I8" s="41">
        <f t="shared" ref="I8" si="2">G8*(1-H8)</f>
        <v>18750000</v>
      </c>
      <c r="J8" s="44" t="s">
        <v>595</v>
      </c>
      <c r="K8" s="43">
        <f>1/3</f>
        <v>0.33333333333333331</v>
      </c>
      <c r="L8" s="11">
        <f t="shared" si="0"/>
        <v>6250000</v>
      </c>
      <c r="M8" s="26">
        <v>0</v>
      </c>
      <c r="N8" s="11">
        <v>0</v>
      </c>
      <c r="O8" s="11">
        <v>8</v>
      </c>
      <c r="P8" s="386">
        <f t="shared" si="1"/>
        <v>781250</v>
      </c>
      <c r="Q8" s="718">
        <v>625000</v>
      </c>
    </row>
    <row r="9" spans="2:17" x14ac:dyDescent="0.15">
      <c r="B9" s="1002"/>
      <c r="C9" s="569"/>
      <c r="D9" s="41"/>
      <c r="E9" s="45"/>
      <c r="F9" s="487"/>
      <c r="G9" s="41"/>
      <c r="H9" s="42"/>
      <c r="I9" s="41"/>
      <c r="J9" s="44"/>
      <c r="K9" s="43"/>
      <c r="L9" s="11"/>
      <c r="M9" s="26"/>
      <c r="N9" s="11"/>
      <c r="O9" s="11"/>
      <c r="P9" s="386" t="str">
        <f t="shared" si="1"/>
        <v/>
      </c>
    </row>
    <row r="10" spans="2:17" x14ac:dyDescent="0.15">
      <c r="B10" s="1002"/>
      <c r="C10" s="41"/>
      <c r="D10" s="41"/>
      <c r="E10" s="41"/>
      <c r="F10" s="44"/>
      <c r="G10" s="41"/>
      <c r="H10" s="42"/>
      <c r="I10" s="41"/>
      <c r="J10" s="41"/>
      <c r="K10" s="43"/>
      <c r="L10" s="11"/>
      <c r="M10" s="26"/>
      <c r="N10" s="11"/>
      <c r="O10" s="11"/>
      <c r="P10" s="386" t="str">
        <f t="shared" si="1"/>
        <v/>
      </c>
    </row>
    <row r="11" spans="2:17" x14ac:dyDescent="0.15">
      <c r="B11" s="1002"/>
      <c r="C11" s="41"/>
      <c r="D11" s="41"/>
      <c r="E11" s="41"/>
      <c r="F11" s="41"/>
      <c r="G11" s="41"/>
      <c r="H11" s="42"/>
      <c r="I11" s="41"/>
      <c r="J11" s="41"/>
      <c r="K11" s="43"/>
      <c r="L11" s="11"/>
      <c r="M11" s="26"/>
      <c r="N11" s="11"/>
      <c r="O11" s="11"/>
      <c r="P11" s="386" t="str">
        <f t="shared" si="1"/>
        <v/>
      </c>
    </row>
    <row r="12" spans="2:17" x14ac:dyDescent="0.15">
      <c r="B12" s="1002"/>
      <c r="C12" s="41"/>
      <c r="D12" s="41"/>
      <c r="E12" s="41"/>
      <c r="F12" s="44"/>
      <c r="G12" s="41"/>
      <c r="H12" s="42"/>
      <c r="I12" s="41"/>
      <c r="J12" s="44"/>
      <c r="K12" s="43"/>
      <c r="L12" s="11"/>
      <c r="M12" s="26"/>
      <c r="N12" s="11"/>
      <c r="O12" s="11"/>
      <c r="P12" s="386" t="str">
        <f t="shared" si="1"/>
        <v/>
      </c>
    </row>
    <row r="13" spans="2:17" x14ac:dyDescent="0.15">
      <c r="B13" s="1002"/>
      <c r="C13" s="11"/>
      <c r="D13" s="11"/>
      <c r="E13" s="11"/>
      <c r="F13" s="11"/>
      <c r="G13" s="11"/>
      <c r="H13" s="26"/>
      <c r="I13" s="11"/>
      <c r="J13" s="11"/>
      <c r="K13" s="40"/>
      <c r="L13" s="11"/>
      <c r="M13" s="26"/>
      <c r="N13" s="11"/>
      <c r="O13" s="11"/>
      <c r="P13" s="386" t="str">
        <f t="shared" si="1"/>
        <v/>
      </c>
    </row>
    <row r="14" spans="2:17" x14ac:dyDescent="0.15">
      <c r="B14" s="1002"/>
      <c r="C14" s="11"/>
      <c r="D14" s="11"/>
      <c r="E14" s="11"/>
      <c r="F14" s="11"/>
      <c r="G14" s="11"/>
      <c r="H14" s="26"/>
      <c r="I14" s="11"/>
      <c r="J14" s="11"/>
      <c r="K14" s="40"/>
      <c r="L14" s="11"/>
      <c r="M14" s="26"/>
      <c r="N14" s="11"/>
      <c r="O14" s="11"/>
      <c r="P14" s="386" t="str">
        <f t="shared" si="1"/>
        <v/>
      </c>
    </row>
    <row r="15" spans="2:17" x14ac:dyDescent="0.15">
      <c r="B15" s="1003"/>
      <c r="C15" s="27" t="s">
        <v>44</v>
      </c>
      <c r="D15" s="28"/>
      <c r="E15" s="28"/>
      <c r="F15" s="29"/>
      <c r="G15" s="28">
        <f>SUM(G5:G14)</f>
        <v>81230000</v>
      </c>
      <c r="H15" s="28"/>
      <c r="I15" s="28">
        <f>SUM(I5:I14)</f>
        <v>81230000</v>
      </c>
      <c r="J15" s="28"/>
      <c r="K15" s="30"/>
      <c r="L15" s="28">
        <f>SUM(L5:L14)</f>
        <v>28410000</v>
      </c>
      <c r="M15" s="28"/>
      <c r="N15" s="28"/>
      <c r="O15" s="28"/>
      <c r="P15" s="387">
        <f>SUM(P5:P14)</f>
        <v>2192103.889943074</v>
      </c>
    </row>
    <row r="16" spans="2:17" x14ac:dyDescent="0.15">
      <c r="B16" s="996" t="s">
        <v>192</v>
      </c>
      <c r="C16" s="569" t="s">
        <v>573</v>
      </c>
      <c r="D16" s="380" t="s">
        <v>582</v>
      </c>
      <c r="E16" s="41">
        <v>1</v>
      </c>
      <c r="F16" s="41" t="s">
        <v>88</v>
      </c>
      <c r="G16" s="41">
        <v>3937500</v>
      </c>
      <c r="H16" s="42">
        <v>0</v>
      </c>
      <c r="I16" s="41">
        <f>G16*(1-H16)</f>
        <v>3937500</v>
      </c>
      <c r="J16" s="380" t="s">
        <v>595</v>
      </c>
      <c r="K16" s="43">
        <f t="shared" ref="K16:K21" si="3">1/3</f>
        <v>0.33333333333333331</v>
      </c>
      <c r="L16" s="41">
        <f>I16*K16</f>
        <v>1312500</v>
      </c>
      <c r="M16" s="38">
        <v>0</v>
      </c>
      <c r="N16" s="11">
        <v>0</v>
      </c>
      <c r="O16" s="31">
        <v>7</v>
      </c>
      <c r="P16" s="386">
        <f>IF(O16="","",(L16-N16)/O16)</f>
        <v>187500</v>
      </c>
    </row>
    <row r="17" spans="2:16" x14ac:dyDescent="0.15">
      <c r="B17" s="1002"/>
      <c r="C17" s="569" t="s">
        <v>251</v>
      </c>
      <c r="D17" s="380" t="s">
        <v>574</v>
      </c>
      <c r="E17" s="41">
        <v>2</v>
      </c>
      <c r="F17" s="41" t="s">
        <v>53</v>
      </c>
      <c r="G17" s="41">
        <f>920000*2</f>
        <v>1840000</v>
      </c>
      <c r="H17" s="42">
        <v>0</v>
      </c>
      <c r="I17" s="41">
        <f>G17*(1-H17)</f>
        <v>1840000</v>
      </c>
      <c r="J17" s="44" t="s">
        <v>595</v>
      </c>
      <c r="K17" s="43">
        <f t="shared" si="3"/>
        <v>0.33333333333333331</v>
      </c>
      <c r="L17" s="41">
        <f t="shared" ref="L17:L51" si="4">I17*K17</f>
        <v>613333.33333333326</v>
      </c>
      <c r="M17" s="38">
        <v>0</v>
      </c>
      <c r="N17" s="11">
        <v>0</v>
      </c>
      <c r="O17" s="31">
        <v>4</v>
      </c>
      <c r="P17" s="386">
        <f t="shared" ref="P17:P51" si="5">IF(O17="","",(L17-N17)/O17)</f>
        <v>153333.33333333331</v>
      </c>
    </row>
    <row r="18" spans="2:16" x14ac:dyDescent="0.15">
      <c r="B18" s="1002"/>
      <c r="C18" s="569" t="s">
        <v>420</v>
      </c>
      <c r="D18" s="41" t="s">
        <v>421</v>
      </c>
      <c r="E18" s="41">
        <v>1</v>
      </c>
      <c r="F18" s="41" t="s">
        <v>53</v>
      </c>
      <c r="G18" s="41">
        <v>163170</v>
      </c>
      <c r="H18" s="42">
        <v>0</v>
      </c>
      <c r="I18" s="41">
        <f t="shared" ref="I18:I53" si="6">G18*(1-H18)</f>
        <v>163170</v>
      </c>
      <c r="J18" s="41" t="s">
        <v>595</v>
      </c>
      <c r="K18" s="43">
        <f t="shared" si="3"/>
        <v>0.33333333333333331</v>
      </c>
      <c r="L18" s="41">
        <f t="shared" si="4"/>
        <v>54390</v>
      </c>
      <c r="M18" s="38">
        <v>0</v>
      </c>
      <c r="N18" s="11">
        <v>0</v>
      </c>
      <c r="O18" s="11">
        <v>7</v>
      </c>
      <c r="P18" s="386">
        <f>IF(O18="","",(L18-N18)/O18)</f>
        <v>7770</v>
      </c>
    </row>
    <row r="19" spans="2:16" x14ac:dyDescent="0.15">
      <c r="B19" s="1002"/>
      <c r="C19" s="569" t="s">
        <v>422</v>
      </c>
      <c r="D19" s="380" t="s">
        <v>575</v>
      </c>
      <c r="E19" s="41">
        <v>1</v>
      </c>
      <c r="F19" s="41" t="s">
        <v>53</v>
      </c>
      <c r="G19" s="41">
        <v>843000</v>
      </c>
      <c r="H19" s="42">
        <v>0</v>
      </c>
      <c r="I19" s="41">
        <f t="shared" si="6"/>
        <v>843000</v>
      </c>
      <c r="J19" s="41" t="s">
        <v>595</v>
      </c>
      <c r="K19" s="43">
        <f t="shared" si="3"/>
        <v>0.33333333333333331</v>
      </c>
      <c r="L19" s="41">
        <f t="shared" si="4"/>
        <v>281000</v>
      </c>
      <c r="M19" s="38">
        <v>0</v>
      </c>
      <c r="N19" s="11">
        <v>0</v>
      </c>
      <c r="O19" s="11">
        <v>7</v>
      </c>
      <c r="P19" s="386">
        <f t="shared" si="5"/>
        <v>40142.857142857145</v>
      </c>
    </row>
    <row r="20" spans="2:16" x14ac:dyDescent="0.15">
      <c r="B20" s="1002"/>
      <c r="C20" s="569" t="s">
        <v>576</v>
      </c>
      <c r="D20" s="380" t="s">
        <v>577</v>
      </c>
      <c r="E20" s="41">
        <v>1</v>
      </c>
      <c r="F20" s="41" t="s">
        <v>53</v>
      </c>
      <c r="G20" s="41">
        <v>1802000</v>
      </c>
      <c r="H20" s="42">
        <v>0</v>
      </c>
      <c r="I20" s="41">
        <f t="shared" si="6"/>
        <v>1802000</v>
      </c>
      <c r="J20" s="41" t="s">
        <v>595</v>
      </c>
      <c r="K20" s="43">
        <f t="shared" si="3"/>
        <v>0.33333333333333331</v>
      </c>
      <c r="L20" s="41">
        <f t="shared" si="4"/>
        <v>600666.66666666663</v>
      </c>
      <c r="M20" s="38">
        <v>0</v>
      </c>
      <c r="N20" s="11">
        <v>0</v>
      </c>
      <c r="O20" s="11">
        <v>7</v>
      </c>
      <c r="P20" s="386">
        <f t="shared" si="5"/>
        <v>85809.523809523802</v>
      </c>
    </row>
    <row r="21" spans="2:16" x14ac:dyDescent="0.15">
      <c r="B21" s="1002"/>
      <c r="C21" s="569" t="s">
        <v>624</v>
      </c>
      <c r="D21" s="380" t="s">
        <v>625</v>
      </c>
      <c r="E21" s="41">
        <v>1</v>
      </c>
      <c r="F21" s="41" t="s">
        <v>626</v>
      </c>
      <c r="G21" s="41">
        <v>248000</v>
      </c>
      <c r="H21" s="42">
        <v>0</v>
      </c>
      <c r="I21" s="41">
        <f t="shared" si="6"/>
        <v>248000</v>
      </c>
      <c r="J21" s="44" t="s">
        <v>595</v>
      </c>
      <c r="K21" s="43">
        <f t="shared" si="3"/>
        <v>0.33333333333333331</v>
      </c>
      <c r="L21" s="41">
        <f t="shared" si="4"/>
        <v>82666.666666666657</v>
      </c>
      <c r="M21" s="38">
        <v>0</v>
      </c>
      <c r="N21" s="11">
        <v>0</v>
      </c>
      <c r="O21" s="11">
        <v>7</v>
      </c>
      <c r="P21" s="386">
        <f t="shared" si="5"/>
        <v>11809.523809523807</v>
      </c>
    </row>
    <row r="22" spans="2:16" hidden="1" x14ac:dyDescent="0.15">
      <c r="B22" s="1002"/>
      <c r="C22" s="570"/>
      <c r="D22" s="41"/>
      <c r="E22" s="41"/>
      <c r="F22" s="41"/>
      <c r="G22" s="41"/>
      <c r="H22" s="42"/>
      <c r="I22" s="41">
        <f t="shared" si="6"/>
        <v>0</v>
      </c>
      <c r="J22" s="41"/>
      <c r="K22" s="43"/>
      <c r="L22" s="41">
        <f t="shared" si="4"/>
        <v>0</v>
      </c>
      <c r="M22" s="26"/>
      <c r="N22" s="11">
        <f t="shared" ref="N22:N51" si="7">L22*M22</f>
        <v>0</v>
      </c>
      <c r="O22" s="11"/>
      <c r="P22" s="386" t="str">
        <f t="shared" si="5"/>
        <v/>
      </c>
    </row>
    <row r="23" spans="2:16" hidden="1" x14ac:dyDescent="0.15">
      <c r="B23" s="1002"/>
      <c r="C23" s="41"/>
      <c r="D23" s="41"/>
      <c r="E23" s="41"/>
      <c r="F23" s="41"/>
      <c r="G23" s="41"/>
      <c r="H23" s="42"/>
      <c r="I23" s="41">
        <f t="shared" si="6"/>
        <v>0</v>
      </c>
      <c r="J23" s="41"/>
      <c r="K23" s="43"/>
      <c r="L23" s="41">
        <f t="shared" si="4"/>
        <v>0</v>
      </c>
      <c r="M23" s="26"/>
      <c r="N23" s="11">
        <f t="shared" si="7"/>
        <v>0</v>
      </c>
      <c r="O23" s="11"/>
      <c r="P23" s="386" t="str">
        <f t="shared" si="5"/>
        <v/>
      </c>
    </row>
    <row r="24" spans="2:16" hidden="1" x14ac:dyDescent="0.15">
      <c r="B24" s="1002"/>
      <c r="C24" s="41"/>
      <c r="D24" s="41"/>
      <c r="E24" s="41"/>
      <c r="F24" s="41"/>
      <c r="G24" s="41"/>
      <c r="H24" s="42"/>
      <c r="I24" s="41">
        <f t="shared" si="6"/>
        <v>0</v>
      </c>
      <c r="J24" s="41"/>
      <c r="K24" s="43"/>
      <c r="L24" s="41">
        <f t="shared" si="4"/>
        <v>0</v>
      </c>
      <c r="M24" s="26"/>
      <c r="N24" s="11">
        <f t="shared" si="7"/>
        <v>0</v>
      </c>
      <c r="O24" s="11"/>
      <c r="P24" s="386" t="str">
        <f t="shared" si="5"/>
        <v/>
      </c>
    </row>
    <row r="25" spans="2:16" hidden="1" x14ac:dyDescent="0.15">
      <c r="B25" s="1002"/>
      <c r="C25" s="41"/>
      <c r="D25" s="41"/>
      <c r="E25" s="41"/>
      <c r="F25" s="41"/>
      <c r="G25" s="41"/>
      <c r="H25" s="42"/>
      <c r="I25" s="41">
        <f t="shared" si="6"/>
        <v>0</v>
      </c>
      <c r="J25" s="41"/>
      <c r="K25" s="43"/>
      <c r="L25" s="41">
        <f t="shared" si="4"/>
        <v>0</v>
      </c>
      <c r="M25" s="26"/>
      <c r="N25" s="11">
        <f t="shared" si="7"/>
        <v>0</v>
      </c>
      <c r="O25" s="11"/>
      <c r="P25" s="386" t="str">
        <f t="shared" si="5"/>
        <v/>
      </c>
    </row>
    <row r="26" spans="2:16" hidden="1" x14ac:dyDescent="0.15">
      <c r="B26" s="1002"/>
      <c r="C26" s="41"/>
      <c r="D26" s="41"/>
      <c r="E26" s="41"/>
      <c r="F26" s="41"/>
      <c r="G26" s="41"/>
      <c r="H26" s="42"/>
      <c r="I26" s="41">
        <f t="shared" si="6"/>
        <v>0</v>
      </c>
      <c r="J26" s="44"/>
      <c r="K26" s="43"/>
      <c r="L26" s="41">
        <f t="shared" si="4"/>
        <v>0</v>
      </c>
      <c r="M26" s="26"/>
      <c r="N26" s="11">
        <f t="shared" si="7"/>
        <v>0</v>
      </c>
      <c r="O26" s="11"/>
      <c r="P26" s="386" t="str">
        <f t="shared" si="5"/>
        <v/>
      </c>
    </row>
    <row r="27" spans="2:16" hidden="1" x14ac:dyDescent="0.15">
      <c r="B27" s="1002"/>
      <c r="C27" s="41"/>
      <c r="D27" s="41"/>
      <c r="E27" s="41"/>
      <c r="F27" s="41"/>
      <c r="G27" s="41"/>
      <c r="H27" s="42"/>
      <c r="I27" s="41">
        <f t="shared" si="6"/>
        <v>0</v>
      </c>
      <c r="J27" s="41"/>
      <c r="K27" s="43"/>
      <c r="L27" s="41">
        <f t="shared" si="4"/>
        <v>0</v>
      </c>
      <c r="M27" s="26"/>
      <c r="N27" s="11">
        <f t="shared" si="7"/>
        <v>0</v>
      </c>
      <c r="O27" s="11"/>
      <c r="P27" s="386" t="str">
        <f t="shared" si="5"/>
        <v/>
      </c>
    </row>
    <row r="28" spans="2:16" hidden="1" x14ac:dyDescent="0.15">
      <c r="B28" s="1002"/>
      <c r="C28" s="41"/>
      <c r="D28" s="41"/>
      <c r="E28" s="41"/>
      <c r="F28" s="41"/>
      <c r="G28" s="41"/>
      <c r="H28" s="42"/>
      <c r="I28" s="41">
        <f t="shared" si="6"/>
        <v>0</v>
      </c>
      <c r="J28" s="41"/>
      <c r="K28" s="43"/>
      <c r="L28" s="41">
        <f t="shared" si="4"/>
        <v>0</v>
      </c>
      <c r="M28" s="26"/>
      <c r="N28" s="11">
        <f t="shared" si="7"/>
        <v>0</v>
      </c>
      <c r="O28" s="11"/>
      <c r="P28" s="386" t="str">
        <f t="shared" si="5"/>
        <v/>
      </c>
    </row>
    <row r="29" spans="2:16" hidden="1" x14ac:dyDescent="0.15">
      <c r="B29" s="1002"/>
      <c r="C29" s="41"/>
      <c r="D29" s="41"/>
      <c r="E29" s="41"/>
      <c r="F29" s="41"/>
      <c r="G29" s="41"/>
      <c r="H29" s="42"/>
      <c r="I29" s="41">
        <f t="shared" si="6"/>
        <v>0</v>
      </c>
      <c r="J29" s="41"/>
      <c r="K29" s="43"/>
      <c r="L29" s="41">
        <f t="shared" si="4"/>
        <v>0</v>
      </c>
      <c r="M29" s="26"/>
      <c r="N29" s="11">
        <f t="shared" si="7"/>
        <v>0</v>
      </c>
      <c r="O29" s="11"/>
      <c r="P29" s="386" t="str">
        <f t="shared" si="5"/>
        <v/>
      </c>
    </row>
    <row r="30" spans="2:16" hidden="1" x14ac:dyDescent="0.15">
      <c r="B30" s="1002"/>
      <c r="C30" s="41"/>
      <c r="D30" s="41"/>
      <c r="E30" s="41"/>
      <c r="F30" s="41"/>
      <c r="G30" s="41"/>
      <c r="H30" s="42"/>
      <c r="I30" s="41">
        <f t="shared" si="6"/>
        <v>0</v>
      </c>
      <c r="J30" s="41"/>
      <c r="K30" s="43"/>
      <c r="L30" s="41">
        <f t="shared" si="4"/>
        <v>0</v>
      </c>
      <c r="M30" s="26"/>
      <c r="N30" s="11">
        <f t="shared" si="7"/>
        <v>0</v>
      </c>
      <c r="O30" s="11"/>
      <c r="P30" s="386" t="str">
        <f t="shared" si="5"/>
        <v/>
      </c>
    </row>
    <row r="31" spans="2:16" hidden="1" x14ac:dyDescent="0.15">
      <c r="B31" s="1002"/>
      <c r="C31" s="41"/>
      <c r="D31" s="41"/>
      <c r="E31" s="41"/>
      <c r="F31" s="41"/>
      <c r="G31" s="41"/>
      <c r="H31" s="42"/>
      <c r="I31" s="41">
        <f t="shared" si="6"/>
        <v>0</v>
      </c>
      <c r="J31" s="41"/>
      <c r="K31" s="43"/>
      <c r="L31" s="41">
        <f t="shared" si="4"/>
        <v>0</v>
      </c>
      <c r="M31" s="26"/>
      <c r="N31" s="11">
        <f t="shared" si="7"/>
        <v>0</v>
      </c>
      <c r="O31" s="11"/>
      <c r="P31" s="386" t="str">
        <f t="shared" si="5"/>
        <v/>
      </c>
    </row>
    <row r="32" spans="2:16" hidden="1" x14ac:dyDescent="0.15">
      <c r="B32" s="1002"/>
      <c r="C32" s="41"/>
      <c r="D32" s="41"/>
      <c r="E32" s="41"/>
      <c r="F32" s="41"/>
      <c r="G32" s="41"/>
      <c r="H32" s="42"/>
      <c r="I32" s="41">
        <f t="shared" si="6"/>
        <v>0</v>
      </c>
      <c r="J32" s="41"/>
      <c r="K32" s="43"/>
      <c r="L32" s="41">
        <f t="shared" si="4"/>
        <v>0</v>
      </c>
      <c r="M32" s="26"/>
      <c r="N32" s="11">
        <f t="shared" si="7"/>
        <v>0</v>
      </c>
      <c r="O32" s="11"/>
      <c r="P32" s="386" t="str">
        <f t="shared" si="5"/>
        <v/>
      </c>
    </row>
    <row r="33" spans="2:16" hidden="1" x14ac:dyDescent="0.15">
      <c r="B33" s="1002"/>
      <c r="C33" s="41"/>
      <c r="D33" s="41"/>
      <c r="E33" s="41"/>
      <c r="F33" s="41"/>
      <c r="G33" s="41"/>
      <c r="H33" s="42"/>
      <c r="I33" s="41">
        <f t="shared" si="6"/>
        <v>0</v>
      </c>
      <c r="J33" s="41"/>
      <c r="K33" s="43"/>
      <c r="L33" s="41">
        <f t="shared" si="4"/>
        <v>0</v>
      </c>
      <c r="M33" s="26"/>
      <c r="N33" s="11">
        <f t="shared" si="7"/>
        <v>0</v>
      </c>
      <c r="O33" s="11"/>
      <c r="P33" s="386" t="str">
        <f t="shared" si="5"/>
        <v/>
      </c>
    </row>
    <row r="34" spans="2:16" hidden="1" x14ac:dyDescent="0.15">
      <c r="B34" s="1002"/>
      <c r="C34" s="41"/>
      <c r="D34" s="41"/>
      <c r="E34" s="41"/>
      <c r="F34" s="41"/>
      <c r="G34" s="41"/>
      <c r="H34" s="42"/>
      <c r="I34" s="41">
        <f t="shared" si="6"/>
        <v>0</v>
      </c>
      <c r="J34" s="41"/>
      <c r="K34" s="43"/>
      <c r="L34" s="41">
        <f t="shared" si="4"/>
        <v>0</v>
      </c>
      <c r="M34" s="26"/>
      <c r="N34" s="11">
        <f t="shared" si="7"/>
        <v>0</v>
      </c>
      <c r="O34" s="11"/>
      <c r="P34" s="386" t="str">
        <f t="shared" si="5"/>
        <v/>
      </c>
    </row>
    <row r="35" spans="2:16" x14ac:dyDescent="0.15">
      <c r="B35" s="1002"/>
      <c r="C35" s="41"/>
      <c r="D35" s="41"/>
      <c r="E35" s="41"/>
      <c r="F35" s="41"/>
      <c r="G35" s="41"/>
      <c r="H35" s="42"/>
      <c r="I35" s="41"/>
      <c r="J35" s="41"/>
      <c r="K35" s="43"/>
      <c r="L35" s="41"/>
      <c r="M35" s="26"/>
      <c r="N35" s="11"/>
      <c r="O35" s="11"/>
      <c r="P35" s="386" t="str">
        <f t="shared" si="5"/>
        <v/>
      </c>
    </row>
    <row r="36" spans="2:16" x14ac:dyDescent="0.15">
      <c r="B36" s="1002"/>
      <c r="C36" s="41"/>
      <c r="D36" s="41"/>
      <c r="E36" s="41"/>
      <c r="F36" s="41"/>
      <c r="G36" s="41"/>
      <c r="H36" s="42"/>
      <c r="I36" s="41"/>
      <c r="J36" s="41"/>
      <c r="K36" s="43"/>
      <c r="L36" s="41"/>
      <c r="M36" s="26"/>
      <c r="N36" s="11"/>
      <c r="O36" s="11"/>
      <c r="P36" s="386" t="str">
        <f t="shared" si="5"/>
        <v/>
      </c>
    </row>
    <row r="37" spans="2:16" x14ac:dyDescent="0.15">
      <c r="B37" s="1002"/>
      <c r="C37" s="41"/>
      <c r="D37" s="41"/>
      <c r="E37" s="47"/>
      <c r="F37" s="41"/>
      <c r="G37" s="41"/>
      <c r="H37" s="42"/>
      <c r="I37" s="41"/>
      <c r="J37" s="44"/>
      <c r="K37" s="43"/>
      <c r="L37" s="41"/>
      <c r="M37" s="26"/>
      <c r="N37" s="11"/>
      <c r="O37" s="11"/>
      <c r="P37" s="386" t="str">
        <f t="shared" si="5"/>
        <v/>
      </c>
    </row>
    <row r="38" spans="2:16" x14ac:dyDescent="0.15">
      <c r="B38" s="1002"/>
      <c r="C38" s="41"/>
      <c r="D38" s="41"/>
      <c r="E38" s="47"/>
      <c r="F38" s="41"/>
      <c r="G38" s="41"/>
      <c r="H38" s="42"/>
      <c r="I38" s="41"/>
      <c r="J38" s="41"/>
      <c r="K38" s="43"/>
      <c r="L38" s="41"/>
      <c r="M38" s="26"/>
      <c r="N38" s="11"/>
      <c r="O38" s="11"/>
      <c r="P38" s="386" t="str">
        <f t="shared" si="5"/>
        <v/>
      </c>
    </row>
    <row r="39" spans="2:16" x14ac:dyDescent="0.15">
      <c r="B39" s="1002"/>
      <c r="C39" s="41"/>
      <c r="D39" s="41"/>
      <c r="E39" s="47"/>
      <c r="F39" s="41"/>
      <c r="G39" s="41"/>
      <c r="H39" s="42"/>
      <c r="I39" s="41"/>
      <c r="J39" s="41"/>
      <c r="K39" s="43"/>
      <c r="L39" s="41"/>
      <c r="M39" s="26"/>
      <c r="N39" s="11"/>
      <c r="O39" s="11"/>
      <c r="P39" s="386" t="str">
        <f t="shared" si="5"/>
        <v/>
      </c>
    </row>
    <row r="40" spans="2:16" x14ac:dyDescent="0.15">
      <c r="B40" s="1002"/>
      <c r="C40" s="41"/>
      <c r="D40" s="41"/>
      <c r="E40" s="41"/>
      <c r="F40" s="41"/>
      <c r="G40" s="41"/>
      <c r="H40" s="42"/>
      <c r="I40" s="41"/>
      <c r="J40" s="44"/>
      <c r="K40" s="43"/>
      <c r="L40" s="41"/>
      <c r="M40" s="26"/>
      <c r="N40" s="11"/>
      <c r="O40" s="11"/>
      <c r="P40" s="386" t="str">
        <f t="shared" si="5"/>
        <v/>
      </c>
    </row>
    <row r="41" spans="2:16" hidden="1" x14ac:dyDescent="0.15">
      <c r="B41" s="1002"/>
      <c r="C41" s="41"/>
      <c r="D41" s="41"/>
      <c r="E41" s="41"/>
      <c r="F41" s="41"/>
      <c r="G41" s="41"/>
      <c r="H41" s="42"/>
      <c r="I41" s="41">
        <f t="shared" si="6"/>
        <v>0</v>
      </c>
      <c r="J41" s="41"/>
      <c r="K41" s="43"/>
      <c r="L41" s="41">
        <f t="shared" si="4"/>
        <v>0</v>
      </c>
      <c r="M41" s="26"/>
      <c r="N41" s="11">
        <f t="shared" si="7"/>
        <v>0</v>
      </c>
      <c r="O41" s="11"/>
      <c r="P41" s="386" t="str">
        <f t="shared" si="5"/>
        <v/>
      </c>
    </row>
    <row r="42" spans="2:16" hidden="1" x14ac:dyDescent="0.15">
      <c r="B42" s="1002"/>
      <c r="C42" s="41"/>
      <c r="D42" s="41"/>
      <c r="E42" s="41"/>
      <c r="F42" s="41"/>
      <c r="G42" s="41"/>
      <c r="H42" s="42"/>
      <c r="I42" s="41">
        <f t="shared" si="6"/>
        <v>0</v>
      </c>
      <c r="J42" s="41"/>
      <c r="K42" s="43"/>
      <c r="L42" s="41">
        <f t="shared" si="4"/>
        <v>0</v>
      </c>
      <c r="M42" s="26"/>
      <c r="N42" s="11">
        <f t="shared" si="7"/>
        <v>0</v>
      </c>
      <c r="O42" s="11"/>
      <c r="P42" s="386" t="str">
        <f t="shared" si="5"/>
        <v/>
      </c>
    </row>
    <row r="43" spans="2:16" hidden="1" x14ac:dyDescent="0.15">
      <c r="B43" s="1002"/>
      <c r="C43" s="41"/>
      <c r="D43" s="41"/>
      <c r="E43" s="41"/>
      <c r="F43" s="41"/>
      <c r="G43" s="41"/>
      <c r="H43" s="42"/>
      <c r="I43" s="41">
        <f t="shared" si="6"/>
        <v>0</v>
      </c>
      <c r="J43" s="41"/>
      <c r="K43" s="43"/>
      <c r="L43" s="41">
        <f t="shared" si="4"/>
        <v>0</v>
      </c>
      <c r="M43" s="26"/>
      <c r="N43" s="11">
        <f t="shared" si="7"/>
        <v>0</v>
      </c>
      <c r="O43" s="11"/>
      <c r="P43" s="386" t="str">
        <f t="shared" si="5"/>
        <v/>
      </c>
    </row>
    <row r="44" spans="2:16" hidden="1" x14ac:dyDescent="0.15">
      <c r="B44" s="1002"/>
      <c r="C44" s="41"/>
      <c r="D44" s="41"/>
      <c r="E44" s="41"/>
      <c r="F44" s="41"/>
      <c r="G44" s="41"/>
      <c r="H44" s="42"/>
      <c r="I44" s="41">
        <f t="shared" si="6"/>
        <v>0</v>
      </c>
      <c r="J44" s="41"/>
      <c r="K44" s="43"/>
      <c r="L44" s="41">
        <f t="shared" si="4"/>
        <v>0</v>
      </c>
      <c r="M44" s="26"/>
      <c r="N44" s="11">
        <f t="shared" si="7"/>
        <v>0</v>
      </c>
      <c r="O44" s="11"/>
      <c r="P44" s="386" t="str">
        <f t="shared" si="5"/>
        <v/>
      </c>
    </row>
    <row r="45" spans="2:16" hidden="1" x14ac:dyDescent="0.15">
      <c r="B45" s="1002"/>
      <c r="C45" s="41"/>
      <c r="D45" s="41"/>
      <c r="E45" s="41"/>
      <c r="F45" s="41"/>
      <c r="G45" s="41"/>
      <c r="H45" s="42"/>
      <c r="I45" s="41">
        <f t="shared" si="6"/>
        <v>0</v>
      </c>
      <c r="J45" s="41"/>
      <c r="K45" s="43"/>
      <c r="L45" s="41">
        <f t="shared" si="4"/>
        <v>0</v>
      </c>
      <c r="M45" s="26"/>
      <c r="N45" s="11">
        <f t="shared" si="7"/>
        <v>0</v>
      </c>
      <c r="O45" s="11"/>
      <c r="P45" s="386" t="str">
        <f t="shared" si="5"/>
        <v/>
      </c>
    </row>
    <row r="46" spans="2:16" hidden="1" x14ac:dyDescent="0.15">
      <c r="B46" s="1002"/>
      <c r="C46" s="41"/>
      <c r="D46" s="41"/>
      <c r="E46" s="41"/>
      <c r="F46" s="41"/>
      <c r="G46" s="41"/>
      <c r="H46" s="42"/>
      <c r="I46" s="41">
        <f t="shared" si="6"/>
        <v>0</v>
      </c>
      <c r="J46" s="41"/>
      <c r="K46" s="43"/>
      <c r="L46" s="41">
        <f t="shared" si="4"/>
        <v>0</v>
      </c>
      <c r="M46" s="26"/>
      <c r="N46" s="11">
        <f t="shared" si="7"/>
        <v>0</v>
      </c>
      <c r="O46" s="11"/>
      <c r="P46" s="386" t="str">
        <f t="shared" si="5"/>
        <v/>
      </c>
    </row>
    <row r="47" spans="2:16" hidden="1" x14ac:dyDescent="0.15">
      <c r="B47" s="1002"/>
      <c r="C47" s="41"/>
      <c r="D47" s="41"/>
      <c r="E47" s="41"/>
      <c r="F47" s="41"/>
      <c r="G47" s="41"/>
      <c r="H47" s="42"/>
      <c r="I47" s="41">
        <f t="shared" si="6"/>
        <v>0</v>
      </c>
      <c r="J47" s="41"/>
      <c r="K47" s="43"/>
      <c r="L47" s="41">
        <f t="shared" si="4"/>
        <v>0</v>
      </c>
      <c r="M47" s="26"/>
      <c r="N47" s="11">
        <f t="shared" si="7"/>
        <v>0</v>
      </c>
      <c r="O47" s="11"/>
      <c r="P47" s="386" t="str">
        <f t="shared" si="5"/>
        <v/>
      </c>
    </row>
    <row r="48" spans="2:16" hidden="1" x14ac:dyDescent="0.15">
      <c r="B48" s="1002"/>
      <c r="C48" s="41"/>
      <c r="D48" s="41"/>
      <c r="E48" s="41"/>
      <c r="F48" s="41"/>
      <c r="G48" s="41"/>
      <c r="H48" s="42"/>
      <c r="I48" s="41">
        <f t="shared" si="6"/>
        <v>0</v>
      </c>
      <c r="J48" s="41"/>
      <c r="K48" s="43"/>
      <c r="L48" s="41">
        <f t="shared" si="4"/>
        <v>0</v>
      </c>
      <c r="M48" s="26"/>
      <c r="N48" s="11">
        <f t="shared" si="7"/>
        <v>0</v>
      </c>
      <c r="O48" s="11"/>
      <c r="P48" s="386" t="str">
        <f t="shared" si="5"/>
        <v/>
      </c>
    </row>
    <row r="49" spans="2:16" hidden="1" x14ac:dyDescent="0.15">
      <c r="B49" s="1002"/>
      <c r="C49" s="41"/>
      <c r="D49" s="44"/>
      <c r="E49" s="41"/>
      <c r="F49" s="41"/>
      <c r="G49" s="41"/>
      <c r="H49" s="42"/>
      <c r="I49" s="41">
        <f t="shared" si="6"/>
        <v>0</v>
      </c>
      <c r="J49" s="41"/>
      <c r="K49" s="43"/>
      <c r="L49" s="41">
        <f t="shared" si="4"/>
        <v>0</v>
      </c>
      <c r="M49" s="26"/>
      <c r="N49" s="11">
        <f t="shared" si="7"/>
        <v>0</v>
      </c>
      <c r="O49" s="11"/>
      <c r="P49" s="386" t="str">
        <f t="shared" si="5"/>
        <v/>
      </c>
    </row>
    <row r="50" spans="2:16" hidden="1" x14ac:dyDescent="0.15">
      <c r="B50" s="1002"/>
      <c r="C50" s="41"/>
      <c r="D50" s="44"/>
      <c r="E50" s="41"/>
      <c r="F50" s="41"/>
      <c r="G50" s="41"/>
      <c r="H50" s="42"/>
      <c r="I50" s="41">
        <f t="shared" si="6"/>
        <v>0</v>
      </c>
      <c r="J50" s="44"/>
      <c r="K50" s="43"/>
      <c r="L50" s="41">
        <f t="shared" si="4"/>
        <v>0</v>
      </c>
      <c r="M50" s="26">
        <v>0</v>
      </c>
      <c r="N50" s="11">
        <f t="shared" si="7"/>
        <v>0</v>
      </c>
      <c r="O50" s="11"/>
      <c r="P50" s="386" t="str">
        <f t="shared" si="5"/>
        <v/>
      </c>
    </row>
    <row r="51" spans="2:16" hidden="1" x14ac:dyDescent="0.15">
      <c r="B51" s="1002"/>
      <c r="C51" s="41"/>
      <c r="D51" s="44"/>
      <c r="E51" s="41"/>
      <c r="F51" s="41"/>
      <c r="G51" s="41"/>
      <c r="H51" s="42"/>
      <c r="I51" s="41">
        <f t="shared" si="6"/>
        <v>0</v>
      </c>
      <c r="J51" s="44"/>
      <c r="K51" s="43"/>
      <c r="L51" s="41">
        <f t="shared" si="4"/>
        <v>0</v>
      </c>
      <c r="M51" s="26"/>
      <c r="N51" s="11">
        <f t="shared" si="7"/>
        <v>0</v>
      </c>
      <c r="O51" s="11"/>
      <c r="P51" s="386" t="str">
        <f t="shared" si="5"/>
        <v/>
      </c>
    </row>
    <row r="52" spans="2:16" x14ac:dyDescent="0.15">
      <c r="B52" s="1003"/>
      <c r="C52" s="48" t="s">
        <v>45</v>
      </c>
      <c r="D52" s="48"/>
      <c r="E52" s="48"/>
      <c r="F52" s="49"/>
      <c r="G52" s="48">
        <f>SUM(G16:G49)</f>
        <v>8833670</v>
      </c>
      <c r="H52" s="48"/>
      <c r="I52" s="48">
        <f>SUM(I16:I49)</f>
        <v>8833670</v>
      </c>
      <c r="J52" s="48"/>
      <c r="K52" s="50"/>
      <c r="L52" s="48">
        <f>SUM(L16:L49)</f>
        <v>2944556.666666666</v>
      </c>
      <c r="M52" s="28"/>
      <c r="N52" s="28"/>
      <c r="O52" s="28"/>
      <c r="P52" s="387">
        <f>SUM(P16:P49)</f>
        <v>486365.23809523805</v>
      </c>
    </row>
    <row r="53" spans="2:16" x14ac:dyDescent="0.15">
      <c r="B53" s="996" t="s">
        <v>126</v>
      </c>
      <c r="C53" s="380" t="s">
        <v>552</v>
      </c>
      <c r="D53" s="380" t="s">
        <v>426</v>
      </c>
      <c r="E53" s="572">
        <v>1</v>
      </c>
      <c r="F53" s="44" t="s">
        <v>90</v>
      </c>
      <c r="G53" s="41">
        <f>+D66*10</f>
        <v>3481190</v>
      </c>
      <c r="H53" s="51"/>
      <c r="I53" s="41">
        <f t="shared" si="6"/>
        <v>3481190</v>
      </c>
      <c r="J53" s="44" t="s">
        <v>610</v>
      </c>
      <c r="K53" s="43">
        <v>1</v>
      </c>
      <c r="L53" s="41">
        <f>I53*K53</f>
        <v>3481190</v>
      </c>
      <c r="M53" s="39">
        <v>0.05</v>
      </c>
      <c r="N53" s="11">
        <f>L53*M53</f>
        <v>174059.5</v>
      </c>
      <c r="O53" s="11">
        <v>15</v>
      </c>
      <c r="P53" s="386">
        <f>IF(O53="","",(L53-N53)/O53)</f>
        <v>220475.36666666667</v>
      </c>
    </row>
    <row r="54" spans="2:16" x14ac:dyDescent="0.15">
      <c r="B54" s="1002"/>
      <c r="C54" s="380"/>
      <c r="D54" s="41"/>
      <c r="E54" s="41"/>
      <c r="F54" s="44"/>
      <c r="G54" s="41"/>
      <c r="H54" s="51"/>
      <c r="I54" s="41"/>
      <c r="J54" s="41"/>
      <c r="K54" s="43"/>
      <c r="L54" s="41"/>
      <c r="M54" s="39"/>
      <c r="N54" s="11"/>
      <c r="O54" s="11"/>
      <c r="P54" s="386" t="str">
        <f>IF(O54="","",(L54-N54)/O54)</f>
        <v/>
      </c>
    </row>
    <row r="55" spans="2:16" x14ac:dyDescent="0.15">
      <c r="B55" s="1002"/>
      <c r="C55" s="92"/>
      <c r="D55" s="11"/>
      <c r="E55" s="11"/>
      <c r="F55" s="25"/>
      <c r="G55" s="11"/>
      <c r="H55" s="39"/>
      <c r="I55" s="11"/>
      <c r="J55" s="11"/>
      <c r="K55" s="40"/>
      <c r="L55" s="11"/>
      <c r="M55" s="39"/>
      <c r="N55" s="11"/>
      <c r="O55" s="11"/>
      <c r="P55" s="386" t="str">
        <f>IF(O55="","",(L55-N55)/O55)</f>
        <v/>
      </c>
    </row>
    <row r="56" spans="2:16" x14ac:dyDescent="0.15">
      <c r="B56" s="1002"/>
      <c r="C56" s="11"/>
      <c r="D56" s="11"/>
      <c r="E56" s="11"/>
      <c r="F56" s="25"/>
      <c r="G56" s="11"/>
      <c r="H56" s="39"/>
      <c r="I56" s="11"/>
      <c r="J56" s="11"/>
      <c r="K56" s="40"/>
      <c r="L56" s="11"/>
      <c r="M56" s="39"/>
      <c r="N56" s="11"/>
      <c r="O56" s="11"/>
      <c r="P56" s="386" t="str">
        <f>IF(O56="","",(L56-N56)/O56)</f>
        <v/>
      </c>
    </row>
    <row r="57" spans="2:16" x14ac:dyDescent="0.15">
      <c r="B57" s="1003"/>
      <c r="C57" s="32" t="s">
        <v>45</v>
      </c>
      <c r="D57" s="28"/>
      <c r="E57" s="28"/>
      <c r="F57" s="29"/>
      <c r="G57" s="28">
        <f>SUM(G53:G56)</f>
        <v>3481190</v>
      </c>
      <c r="H57" s="28"/>
      <c r="I57" s="28">
        <f>SUM(I53:I56)</f>
        <v>3481190</v>
      </c>
      <c r="J57" s="28"/>
      <c r="K57" s="30"/>
      <c r="L57" s="28">
        <f>SUM(L53:L56)</f>
        <v>3481190</v>
      </c>
      <c r="M57" s="28"/>
      <c r="N57" s="28"/>
      <c r="O57" s="28"/>
      <c r="P57" s="387">
        <f>SUM(P53:P56)</f>
        <v>220475.36666666667</v>
      </c>
    </row>
    <row r="58" spans="2:16" ht="14.25" thickBot="1" x14ac:dyDescent="0.2">
      <c r="B58" s="33"/>
      <c r="C58" s="34" t="s">
        <v>87</v>
      </c>
      <c r="D58" s="35"/>
      <c r="E58" s="35"/>
      <c r="F58" s="36"/>
      <c r="G58" s="35">
        <f>G15+G52+G57</f>
        <v>93544860</v>
      </c>
      <c r="H58" s="35"/>
      <c r="I58" s="35">
        <f>I15+I52+I57</f>
        <v>93544860</v>
      </c>
      <c r="J58" s="35"/>
      <c r="K58" s="37"/>
      <c r="L58" s="35">
        <f>L15+L52+L57</f>
        <v>34835746.666666664</v>
      </c>
      <c r="M58" s="35"/>
      <c r="N58" s="35"/>
      <c r="O58" s="35"/>
      <c r="P58" s="388">
        <f>P15+P52+P57</f>
        <v>2898944.4947049785</v>
      </c>
    </row>
    <row r="59" spans="2:16" ht="11.25" customHeight="1" x14ac:dyDescent="0.15"/>
    <row r="62" spans="2:16" x14ac:dyDescent="0.15">
      <c r="C62" s="725" t="s">
        <v>553</v>
      </c>
      <c r="D62" s="725"/>
      <c r="E62" s="725"/>
      <c r="F62" s="725"/>
      <c r="G62" s="725"/>
      <c r="H62" s="725"/>
      <c r="I62" s="725"/>
      <c r="J62" s="725"/>
      <c r="K62" s="726"/>
      <c r="L62" s="725"/>
      <c r="M62" s="725"/>
      <c r="N62" s="725"/>
    </row>
    <row r="63" spans="2:16" x14ac:dyDescent="0.15">
      <c r="C63" s="725" t="s">
        <v>428</v>
      </c>
      <c r="D63" s="725">
        <v>260400</v>
      </c>
      <c r="E63" s="725"/>
      <c r="F63" s="725"/>
      <c r="G63" s="725"/>
      <c r="H63" s="725"/>
      <c r="I63" s="725"/>
      <c r="J63" s="725"/>
      <c r="K63" s="726"/>
      <c r="L63" s="725"/>
      <c r="M63" s="725"/>
      <c r="N63" s="725"/>
    </row>
    <row r="64" spans="2:16" x14ac:dyDescent="0.15">
      <c r="C64" s="725" t="s">
        <v>429</v>
      </c>
      <c r="D64" s="725">
        <v>83509</v>
      </c>
      <c r="E64" s="725" t="s">
        <v>430</v>
      </c>
      <c r="F64" s="725"/>
      <c r="G64" s="725"/>
      <c r="H64" s="725"/>
      <c r="I64" s="725"/>
      <c r="J64" s="725"/>
      <c r="K64" s="726"/>
      <c r="L64" s="725"/>
      <c r="M64" s="725"/>
      <c r="N64" s="725"/>
    </row>
    <row r="65" spans="3:14" x14ac:dyDescent="0.15">
      <c r="C65" s="725" t="s">
        <v>58</v>
      </c>
      <c r="D65" s="725">
        <v>4210</v>
      </c>
      <c r="E65" s="725" t="s">
        <v>431</v>
      </c>
      <c r="F65" s="725"/>
      <c r="G65" s="725"/>
      <c r="H65" s="725"/>
      <c r="I65" s="725"/>
      <c r="J65" s="725"/>
      <c r="K65" s="726"/>
      <c r="L65" s="725"/>
      <c r="M65" s="725"/>
      <c r="N65" s="725"/>
    </row>
    <row r="66" spans="3:14" x14ac:dyDescent="0.15">
      <c r="C66" s="725" t="s">
        <v>24</v>
      </c>
      <c r="D66" s="725">
        <f>SUM(D63:D65)</f>
        <v>348119</v>
      </c>
      <c r="E66" s="725"/>
      <c r="F66" s="725"/>
      <c r="G66" s="725"/>
      <c r="H66" s="725"/>
      <c r="I66" s="725"/>
      <c r="J66" s="725"/>
      <c r="K66" s="726"/>
      <c r="L66" s="725"/>
      <c r="M66" s="725"/>
      <c r="N66" s="725"/>
    </row>
    <row r="67" spans="3:14" x14ac:dyDescent="0.15">
      <c r="C67" s="725"/>
      <c r="D67" s="725"/>
      <c r="E67" s="725"/>
      <c r="F67" s="725"/>
      <c r="G67" s="725"/>
      <c r="H67" s="725"/>
      <c r="I67" s="725"/>
      <c r="J67" s="725"/>
      <c r="K67" s="726"/>
      <c r="L67" s="725"/>
      <c r="M67" s="725"/>
      <c r="N67" s="725"/>
    </row>
  </sheetData>
  <mergeCells count="9">
    <mergeCell ref="B2:G2"/>
    <mergeCell ref="J3:J4"/>
    <mergeCell ref="B5:B15"/>
    <mergeCell ref="B16:B52"/>
    <mergeCell ref="B53:B57"/>
    <mergeCell ref="B3:B4"/>
    <mergeCell ref="C3:C4"/>
    <mergeCell ref="D3:D4"/>
    <mergeCell ref="E3:F3"/>
  </mergeCells>
  <phoneticPr fontId="5"/>
  <pageMargins left="0.78740157480314965" right="0.78740157480314965" top="0.78740157480314965" bottom="0.78740157480314965" header="0.39370078740157483" footer="0.39370078740157483"/>
  <pageSetup paperSize="9" scale="59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72"/>
  <sheetViews>
    <sheetView view="pageBreakPreview" zoomScale="60" zoomScaleNormal="85" workbookViewId="0">
      <selection activeCell="O52" sqref="O52"/>
    </sheetView>
  </sheetViews>
  <sheetFormatPr defaultRowHeight="13.5" x14ac:dyDescent="0.15"/>
  <cols>
    <col min="1" max="1" width="1.625" style="10" customWidth="1"/>
    <col min="2" max="2" width="5" style="10" customWidth="1"/>
    <col min="3" max="3" width="22.5" style="10" bestFit="1" customWidth="1"/>
    <col min="4" max="4" width="30" style="10" bestFit="1" customWidth="1"/>
    <col min="5" max="6" width="6" style="10" bestFit="1" customWidth="1"/>
    <col min="7" max="7" width="17.625" style="10" customWidth="1"/>
    <col min="8" max="8" width="10.625" style="10" customWidth="1"/>
    <col min="9" max="9" width="17.625" style="10" customWidth="1"/>
    <col min="10" max="10" width="10.625" style="10" customWidth="1"/>
    <col min="11" max="11" width="15.125" style="12" bestFit="1" customWidth="1"/>
    <col min="12" max="12" width="17.625" style="10" customWidth="1"/>
    <col min="13" max="13" width="10.625" style="10" customWidth="1"/>
    <col min="14" max="14" width="17.625" style="10" customWidth="1"/>
    <col min="15" max="15" width="10.625" style="10" customWidth="1"/>
    <col min="16" max="16" width="19.75" style="10" bestFit="1" customWidth="1"/>
    <col min="17" max="16384" width="9" style="10"/>
  </cols>
  <sheetData>
    <row r="1" spans="2:17" s="5" customFormat="1" ht="9.9499999999999993" customHeight="1" x14ac:dyDescent="0.15">
      <c r="K1" s="6"/>
    </row>
    <row r="2" spans="2:17" s="5" customFormat="1" ht="24.95" customHeight="1" thickBot="1" x14ac:dyDescent="0.2">
      <c r="B2" s="2" t="s">
        <v>593</v>
      </c>
      <c r="C2" s="7"/>
      <c r="D2" s="7"/>
      <c r="E2" s="8"/>
      <c r="F2" s="1004"/>
      <c r="G2" s="1005"/>
      <c r="H2" s="163" t="s">
        <v>264</v>
      </c>
      <c r="I2" s="3" t="s">
        <v>594</v>
      </c>
      <c r="J2" s="162"/>
      <c r="K2" s="163" t="s">
        <v>265</v>
      </c>
      <c r="L2" s="3" t="s">
        <v>484</v>
      </c>
      <c r="M2" s="9"/>
      <c r="P2" s="524"/>
    </row>
    <row r="3" spans="2:17" s="5" customFormat="1" x14ac:dyDescent="0.15">
      <c r="B3" s="1006" t="s">
        <v>74</v>
      </c>
      <c r="C3" s="1000" t="s">
        <v>37</v>
      </c>
      <c r="D3" s="1008" t="s">
        <v>116</v>
      </c>
      <c r="E3" s="1010" t="s">
        <v>38</v>
      </c>
      <c r="F3" s="1011"/>
      <c r="G3" s="525" t="s">
        <v>39</v>
      </c>
      <c r="H3" s="19" t="s">
        <v>119</v>
      </c>
      <c r="I3" s="19" t="s">
        <v>118</v>
      </c>
      <c r="J3" s="1000" t="s">
        <v>84</v>
      </c>
      <c r="K3" s="21" t="s">
        <v>85</v>
      </c>
      <c r="L3" s="525" t="s">
        <v>40</v>
      </c>
      <c r="M3" s="19" t="s">
        <v>123</v>
      </c>
      <c r="N3" s="525" t="s">
        <v>41</v>
      </c>
      <c r="O3" s="525" t="s">
        <v>42</v>
      </c>
      <c r="P3" s="384" t="s">
        <v>43</v>
      </c>
    </row>
    <row r="4" spans="2:17" x14ac:dyDescent="0.15">
      <c r="B4" s="1007"/>
      <c r="C4" s="1001"/>
      <c r="D4" s="1009"/>
      <c r="E4" s="22" t="s">
        <v>86</v>
      </c>
      <c r="F4" s="22" t="s">
        <v>9</v>
      </c>
      <c r="G4" s="23" t="s">
        <v>121</v>
      </c>
      <c r="H4" s="23" t="s">
        <v>120</v>
      </c>
      <c r="I4" s="23" t="s">
        <v>127</v>
      </c>
      <c r="J4" s="1001"/>
      <c r="K4" s="24" t="s">
        <v>122</v>
      </c>
      <c r="L4" s="23" t="s">
        <v>128</v>
      </c>
      <c r="M4" s="23" t="s">
        <v>124</v>
      </c>
      <c r="N4" s="23" t="s">
        <v>129</v>
      </c>
      <c r="O4" s="23" t="s">
        <v>125</v>
      </c>
      <c r="P4" s="385" t="s">
        <v>130</v>
      </c>
    </row>
    <row r="5" spans="2:17" x14ac:dyDescent="0.15">
      <c r="B5" s="996" t="s">
        <v>191</v>
      </c>
      <c r="C5" s="569" t="s">
        <v>369</v>
      </c>
      <c r="D5" s="380" t="s">
        <v>370</v>
      </c>
      <c r="E5" s="41">
        <v>3</v>
      </c>
      <c r="F5" s="380" t="s">
        <v>374</v>
      </c>
      <c r="G5" s="41">
        <f>Q5*E5*10</f>
        <v>48000000</v>
      </c>
      <c r="H5" s="42">
        <v>0</v>
      </c>
      <c r="I5" s="41">
        <f>G5*(1-H5)</f>
        <v>48000000</v>
      </c>
      <c r="J5" s="380" t="s">
        <v>596</v>
      </c>
      <c r="K5" s="43">
        <f>1/3</f>
        <v>0.33333333333333331</v>
      </c>
      <c r="L5" s="11">
        <f>I5*K5</f>
        <v>16000000</v>
      </c>
      <c r="M5" s="26"/>
      <c r="N5" s="11">
        <v>1</v>
      </c>
      <c r="O5" s="11">
        <v>17</v>
      </c>
      <c r="P5" s="386">
        <f>IF(O5="","",(L5-N5)/O5)</f>
        <v>941176.4117647059</v>
      </c>
      <c r="Q5" s="10">
        <v>1600000</v>
      </c>
    </row>
    <row r="6" spans="2:17" x14ac:dyDescent="0.15">
      <c r="B6" s="1002"/>
      <c r="C6" s="570" t="s">
        <v>561</v>
      </c>
      <c r="D6" s="380" t="s">
        <v>409</v>
      </c>
      <c r="E6" s="41">
        <v>150</v>
      </c>
      <c r="F6" s="41" t="s">
        <v>563</v>
      </c>
      <c r="G6" s="41">
        <v>6480000</v>
      </c>
      <c r="H6" s="42">
        <v>0</v>
      </c>
      <c r="I6" s="41">
        <f>G6*(1-H6)</f>
        <v>6480000</v>
      </c>
      <c r="J6" s="44" t="s">
        <v>595</v>
      </c>
      <c r="K6" s="43">
        <f>1/3</f>
        <v>0.33333333333333331</v>
      </c>
      <c r="L6" s="11">
        <f>I6*K6</f>
        <v>2160000</v>
      </c>
      <c r="M6" s="26">
        <v>0</v>
      </c>
      <c r="N6" s="11">
        <v>1</v>
      </c>
      <c r="O6" s="11">
        <v>31</v>
      </c>
      <c r="P6" s="386">
        <f>IF(O6="","",(L6-N6)/O6)</f>
        <v>69677.387096774197</v>
      </c>
    </row>
    <row r="7" spans="2:17" x14ac:dyDescent="0.15">
      <c r="B7" s="1002"/>
      <c r="C7" s="569" t="s">
        <v>592</v>
      </c>
      <c r="D7" s="41"/>
      <c r="E7" s="41">
        <v>2</v>
      </c>
      <c r="F7" s="380" t="s">
        <v>374</v>
      </c>
      <c r="G7" s="41">
        <f>Q7*E7*10</f>
        <v>8000000</v>
      </c>
      <c r="H7" s="42">
        <v>0</v>
      </c>
      <c r="I7" s="41">
        <f>G7*(1-H7)</f>
        <v>8000000</v>
      </c>
      <c r="J7" s="44" t="s">
        <v>599</v>
      </c>
      <c r="K7" s="43">
        <f>1/2</f>
        <v>0.5</v>
      </c>
      <c r="L7" s="11">
        <f t="shared" ref="L7:L8" si="0">I7*K7</f>
        <v>4000000</v>
      </c>
      <c r="M7" s="26"/>
      <c r="N7" s="11">
        <v>1</v>
      </c>
      <c r="O7" s="11">
        <v>10</v>
      </c>
      <c r="P7" s="386">
        <f t="shared" ref="P7:P8" si="1">IF(O7="","",(L7-N7)/O7)</f>
        <v>399999.9</v>
      </c>
      <c r="Q7" s="10">
        <v>400000</v>
      </c>
    </row>
    <row r="8" spans="2:17" x14ac:dyDescent="0.15">
      <c r="B8" s="1002"/>
      <c r="C8" s="569" t="s">
        <v>373</v>
      </c>
      <c r="D8" s="41"/>
      <c r="E8" s="45">
        <v>3</v>
      </c>
      <c r="F8" s="46" t="s">
        <v>374</v>
      </c>
      <c r="G8" s="41">
        <f>Q8*E8*10</f>
        <v>18750000</v>
      </c>
      <c r="H8" s="42">
        <v>0</v>
      </c>
      <c r="I8" s="41">
        <f t="shared" ref="I8" si="2">G8*(1-H8)</f>
        <v>18750000</v>
      </c>
      <c r="J8" s="44" t="s">
        <v>595</v>
      </c>
      <c r="K8" s="43">
        <f>1/3</f>
        <v>0.33333333333333331</v>
      </c>
      <c r="L8" s="11">
        <f t="shared" si="0"/>
        <v>6250000</v>
      </c>
      <c r="M8" s="26"/>
      <c r="N8" s="11">
        <v>1</v>
      </c>
      <c r="O8" s="11">
        <v>8</v>
      </c>
      <c r="P8" s="386">
        <f t="shared" si="1"/>
        <v>781249.875</v>
      </c>
      <c r="Q8" s="10">
        <v>625000</v>
      </c>
    </row>
    <row r="9" spans="2:17" x14ac:dyDescent="0.15">
      <c r="B9" s="1002"/>
      <c r="C9" s="569"/>
      <c r="D9" s="41"/>
      <c r="E9" s="45"/>
      <c r="F9" s="487"/>
      <c r="G9" s="41"/>
      <c r="H9" s="42">
        <v>0</v>
      </c>
      <c r="I9" s="41">
        <f t="shared" ref="I9:I14" si="3">G9*(1-H9)</f>
        <v>0</v>
      </c>
      <c r="J9" s="44"/>
      <c r="K9" s="43"/>
      <c r="L9" s="11">
        <f t="shared" ref="L9:L14" si="4">I9*K9</f>
        <v>0</v>
      </c>
      <c r="M9" s="26"/>
      <c r="N9" s="11">
        <f t="shared" ref="N9:N14" si="5">L9*M9/100</f>
        <v>0</v>
      </c>
      <c r="O9" s="11"/>
      <c r="P9" s="386" t="str">
        <f t="shared" ref="P9:P14" si="6">IF(O9="","",(L9-N9)/O9)</f>
        <v/>
      </c>
    </row>
    <row r="10" spans="2:17" x14ac:dyDescent="0.15">
      <c r="B10" s="1002"/>
      <c r="C10" s="570"/>
      <c r="D10" s="41"/>
      <c r="E10" s="41"/>
      <c r="F10" s="44"/>
      <c r="G10" s="41"/>
      <c r="H10" s="42"/>
      <c r="I10" s="41">
        <f t="shared" si="3"/>
        <v>0</v>
      </c>
      <c r="J10" s="41"/>
      <c r="K10" s="43"/>
      <c r="L10" s="11">
        <f t="shared" si="4"/>
        <v>0</v>
      </c>
      <c r="M10" s="26"/>
      <c r="N10" s="11">
        <f t="shared" si="5"/>
        <v>0</v>
      </c>
      <c r="O10" s="11"/>
      <c r="P10" s="386" t="str">
        <f t="shared" si="6"/>
        <v/>
      </c>
    </row>
    <row r="11" spans="2:17" x14ac:dyDescent="0.15">
      <c r="B11" s="1002"/>
      <c r="C11" s="41"/>
      <c r="D11" s="41"/>
      <c r="E11" s="41"/>
      <c r="F11" s="41"/>
      <c r="G11" s="41"/>
      <c r="H11" s="42"/>
      <c r="I11" s="41">
        <f t="shared" si="3"/>
        <v>0</v>
      </c>
      <c r="J11" s="41"/>
      <c r="K11" s="43"/>
      <c r="L11" s="11">
        <f t="shared" si="4"/>
        <v>0</v>
      </c>
      <c r="M11" s="26"/>
      <c r="N11" s="11">
        <f t="shared" si="5"/>
        <v>0</v>
      </c>
      <c r="O11" s="11"/>
      <c r="P11" s="386" t="str">
        <f t="shared" si="6"/>
        <v/>
      </c>
    </row>
    <row r="12" spans="2:17" x14ac:dyDescent="0.15">
      <c r="B12" s="1002"/>
      <c r="C12" s="41"/>
      <c r="D12" s="41"/>
      <c r="E12" s="41"/>
      <c r="F12" s="44"/>
      <c r="G12" s="41"/>
      <c r="H12" s="42"/>
      <c r="I12" s="41">
        <f t="shared" si="3"/>
        <v>0</v>
      </c>
      <c r="J12" s="44"/>
      <c r="K12" s="43"/>
      <c r="L12" s="11">
        <f t="shared" si="4"/>
        <v>0</v>
      </c>
      <c r="M12" s="26"/>
      <c r="N12" s="11">
        <f t="shared" si="5"/>
        <v>0</v>
      </c>
      <c r="O12" s="11"/>
      <c r="P12" s="386" t="str">
        <f t="shared" si="6"/>
        <v/>
      </c>
    </row>
    <row r="13" spans="2:17" x14ac:dyDescent="0.15">
      <c r="B13" s="1002"/>
      <c r="C13" s="11"/>
      <c r="D13" s="11"/>
      <c r="E13" s="11"/>
      <c r="F13" s="11" t="s">
        <v>54</v>
      </c>
      <c r="G13" s="11"/>
      <c r="H13" s="26"/>
      <c r="I13" s="11">
        <f t="shared" si="3"/>
        <v>0</v>
      </c>
      <c r="J13" s="11"/>
      <c r="K13" s="40"/>
      <c r="L13" s="11">
        <f t="shared" si="4"/>
        <v>0</v>
      </c>
      <c r="M13" s="26"/>
      <c r="N13" s="11">
        <f t="shared" si="5"/>
        <v>0</v>
      </c>
      <c r="O13" s="11"/>
      <c r="P13" s="386" t="str">
        <f t="shared" si="6"/>
        <v/>
      </c>
    </row>
    <row r="14" spans="2:17" x14ac:dyDescent="0.15">
      <c r="B14" s="1002"/>
      <c r="C14" s="11"/>
      <c r="D14" s="11"/>
      <c r="E14" s="11"/>
      <c r="F14" s="11" t="s">
        <v>54</v>
      </c>
      <c r="G14" s="11"/>
      <c r="H14" s="26"/>
      <c r="I14" s="11">
        <f t="shared" si="3"/>
        <v>0</v>
      </c>
      <c r="J14" s="11"/>
      <c r="K14" s="40"/>
      <c r="L14" s="11">
        <f t="shared" si="4"/>
        <v>0</v>
      </c>
      <c r="M14" s="26"/>
      <c r="N14" s="11">
        <f t="shared" si="5"/>
        <v>0</v>
      </c>
      <c r="O14" s="11"/>
      <c r="P14" s="386" t="str">
        <f t="shared" si="6"/>
        <v/>
      </c>
    </row>
    <row r="15" spans="2:17" x14ac:dyDescent="0.15">
      <c r="B15" s="1003"/>
      <c r="C15" s="27" t="s">
        <v>44</v>
      </c>
      <c r="D15" s="28"/>
      <c r="E15" s="28"/>
      <c r="F15" s="29"/>
      <c r="G15" s="28">
        <f>SUM(G5:G14)</f>
        <v>81230000</v>
      </c>
      <c r="H15" s="28"/>
      <c r="I15" s="28">
        <f>SUM(I5:I14)</f>
        <v>81230000</v>
      </c>
      <c r="J15" s="28"/>
      <c r="K15" s="30"/>
      <c r="L15" s="28">
        <f>SUM(L5:L14)</f>
        <v>28410000</v>
      </c>
      <c r="M15" s="28"/>
      <c r="N15" s="28"/>
      <c r="O15" s="28"/>
      <c r="P15" s="387">
        <f>SUM(P5:P14)</f>
        <v>2192103.5738614802</v>
      </c>
    </row>
    <row r="16" spans="2:17" x14ac:dyDescent="0.15">
      <c r="B16" s="996" t="s">
        <v>192</v>
      </c>
      <c r="C16" s="569" t="s">
        <v>573</v>
      </c>
      <c r="D16" s="380" t="s">
        <v>582</v>
      </c>
      <c r="E16" s="41">
        <v>1</v>
      </c>
      <c r="F16" s="41" t="s">
        <v>88</v>
      </c>
      <c r="G16" s="41">
        <v>3937500</v>
      </c>
      <c r="H16" s="42">
        <v>0</v>
      </c>
      <c r="I16" s="41">
        <f>G16*(1-H16)</f>
        <v>3937500</v>
      </c>
      <c r="J16" s="380" t="s">
        <v>595</v>
      </c>
      <c r="K16" s="43">
        <f t="shared" ref="K16:K21" si="7">1/3</f>
        <v>0.33333333333333331</v>
      </c>
      <c r="L16" s="41">
        <f>I16*K16</f>
        <v>1312500</v>
      </c>
      <c r="M16" s="38"/>
      <c r="N16" s="11">
        <v>1</v>
      </c>
      <c r="O16" s="31">
        <v>7</v>
      </c>
      <c r="P16" s="386">
        <f>IF(O16="","",(L16-N16)/O16)</f>
        <v>187499.85714285713</v>
      </c>
    </row>
    <row r="17" spans="2:16" x14ac:dyDescent="0.15">
      <c r="B17" s="1002"/>
      <c r="C17" s="569" t="s">
        <v>251</v>
      </c>
      <c r="D17" s="380" t="s">
        <v>623</v>
      </c>
      <c r="E17" s="41">
        <v>2</v>
      </c>
      <c r="F17" s="41" t="s">
        <v>88</v>
      </c>
      <c r="G17" s="41">
        <f>920000*2</f>
        <v>1840000</v>
      </c>
      <c r="H17" s="42">
        <v>0</v>
      </c>
      <c r="I17" s="41">
        <f>G17*(1-H17)</f>
        <v>1840000</v>
      </c>
      <c r="J17" s="44" t="s">
        <v>595</v>
      </c>
      <c r="K17" s="43">
        <f t="shared" si="7"/>
        <v>0.33333333333333331</v>
      </c>
      <c r="L17" s="41">
        <f t="shared" ref="L17:L57" si="8">I17*K17</f>
        <v>613333.33333333326</v>
      </c>
      <c r="M17" s="38">
        <v>0</v>
      </c>
      <c r="N17" s="11">
        <v>1</v>
      </c>
      <c r="O17" s="31">
        <v>4</v>
      </c>
      <c r="P17" s="386">
        <f t="shared" ref="P17:P57" si="9">IF(O17="","",(L17-N17)/O17)</f>
        <v>153333.08333333331</v>
      </c>
    </row>
    <row r="18" spans="2:16" x14ac:dyDescent="0.15">
      <c r="B18" s="1002"/>
      <c r="C18" s="569" t="s">
        <v>420</v>
      </c>
      <c r="D18" s="41" t="s">
        <v>421</v>
      </c>
      <c r="E18" s="41">
        <v>1</v>
      </c>
      <c r="F18" s="41" t="s">
        <v>53</v>
      </c>
      <c r="G18" s="41">
        <v>163170</v>
      </c>
      <c r="H18" s="42">
        <v>0</v>
      </c>
      <c r="I18" s="41">
        <f t="shared" ref="I18:I62" si="10">G18*(1-H18)</f>
        <v>163170</v>
      </c>
      <c r="J18" s="41" t="s">
        <v>595</v>
      </c>
      <c r="K18" s="43">
        <f t="shared" si="7"/>
        <v>0.33333333333333331</v>
      </c>
      <c r="L18" s="41">
        <f t="shared" si="8"/>
        <v>54390</v>
      </c>
      <c r="M18" s="26"/>
      <c r="N18" s="11">
        <v>1</v>
      </c>
      <c r="O18" s="11">
        <v>7</v>
      </c>
      <c r="P18" s="386">
        <f>IF(O18="","",(L18-N18)/O18)</f>
        <v>7769.8571428571431</v>
      </c>
    </row>
    <row r="19" spans="2:16" x14ac:dyDescent="0.15">
      <c r="B19" s="1002"/>
      <c r="C19" s="569" t="s">
        <v>422</v>
      </c>
      <c r="D19" s="380" t="s">
        <v>575</v>
      </c>
      <c r="E19" s="41">
        <v>1</v>
      </c>
      <c r="F19" s="41" t="s">
        <v>53</v>
      </c>
      <c r="G19" s="41">
        <v>843000</v>
      </c>
      <c r="H19" s="42">
        <v>0</v>
      </c>
      <c r="I19" s="41">
        <f t="shared" si="10"/>
        <v>843000</v>
      </c>
      <c r="J19" s="41" t="s">
        <v>595</v>
      </c>
      <c r="K19" s="43">
        <f t="shared" si="7"/>
        <v>0.33333333333333331</v>
      </c>
      <c r="L19" s="41">
        <f t="shared" si="8"/>
        <v>281000</v>
      </c>
      <c r="M19" s="26"/>
      <c r="N19" s="11">
        <v>1</v>
      </c>
      <c r="O19" s="11">
        <v>7</v>
      </c>
      <c r="P19" s="386">
        <f t="shared" si="9"/>
        <v>40142.714285714283</v>
      </c>
    </row>
    <row r="20" spans="2:16" x14ac:dyDescent="0.15">
      <c r="B20" s="1002"/>
      <c r="C20" s="569" t="s">
        <v>576</v>
      </c>
      <c r="D20" s="380" t="s">
        <v>577</v>
      </c>
      <c r="E20" s="41">
        <v>1</v>
      </c>
      <c r="F20" s="41" t="s">
        <v>53</v>
      </c>
      <c r="G20" s="41">
        <v>1802000</v>
      </c>
      <c r="H20" s="42">
        <v>0</v>
      </c>
      <c r="I20" s="41">
        <f t="shared" si="10"/>
        <v>1802000</v>
      </c>
      <c r="J20" s="41" t="s">
        <v>595</v>
      </c>
      <c r="K20" s="43">
        <f t="shared" si="7"/>
        <v>0.33333333333333331</v>
      </c>
      <c r="L20" s="41">
        <f t="shared" si="8"/>
        <v>600666.66666666663</v>
      </c>
      <c r="M20" s="26"/>
      <c r="N20" s="11">
        <v>1</v>
      </c>
      <c r="O20" s="11">
        <v>7</v>
      </c>
      <c r="P20" s="386">
        <f t="shared" si="9"/>
        <v>85809.380952380947</v>
      </c>
    </row>
    <row r="21" spans="2:16" x14ac:dyDescent="0.15">
      <c r="B21" s="1002"/>
      <c r="C21" s="569" t="s">
        <v>624</v>
      </c>
      <c r="D21" s="380" t="s">
        <v>625</v>
      </c>
      <c r="E21" s="41">
        <v>1</v>
      </c>
      <c r="F21" s="41" t="s">
        <v>626</v>
      </c>
      <c r="G21" s="41">
        <v>248000</v>
      </c>
      <c r="H21" s="42">
        <v>0</v>
      </c>
      <c r="I21" s="41">
        <f t="shared" si="10"/>
        <v>248000</v>
      </c>
      <c r="J21" s="44" t="s">
        <v>595</v>
      </c>
      <c r="K21" s="43">
        <f t="shared" si="7"/>
        <v>0.33333333333333331</v>
      </c>
      <c r="L21" s="41">
        <f t="shared" si="8"/>
        <v>82666.666666666657</v>
      </c>
      <c r="M21" s="26"/>
      <c r="N21" s="11">
        <v>1</v>
      </c>
      <c r="O21" s="11">
        <v>7</v>
      </c>
      <c r="P21" s="386">
        <f t="shared" si="9"/>
        <v>11809.38095238095</v>
      </c>
    </row>
    <row r="22" spans="2:16" x14ac:dyDescent="0.15">
      <c r="B22" s="1002"/>
      <c r="C22" s="570"/>
      <c r="D22" s="41"/>
      <c r="E22" s="41"/>
      <c r="F22" s="41"/>
      <c r="G22" s="41"/>
      <c r="H22" s="42"/>
      <c r="I22" s="41">
        <f t="shared" si="10"/>
        <v>0</v>
      </c>
      <c r="J22" s="41"/>
      <c r="K22" s="43"/>
      <c r="L22" s="41">
        <f t="shared" si="8"/>
        <v>0</v>
      </c>
      <c r="M22" s="26"/>
      <c r="N22" s="11">
        <f t="shared" ref="N22:N57" si="11">L22*M22</f>
        <v>0</v>
      </c>
      <c r="O22" s="11"/>
      <c r="P22" s="386" t="str">
        <f t="shared" si="9"/>
        <v/>
      </c>
    </row>
    <row r="23" spans="2:16" x14ac:dyDescent="0.15">
      <c r="B23" s="1002"/>
      <c r="C23" s="41"/>
      <c r="D23" s="41"/>
      <c r="E23" s="41"/>
      <c r="F23" s="41"/>
      <c r="G23" s="41"/>
      <c r="H23" s="42"/>
      <c r="I23" s="41">
        <f t="shared" si="10"/>
        <v>0</v>
      </c>
      <c r="J23" s="41"/>
      <c r="K23" s="43"/>
      <c r="L23" s="41">
        <f t="shared" si="8"/>
        <v>0</v>
      </c>
      <c r="M23" s="26"/>
      <c r="N23" s="11">
        <f t="shared" si="11"/>
        <v>0</v>
      </c>
      <c r="O23" s="11"/>
      <c r="P23" s="386" t="str">
        <f t="shared" si="9"/>
        <v/>
      </c>
    </row>
    <row r="24" spans="2:16" x14ac:dyDescent="0.15">
      <c r="B24" s="1002"/>
      <c r="C24" s="41"/>
      <c r="D24" s="41"/>
      <c r="E24" s="41"/>
      <c r="F24" s="41"/>
      <c r="G24" s="41"/>
      <c r="H24" s="42"/>
      <c r="I24" s="41">
        <f t="shared" si="10"/>
        <v>0</v>
      </c>
      <c r="J24" s="41"/>
      <c r="K24" s="43"/>
      <c r="L24" s="41">
        <f t="shared" si="8"/>
        <v>0</v>
      </c>
      <c r="M24" s="26"/>
      <c r="N24" s="11">
        <f t="shared" si="11"/>
        <v>0</v>
      </c>
      <c r="O24" s="11"/>
      <c r="P24" s="386" t="str">
        <f t="shared" si="9"/>
        <v/>
      </c>
    </row>
    <row r="25" spans="2:16" x14ac:dyDescent="0.15">
      <c r="B25" s="1002"/>
      <c r="C25" s="41"/>
      <c r="D25" s="41"/>
      <c r="E25" s="41"/>
      <c r="F25" s="41"/>
      <c r="G25" s="41"/>
      <c r="H25" s="42"/>
      <c r="I25" s="41">
        <f t="shared" si="10"/>
        <v>0</v>
      </c>
      <c r="J25" s="41"/>
      <c r="K25" s="43"/>
      <c r="L25" s="41">
        <f t="shared" si="8"/>
        <v>0</v>
      </c>
      <c r="M25" s="26"/>
      <c r="N25" s="11">
        <f t="shared" si="11"/>
        <v>0</v>
      </c>
      <c r="O25" s="11"/>
      <c r="P25" s="386" t="str">
        <f t="shared" si="9"/>
        <v/>
      </c>
    </row>
    <row r="26" spans="2:16" x14ac:dyDescent="0.15">
      <c r="B26" s="1002"/>
      <c r="C26" s="41"/>
      <c r="D26" s="41"/>
      <c r="E26" s="41"/>
      <c r="F26" s="41"/>
      <c r="G26" s="41"/>
      <c r="H26" s="42"/>
      <c r="I26" s="41">
        <f t="shared" si="10"/>
        <v>0</v>
      </c>
      <c r="J26" s="44"/>
      <c r="K26" s="43"/>
      <c r="L26" s="41">
        <f t="shared" si="8"/>
        <v>0</v>
      </c>
      <c r="M26" s="26"/>
      <c r="N26" s="11">
        <f t="shared" si="11"/>
        <v>0</v>
      </c>
      <c r="O26" s="11"/>
      <c r="P26" s="386" t="str">
        <f t="shared" si="9"/>
        <v/>
      </c>
    </row>
    <row r="27" spans="2:16" x14ac:dyDescent="0.15">
      <c r="B27" s="1002"/>
      <c r="C27" s="41"/>
      <c r="D27" s="41"/>
      <c r="E27" s="41"/>
      <c r="F27" s="41"/>
      <c r="G27" s="41"/>
      <c r="H27" s="42"/>
      <c r="I27" s="41">
        <f t="shared" si="10"/>
        <v>0</v>
      </c>
      <c r="J27" s="41"/>
      <c r="K27" s="43"/>
      <c r="L27" s="41">
        <f t="shared" si="8"/>
        <v>0</v>
      </c>
      <c r="M27" s="26"/>
      <c r="N27" s="11">
        <f t="shared" si="11"/>
        <v>0</v>
      </c>
      <c r="O27" s="11"/>
      <c r="P27" s="386" t="str">
        <f t="shared" si="9"/>
        <v/>
      </c>
    </row>
    <row r="28" spans="2:16" x14ac:dyDescent="0.15">
      <c r="B28" s="1002"/>
      <c r="C28" s="41"/>
      <c r="D28" s="41"/>
      <c r="E28" s="41"/>
      <c r="F28" s="41"/>
      <c r="G28" s="41"/>
      <c r="H28" s="42"/>
      <c r="I28" s="41">
        <f t="shared" si="10"/>
        <v>0</v>
      </c>
      <c r="J28" s="41"/>
      <c r="K28" s="43"/>
      <c r="L28" s="41">
        <f t="shared" si="8"/>
        <v>0</v>
      </c>
      <c r="M28" s="26"/>
      <c r="N28" s="11">
        <f t="shared" si="11"/>
        <v>0</v>
      </c>
      <c r="O28" s="11"/>
      <c r="P28" s="386" t="str">
        <f t="shared" si="9"/>
        <v/>
      </c>
    </row>
    <row r="29" spans="2:16" x14ac:dyDescent="0.15">
      <c r="B29" s="1002"/>
      <c r="C29" s="41"/>
      <c r="D29" s="41"/>
      <c r="E29" s="41"/>
      <c r="F29" s="41"/>
      <c r="G29" s="41"/>
      <c r="H29" s="42"/>
      <c r="I29" s="41">
        <f t="shared" si="10"/>
        <v>0</v>
      </c>
      <c r="J29" s="41"/>
      <c r="K29" s="43"/>
      <c r="L29" s="41">
        <f t="shared" si="8"/>
        <v>0</v>
      </c>
      <c r="M29" s="26"/>
      <c r="N29" s="11">
        <f t="shared" si="11"/>
        <v>0</v>
      </c>
      <c r="O29" s="11"/>
      <c r="P29" s="386" t="str">
        <f t="shared" si="9"/>
        <v/>
      </c>
    </row>
    <row r="30" spans="2:16" x14ac:dyDescent="0.15">
      <c r="B30" s="1002"/>
      <c r="C30" s="41"/>
      <c r="D30" s="41"/>
      <c r="E30" s="41"/>
      <c r="F30" s="41"/>
      <c r="G30" s="41"/>
      <c r="H30" s="42"/>
      <c r="I30" s="41">
        <f t="shared" si="10"/>
        <v>0</v>
      </c>
      <c r="J30" s="41"/>
      <c r="K30" s="43"/>
      <c r="L30" s="41">
        <f t="shared" si="8"/>
        <v>0</v>
      </c>
      <c r="M30" s="26"/>
      <c r="N30" s="11">
        <f t="shared" si="11"/>
        <v>0</v>
      </c>
      <c r="O30" s="11"/>
      <c r="P30" s="386" t="str">
        <f t="shared" si="9"/>
        <v/>
      </c>
    </row>
    <row r="31" spans="2:16" x14ac:dyDescent="0.15">
      <c r="B31" s="1002"/>
      <c r="C31" s="41"/>
      <c r="D31" s="41"/>
      <c r="E31" s="41"/>
      <c r="F31" s="41"/>
      <c r="G31" s="41"/>
      <c r="H31" s="42"/>
      <c r="I31" s="41">
        <f t="shared" si="10"/>
        <v>0</v>
      </c>
      <c r="J31" s="41"/>
      <c r="K31" s="43"/>
      <c r="L31" s="41">
        <f t="shared" si="8"/>
        <v>0</v>
      </c>
      <c r="M31" s="26"/>
      <c r="N31" s="11">
        <f t="shared" si="11"/>
        <v>0</v>
      </c>
      <c r="O31" s="11"/>
      <c r="P31" s="386" t="str">
        <f t="shared" si="9"/>
        <v/>
      </c>
    </row>
    <row r="32" spans="2:16" x14ac:dyDescent="0.15">
      <c r="B32" s="1002"/>
      <c r="C32" s="41"/>
      <c r="D32" s="41"/>
      <c r="E32" s="41"/>
      <c r="F32" s="41"/>
      <c r="G32" s="41"/>
      <c r="H32" s="42"/>
      <c r="I32" s="41">
        <f t="shared" si="10"/>
        <v>0</v>
      </c>
      <c r="J32" s="41"/>
      <c r="K32" s="43"/>
      <c r="L32" s="41">
        <f t="shared" si="8"/>
        <v>0</v>
      </c>
      <c r="M32" s="26"/>
      <c r="N32" s="11">
        <f t="shared" si="11"/>
        <v>0</v>
      </c>
      <c r="O32" s="11"/>
      <c r="P32" s="386" t="str">
        <f t="shared" si="9"/>
        <v/>
      </c>
    </row>
    <row r="33" spans="2:16" x14ac:dyDescent="0.15">
      <c r="B33" s="1002"/>
      <c r="C33" s="41"/>
      <c r="D33" s="41"/>
      <c r="E33" s="41"/>
      <c r="F33" s="41"/>
      <c r="G33" s="41"/>
      <c r="H33" s="42"/>
      <c r="I33" s="41">
        <f t="shared" si="10"/>
        <v>0</v>
      </c>
      <c r="J33" s="41"/>
      <c r="K33" s="43"/>
      <c r="L33" s="41">
        <f t="shared" si="8"/>
        <v>0</v>
      </c>
      <c r="M33" s="26"/>
      <c r="N33" s="11">
        <f t="shared" si="11"/>
        <v>0</v>
      </c>
      <c r="O33" s="11"/>
      <c r="P33" s="386" t="str">
        <f t="shared" si="9"/>
        <v/>
      </c>
    </row>
    <row r="34" spans="2:16" x14ac:dyDescent="0.15">
      <c r="B34" s="1002"/>
      <c r="C34" s="41"/>
      <c r="D34" s="41"/>
      <c r="E34" s="41"/>
      <c r="F34" s="41"/>
      <c r="G34" s="41"/>
      <c r="H34" s="42"/>
      <c r="I34" s="41">
        <f t="shared" si="10"/>
        <v>0</v>
      </c>
      <c r="J34" s="41"/>
      <c r="K34" s="43"/>
      <c r="L34" s="41">
        <f t="shared" si="8"/>
        <v>0</v>
      </c>
      <c r="M34" s="26"/>
      <c r="N34" s="11">
        <f t="shared" si="11"/>
        <v>0</v>
      </c>
      <c r="O34" s="11"/>
      <c r="P34" s="386" t="str">
        <f t="shared" si="9"/>
        <v/>
      </c>
    </row>
    <row r="35" spans="2:16" x14ac:dyDescent="0.15">
      <c r="B35" s="1002"/>
      <c r="C35" s="41"/>
      <c r="D35" s="41"/>
      <c r="E35" s="41"/>
      <c r="F35" s="41"/>
      <c r="G35" s="41"/>
      <c r="H35" s="42"/>
      <c r="I35" s="41">
        <f t="shared" si="10"/>
        <v>0</v>
      </c>
      <c r="J35" s="41"/>
      <c r="K35" s="43"/>
      <c r="L35" s="41">
        <f t="shared" si="8"/>
        <v>0</v>
      </c>
      <c r="M35" s="26"/>
      <c r="N35" s="11">
        <f t="shared" si="11"/>
        <v>0</v>
      </c>
      <c r="O35" s="11"/>
      <c r="P35" s="386" t="str">
        <f t="shared" si="9"/>
        <v/>
      </c>
    </row>
    <row r="36" spans="2:16" x14ac:dyDescent="0.15">
      <c r="B36" s="1002"/>
      <c r="C36" s="41"/>
      <c r="D36" s="41"/>
      <c r="E36" s="41"/>
      <c r="F36" s="41"/>
      <c r="G36" s="41"/>
      <c r="H36" s="42"/>
      <c r="I36" s="41">
        <f t="shared" si="10"/>
        <v>0</v>
      </c>
      <c r="J36" s="41"/>
      <c r="K36" s="43"/>
      <c r="L36" s="41">
        <f t="shared" si="8"/>
        <v>0</v>
      </c>
      <c r="M36" s="26"/>
      <c r="N36" s="11">
        <f t="shared" si="11"/>
        <v>0</v>
      </c>
      <c r="O36" s="11"/>
      <c r="P36" s="386" t="str">
        <f t="shared" si="9"/>
        <v/>
      </c>
    </row>
    <row r="37" spans="2:16" x14ac:dyDescent="0.15">
      <c r="B37" s="1002"/>
      <c r="C37" s="41"/>
      <c r="D37" s="41"/>
      <c r="E37" s="47"/>
      <c r="F37" s="41"/>
      <c r="G37" s="41"/>
      <c r="H37" s="42"/>
      <c r="I37" s="41">
        <f t="shared" si="10"/>
        <v>0</v>
      </c>
      <c r="J37" s="44"/>
      <c r="K37" s="43"/>
      <c r="L37" s="41">
        <f t="shared" si="8"/>
        <v>0</v>
      </c>
      <c r="M37" s="26"/>
      <c r="N37" s="11">
        <f t="shared" si="11"/>
        <v>0</v>
      </c>
      <c r="O37" s="11"/>
      <c r="P37" s="386" t="str">
        <f t="shared" si="9"/>
        <v/>
      </c>
    </row>
    <row r="38" spans="2:16" x14ac:dyDescent="0.15">
      <c r="B38" s="1002"/>
      <c r="C38" s="41"/>
      <c r="D38" s="41"/>
      <c r="E38" s="47"/>
      <c r="F38" s="41"/>
      <c r="G38" s="41"/>
      <c r="H38" s="42"/>
      <c r="I38" s="41">
        <f t="shared" si="10"/>
        <v>0</v>
      </c>
      <c r="J38" s="41"/>
      <c r="K38" s="43"/>
      <c r="L38" s="41">
        <f t="shared" si="8"/>
        <v>0</v>
      </c>
      <c r="M38" s="26"/>
      <c r="N38" s="11">
        <f t="shared" si="11"/>
        <v>0</v>
      </c>
      <c r="O38" s="11"/>
      <c r="P38" s="386" t="str">
        <f t="shared" si="9"/>
        <v/>
      </c>
    </row>
    <row r="39" spans="2:16" x14ac:dyDescent="0.15">
      <c r="B39" s="1002"/>
      <c r="C39" s="41"/>
      <c r="D39" s="41"/>
      <c r="E39" s="47"/>
      <c r="F39" s="41"/>
      <c r="G39" s="41"/>
      <c r="H39" s="42"/>
      <c r="I39" s="41">
        <f t="shared" si="10"/>
        <v>0</v>
      </c>
      <c r="J39" s="41"/>
      <c r="K39" s="43"/>
      <c r="L39" s="41">
        <f t="shared" si="8"/>
        <v>0</v>
      </c>
      <c r="M39" s="26"/>
      <c r="N39" s="11">
        <f t="shared" si="11"/>
        <v>0</v>
      </c>
      <c r="O39" s="11"/>
      <c r="P39" s="386" t="str">
        <f t="shared" si="9"/>
        <v/>
      </c>
    </row>
    <row r="40" spans="2:16" x14ac:dyDescent="0.15">
      <c r="B40" s="1002"/>
      <c r="C40" s="41"/>
      <c r="D40" s="41"/>
      <c r="E40" s="41"/>
      <c r="F40" s="41"/>
      <c r="G40" s="41"/>
      <c r="H40" s="42"/>
      <c r="I40" s="41">
        <f t="shared" si="10"/>
        <v>0</v>
      </c>
      <c r="J40" s="44"/>
      <c r="K40" s="43"/>
      <c r="L40" s="41">
        <f t="shared" si="8"/>
        <v>0</v>
      </c>
      <c r="M40" s="26"/>
      <c r="N40" s="11">
        <f t="shared" si="11"/>
        <v>0</v>
      </c>
      <c r="O40" s="11"/>
      <c r="P40" s="386" t="str">
        <f t="shared" si="9"/>
        <v/>
      </c>
    </row>
    <row r="41" spans="2:16" x14ac:dyDescent="0.15">
      <c r="B41" s="1002"/>
      <c r="C41" s="41"/>
      <c r="D41" s="41"/>
      <c r="E41" s="41"/>
      <c r="F41" s="41"/>
      <c r="G41" s="41"/>
      <c r="H41" s="42"/>
      <c r="I41" s="41">
        <f t="shared" si="10"/>
        <v>0</v>
      </c>
      <c r="J41" s="44"/>
      <c r="K41" s="43"/>
      <c r="L41" s="41">
        <f t="shared" si="8"/>
        <v>0</v>
      </c>
      <c r="M41" s="26"/>
      <c r="N41" s="11">
        <f t="shared" si="11"/>
        <v>0</v>
      </c>
      <c r="O41" s="11"/>
      <c r="P41" s="386" t="str">
        <f t="shared" si="9"/>
        <v/>
      </c>
    </row>
    <row r="42" spans="2:16" x14ac:dyDescent="0.15">
      <c r="B42" s="1002"/>
      <c r="C42" s="41"/>
      <c r="D42" s="41"/>
      <c r="E42" s="41"/>
      <c r="F42" s="41"/>
      <c r="G42" s="41"/>
      <c r="H42" s="42"/>
      <c r="I42" s="41">
        <f t="shared" si="10"/>
        <v>0</v>
      </c>
      <c r="J42" s="41"/>
      <c r="K42" s="43"/>
      <c r="L42" s="41">
        <f t="shared" si="8"/>
        <v>0</v>
      </c>
      <c r="M42" s="26"/>
      <c r="N42" s="11">
        <f t="shared" si="11"/>
        <v>0</v>
      </c>
      <c r="O42" s="11"/>
      <c r="P42" s="386" t="str">
        <f t="shared" si="9"/>
        <v/>
      </c>
    </row>
    <row r="43" spans="2:16" x14ac:dyDescent="0.15">
      <c r="B43" s="1002"/>
      <c r="C43" s="41"/>
      <c r="D43" s="41"/>
      <c r="E43" s="41"/>
      <c r="F43" s="41"/>
      <c r="G43" s="41"/>
      <c r="H43" s="42"/>
      <c r="I43" s="41">
        <f t="shared" si="10"/>
        <v>0</v>
      </c>
      <c r="J43" s="41"/>
      <c r="K43" s="43"/>
      <c r="L43" s="41">
        <f t="shared" si="8"/>
        <v>0</v>
      </c>
      <c r="M43" s="26"/>
      <c r="N43" s="11">
        <f t="shared" si="11"/>
        <v>0</v>
      </c>
      <c r="O43" s="11"/>
      <c r="P43" s="386" t="str">
        <f t="shared" si="9"/>
        <v/>
      </c>
    </row>
    <row r="44" spans="2:16" x14ac:dyDescent="0.15">
      <c r="B44" s="1002"/>
      <c r="C44" s="41"/>
      <c r="D44" s="41"/>
      <c r="E44" s="41"/>
      <c r="F44" s="41"/>
      <c r="G44" s="41"/>
      <c r="H44" s="42"/>
      <c r="I44" s="41">
        <f t="shared" si="10"/>
        <v>0</v>
      </c>
      <c r="J44" s="41"/>
      <c r="K44" s="43"/>
      <c r="L44" s="41">
        <f t="shared" si="8"/>
        <v>0</v>
      </c>
      <c r="M44" s="26"/>
      <c r="N44" s="11">
        <f t="shared" si="11"/>
        <v>0</v>
      </c>
      <c r="O44" s="11"/>
      <c r="P44" s="386" t="str">
        <f t="shared" si="9"/>
        <v/>
      </c>
    </row>
    <row r="45" spans="2:16" x14ac:dyDescent="0.15">
      <c r="B45" s="1002"/>
      <c r="C45" s="41"/>
      <c r="D45" s="41"/>
      <c r="E45" s="41"/>
      <c r="F45" s="41"/>
      <c r="G45" s="41"/>
      <c r="H45" s="42"/>
      <c r="I45" s="41">
        <f t="shared" si="10"/>
        <v>0</v>
      </c>
      <c r="J45" s="41"/>
      <c r="K45" s="43"/>
      <c r="L45" s="41">
        <f t="shared" si="8"/>
        <v>0</v>
      </c>
      <c r="M45" s="26"/>
      <c r="N45" s="11">
        <f t="shared" si="11"/>
        <v>0</v>
      </c>
      <c r="O45" s="11"/>
      <c r="P45" s="386" t="str">
        <f t="shared" si="9"/>
        <v/>
      </c>
    </row>
    <row r="46" spans="2:16" x14ac:dyDescent="0.15">
      <c r="B46" s="1002"/>
      <c r="C46" s="41"/>
      <c r="D46" s="41"/>
      <c r="E46" s="41"/>
      <c r="F46" s="41"/>
      <c r="G46" s="41"/>
      <c r="H46" s="42"/>
      <c r="I46" s="41">
        <f t="shared" si="10"/>
        <v>0</v>
      </c>
      <c r="J46" s="41"/>
      <c r="K46" s="43"/>
      <c r="L46" s="41">
        <f t="shared" si="8"/>
        <v>0</v>
      </c>
      <c r="M46" s="26"/>
      <c r="N46" s="11">
        <f t="shared" si="11"/>
        <v>0</v>
      </c>
      <c r="O46" s="11"/>
      <c r="P46" s="386" t="str">
        <f t="shared" si="9"/>
        <v/>
      </c>
    </row>
    <row r="47" spans="2:16" x14ac:dyDescent="0.15">
      <c r="B47" s="1002"/>
      <c r="C47" s="41"/>
      <c r="D47" s="41"/>
      <c r="E47" s="41"/>
      <c r="F47" s="41"/>
      <c r="G47" s="41"/>
      <c r="H47" s="42"/>
      <c r="I47" s="41">
        <f t="shared" si="10"/>
        <v>0</v>
      </c>
      <c r="J47" s="41"/>
      <c r="K47" s="43"/>
      <c r="L47" s="41">
        <f t="shared" si="8"/>
        <v>0</v>
      </c>
      <c r="M47" s="26"/>
      <c r="N47" s="11">
        <f t="shared" si="11"/>
        <v>0</v>
      </c>
      <c r="O47" s="11"/>
      <c r="P47" s="386" t="str">
        <f t="shared" si="9"/>
        <v/>
      </c>
    </row>
    <row r="48" spans="2:16" x14ac:dyDescent="0.15">
      <c r="B48" s="1002"/>
      <c r="C48" s="41"/>
      <c r="D48" s="41"/>
      <c r="E48" s="41"/>
      <c r="F48" s="41"/>
      <c r="G48" s="41"/>
      <c r="H48" s="42"/>
      <c r="I48" s="41">
        <f t="shared" si="10"/>
        <v>0</v>
      </c>
      <c r="J48" s="41"/>
      <c r="K48" s="43"/>
      <c r="L48" s="41">
        <f t="shared" si="8"/>
        <v>0</v>
      </c>
      <c r="M48" s="26"/>
      <c r="N48" s="11">
        <f t="shared" si="11"/>
        <v>0</v>
      </c>
      <c r="O48" s="11"/>
      <c r="P48" s="386" t="str">
        <f t="shared" si="9"/>
        <v/>
      </c>
    </row>
    <row r="49" spans="2:16" x14ac:dyDescent="0.15">
      <c r="B49" s="1002"/>
      <c r="C49" s="41"/>
      <c r="D49" s="41"/>
      <c r="E49" s="41"/>
      <c r="F49" s="41"/>
      <c r="G49" s="41"/>
      <c r="H49" s="42"/>
      <c r="I49" s="41">
        <f t="shared" si="10"/>
        <v>0</v>
      </c>
      <c r="J49" s="41"/>
      <c r="K49" s="43"/>
      <c r="L49" s="41">
        <f t="shared" si="8"/>
        <v>0</v>
      </c>
      <c r="M49" s="26"/>
      <c r="N49" s="11">
        <f t="shared" si="11"/>
        <v>0</v>
      </c>
      <c r="O49" s="11"/>
      <c r="P49" s="386" t="str">
        <f t="shared" si="9"/>
        <v/>
      </c>
    </row>
    <row r="50" spans="2:16" x14ac:dyDescent="0.15">
      <c r="B50" s="1002"/>
      <c r="C50" s="41"/>
      <c r="D50" s="41"/>
      <c r="E50" s="41"/>
      <c r="F50" s="41"/>
      <c r="G50" s="41"/>
      <c r="H50" s="42"/>
      <c r="I50" s="41">
        <f t="shared" si="10"/>
        <v>0</v>
      </c>
      <c r="J50" s="41"/>
      <c r="K50" s="43"/>
      <c r="L50" s="41">
        <f t="shared" si="8"/>
        <v>0</v>
      </c>
      <c r="M50" s="26"/>
      <c r="N50" s="11">
        <f t="shared" si="11"/>
        <v>0</v>
      </c>
      <c r="O50" s="11"/>
      <c r="P50" s="386" t="str">
        <f t="shared" si="9"/>
        <v/>
      </c>
    </row>
    <row r="51" spans="2:16" x14ac:dyDescent="0.15">
      <c r="B51" s="1002"/>
      <c r="C51" s="41"/>
      <c r="D51" s="41"/>
      <c r="E51" s="41"/>
      <c r="F51" s="41"/>
      <c r="G51" s="41"/>
      <c r="H51" s="42"/>
      <c r="I51" s="41">
        <f t="shared" si="10"/>
        <v>0</v>
      </c>
      <c r="J51" s="41"/>
      <c r="K51" s="43"/>
      <c r="L51" s="41">
        <f t="shared" si="8"/>
        <v>0</v>
      </c>
      <c r="M51" s="26"/>
      <c r="N51" s="11">
        <f t="shared" si="11"/>
        <v>0</v>
      </c>
      <c r="O51" s="11"/>
      <c r="P51" s="386" t="str">
        <f t="shared" si="9"/>
        <v/>
      </c>
    </row>
    <row r="52" spans="2:16" x14ac:dyDescent="0.15">
      <c r="B52" s="1002"/>
      <c r="C52" s="41"/>
      <c r="D52" s="41"/>
      <c r="E52" s="41"/>
      <c r="F52" s="41"/>
      <c r="G52" s="41"/>
      <c r="H52" s="42"/>
      <c r="I52" s="41">
        <f t="shared" si="10"/>
        <v>0</v>
      </c>
      <c r="J52" s="41"/>
      <c r="K52" s="43"/>
      <c r="L52" s="41">
        <f t="shared" si="8"/>
        <v>0</v>
      </c>
      <c r="M52" s="26"/>
      <c r="N52" s="11">
        <f t="shared" si="11"/>
        <v>0</v>
      </c>
      <c r="O52" s="11"/>
      <c r="P52" s="386" t="str">
        <f t="shared" si="9"/>
        <v/>
      </c>
    </row>
    <row r="53" spans="2:16" x14ac:dyDescent="0.15">
      <c r="B53" s="1002"/>
      <c r="C53" s="41"/>
      <c r="D53" s="41"/>
      <c r="E53" s="41"/>
      <c r="F53" s="41"/>
      <c r="G53" s="41"/>
      <c r="H53" s="42"/>
      <c r="I53" s="41">
        <f t="shared" si="10"/>
        <v>0</v>
      </c>
      <c r="J53" s="41"/>
      <c r="K53" s="43"/>
      <c r="L53" s="41">
        <f t="shared" si="8"/>
        <v>0</v>
      </c>
      <c r="M53" s="26"/>
      <c r="N53" s="11">
        <f t="shared" si="11"/>
        <v>0</v>
      </c>
      <c r="O53" s="11"/>
      <c r="P53" s="386" t="str">
        <f t="shared" si="9"/>
        <v/>
      </c>
    </row>
    <row r="54" spans="2:16" x14ac:dyDescent="0.15">
      <c r="B54" s="1002"/>
      <c r="C54" s="41"/>
      <c r="D54" s="41"/>
      <c r="E54" s="41"/>
      <c r="F54" s="41"/>
      <c r="G54" s="41"/>
      <c r="H54" s="42"/>
      <c r="I54" s="41">
        <f t="shared" si="10"/>
        <v>0</v>
      </c>
      <c r="J54" s="41"/>
      <c r="K54" s="43"/>
      <c r="L54" s="41">
        <f t="shared" si="8"/>
        <v>0</v>
      </c>
      <c r="M54" s="26"/>
      <c r="N54" s="11">
        <f t="shared" si="11"/>
        <v>0</v>
      </c>
      <c r="O54" s="11"/>
      <c r="P54" s="386" t="str">
        <f t="shared" si="9"/>
        <v/>
      </c>
    </row>
    <row r="55" spans="2:16" x14ac:dyDescent="0.15">
      <c r="B55" s="1002"/>
      <c r="C55" s="41"/>
      <c r="D55" s="44"/>
      <c r="E55" s="41"/>
      <c r="F55" s="41"/>
      <c r="G55" s="41"/>
      <c r="H55" s="42"/>
      <c r="I55" s="41">
        <f t="shared" si="10"/>
        <v>0</v>
      </c>
      <c r="J55" s="41"/>
      <c r="K55" s="43"/>
      <c r="L55" s="41">
        <f t="shared" si="8"/>
        <v>0</v>
      </c>
      <c r="M55" s="26"/>
      <c r="N55" s="11">
        <f t="shared" si="11"/>
        <v>0</v>
      </c>
      <c r="O55" s="11"/>
      <c r="P55" s="386" t="str">
        <f t="shared" si="9"/>
        <v/>
      </c>
    </row>
    <row r="56" spans="2:16" x14ac:dyDescent="0.15">
      <c r="B56" s="1002"/>
      <c r="C56" s="41"/>
      <c r="D56" s="44"/>
      <c r="E56" s="41"/>
      <c r="F56" s="41"/>
      <c r="G56" s="41"/>
      <c r="H56" s="42"/>
      <c r="I56" s="41">
        <f t="shared" si="10"/>
        <v>0</v>
      </c>
      <c r="J56" s="44"/>
      <c r="K56" s="43"/>
      <c r="L56" s="41">
        <f t="shared" si="8"/>
        <v>0</v>
      </c>
      <c r="M56" s="26">
        <v>0</v>
      </c>
      <c r="N56" s="11">
        <f t="shared" si="11"/>
        <v>0</v>
      </c>
      <c r="O56" s="11"/>
      <c r="P56" s="386" t="str">
        <f t="shared" si="9"/>
        <v/>
      </c>
    </row>
    <row r="57" spans="2:16" x14ac:dyDescent="0.15">
      <c r="B57" s="1002"/>
      <c r="C57" s="41"/>
      <c r="D57" s="44"/>
      <c r="E57" s="41"/>
      <c r="F57" s="41"/>
      <c r="G57" s="41"/>
      <c r="H57" s="42"/>
      <c r="I57" s="41">
        <f t="shared" si="10"/>
        <v>0</v>
      </c>
      <c r="J57" s="44"/>
      <c r="K57" s="43"/>
      <c r="L57" s="41">
        <f t="shared" si="8"/>
        <v>0</v>
      </c>
      <c r="M57" s="26"/>
      <c r="N57" s="11">
        <f t="shared" si="11"/>
        <v>0</v>
      </c>
      <c r="O57" s="11"/>
      <c r="P57" s="386" t="str">
        <f t="shared" si="9"/>
        <v/>
      </c>
    </row>
    <row r="58" spans="2:16" x14ac:dyDescent="0.15">
      <c r="B58" s="1003"/>
      <c r="C58" s="48" t="s">
        <v>45</v>
      </c>
      <c r="D58" s="48"/>
      <c r="E58" s="48"/>
      <c r="F58" s="49"/>
      <c r="G58" s="48">
        <f>SUM(G16:G55)</f>
        <v>8833670</v>
      </c>
      <c r="H58" s="48"/>
      <c r="I58" s="48">
        <f>SUM(I16:I55)</f>
        <v>8833670</v>
      </c>
      <c r="J58" s="48"/>
      <c r="K58" s="50"/>
      <c r="L58" s="48">
        <f>SUM(L16:L55)</f>
        <v>2944556.666666666</v>
      </c>
      <c r="M58" s="28"/>
      <c r="N58" s="28"/>
      <c r="O58" s="28"/>
      <c r="P58" s="387">
        <f>SUM(P16:P55)</f>
        <v>486364.27380952373</v>
      </c>
    </row>
    <row r="59" spans="2:16" x14ac:dyDescent="0.15">
      <c r="B59" s="996" t="s">
        <v>126</v>
      </c>
      <c r="C59" s="380" t="s">
        <v>492</v>
      </c>
      <c r="D59" s="380" t="s">
        <v>426</v>
      </c>
      <c r="E59" s="572">
        <v>1</v>
      </c>
      <c r="F59" s="44" t="s">
        <v>90</v>
      </c>
      <c r="G59" s="41">
        <f>+D72*10</f>
        <v>3270390</v>
      </c>
      <c r="H59" s="51"/>
      <c r="I59" s="41">
        <f t="shared" si="10"/>
        <v>3270390</v>
      </c>
      <c r="J59" s="44" t="s">
        <v>609</v>
      </c>
      <c r="K59" s="43">
        <v>1</v>
      </c>
      <c r="L59" s="41">
        <f>I59*K59</f>
        <v>3270390</v>
      </c>
      <c r="M59" s="39"/>
      <c r="N59" s="11">
        <v>1</v>
      </c>
      <c r="O59" s="11">
        <v>15</v>
      </c>
      <c r="P59" s="386">
        <f>IF(O59="","",(L59-N59)/O59)</f>
        <v>218025.93333333332</v>
      </c>
    </row>
    <row r="60" spans="2:16" x14ac:dyDescent="0.15">
      <c r="B60" s="1002"/>
      <c r="C60" s="380"/>
      <c r="D60" s="41"/>
      <c r="E60" s="41"/>
      <c r="F60" s="44"/>
      <c r="G60" s="41"/>
      <c r="H60" s="51"/>
      <c r="I60" s="41">
        <f t="shared" si="10"/>
        <v>0</v>
      </c>
      <c r="J60" s="41"/>
      <c r="K60" s="43"/>
      <c r="L60" s="41">
        <f>I60*K60</f>
        <v>0</v>
      </c>
      <c r="M60" s="39"/>
      <c r="N60" s="11">
        <f>L60*M60</f>
        <v>0</v>
      </c>
      <c r="O60" s="11"/>
      <c r="P60" s="386" t="str">
        <f>IF(O60="","",(L60-N60)/O60)</f>
        <v/>
      </c>
    </row>
    <row r="61" spans="2:16" x14ac:dyDescent="0.15">
      <c r="B61" s="1002"/>
      <c r="C61" s="92"/>
      <c r="D61" s="11"/>
      <c r="E61" s="11"/>
      <c r="F61" s="25"/>
      <c r="G61" s="11"/>
      <c r="H61" s="39"/>
      <c r="I61" s="11">
        <f t="shared" si="10"/>
        <v>0</v>
      </c>
      <c r="J61" s="11"/>
      <c r="K61" s="40"/>
      <c r="L61" s="11">
        <f>I61*K61</f>
        <v>0</v>
      </c>
      <c r="M61" s="39"/>
      <c r="N61" s="11">
        <f>L61*M61</f>
        <v>0</v>
      </c>
      <c r="O61" s="11"/>
      <c r="P61" s="386" t="str">
        <f>IF(O61="","",(L61-N61)/O61)</f>
        <v/>
      </c>
    </row>
    <row r="62" spans="2:16" x14ac:dyDescent="0.15">
      <c r="B62" s="1002"/>
      <c r="C62" s="11"/>
      <c r="D62" s="11"/>
      <c r="E62" s="11"/>
      <c r="F62" s="25"/>
      <c r="G62" s="11"/>
      <c r="H62" s="39"/>
      <c r="I62" s="11">
        <f t="shared" si="10"/>
        <v>0</v>
      </c>
      <c r="J62" s="11"/>
      <c r="K62" s="40"/>
      <c r="L62" s="11">
        <f>I62*K62</f>
        <v>0</v>
      </c>
      <c r="M62" s="39"/>
      <c r="N62" s="11">
        <f>L62*M62</f>
        <v>0</v>
      </c>
      <c r="O62" s="11"/>
      <c r="P62" s="386" t="str">
        <f>IF(O62="","",(L62-N62)/O62)</f>
        <v/>
      </c>
    </row>
    <row r="63" spans="2:16" x14ac:dyDescent="0.15">
      <c r="B63" s="1003"/>
      <c r="C63" s="32" t="s">
        <v>45</v>
      </c>
      <c r="D63" s="28"/>
      <c r="E63" s="28"/>
      <c r="F63" s="29"/>
      <c r="G63" s="28">
        <f>SUM(G59:G62)</f>
        <v>3270390</v>
      </c>
      <c r="H63" s="28"/>
      <c r="I63" s="28">
        <f>SUM(I59:I62)</f>
        <v>3270390</v>
      </c>
      <c r="J63" s="28"/>
      <c r="K63" s="30"/>
      <c r="L63" s="28">
        <f>SUM(L59:L62)</f>
        <v>3270390</v>
      </c>
      <c r="M63" s="28"/>
      <c r="N63" s="28"/>
      <c r="O63" s="28"/>
      <c r="P63" s="387">
        <f>SUM(P59:P62)</f>
        <v>218025.93333333332</v>
      </c>
    </row>
    <row r="64" spans="2:16" ht="14.25" thickBot="1" x14ac:dyDescent="0.2">
      <c r="B64" s="33"/>
      <c r="C64" s="34" t="s">
        <v>87</v>
      </c>
      <c r="D64" s="35"/>
      <c r="E64" s="35"/>
      <c r="F64" s="36"/>
      <c r="G64" s="35">
        <f>G15+G58+G63</f>
        <v>93334060</v>
      </c>
      <c r="H64" s="35"/>
      <c r="I64" s="35">
        <f>I15+I58+I63</f>
        <v>93334060</v>
      </c>
      <c r="J64" s="35"/>
      <c r="K64" s="37"/>
      <c r="L64" s="35">
        <f>L15+L58+L63</f>
        <v>34624946.666666664</v>
      </c>
      <c r="M64" s="35"/>
      <c r="N64" s="35"/>
      <c r="O64" s="35"/>
      <c r="P64" s="388">
        <f>P15+P58+P63</f>
        <v>2896493.7810043371</v>
      </c>
    </row>
    <row r="65" spans="3:5" ht="11.25" customHeight="1" x14ac:dyDescent="0.15"/>
    <row r="68" spans="3:5" x14ac:dyDescent="0.15">
      <c r="C68" s="93" t="s">
        <v>554</v>
      </c>
      <c r="D68" s="93"/>
      <c r="E68" s="93"/>
    </row>
    <row r="69" spans="3:5" x14ac:dyDescent="0.15">
      <c r="C69" s="93" t="s">
        <v>428</v>
      </c>
      <c r="D69" s="93">
        <f>+'７－５　サニールージュ部門収支'!P13/10</f>
        <v>239320</v>
      </c>
      <c r="E69" s="93"/>
    </row>
    <row r="70" spans="3:5" x14ac:dyDescent="0.15">
      <c r="C70" s="93" t="s">
        <v>429</v>
      </c>
      <c r="D70" s="93">
        <v>83509</v>
      </c>
      <c r="E70" s="93" t="s">
        <v>430</v>
      </c>
    </row>
    <row r="71" spans="3:5" x14ac:dyDescent="0.15">
      <c r="C71" s="93" t="s">
        <v>58</v>
      </c>
      <c r="D71" s="93">
        <v>4210</v>
      </c>
      <c r="E71" s="93" t="s">
        <v>431</v>
      </c>
    </row>
    <row r="72" spans="3:5" x14ac:dyDescent="0.15">
      <c r="C72" s="93" t="s">
        <v>24</v>
      </c>
      <c r="D72" s="93">
        <f>SUM(D69:D71)</f>
        <v>327039</v>
      </c>
      <c r="E72" s="93"/>
    </row>
  </sheetData>
  <mergeCells count="9">
    <mergeCell ref="J3:J4"/>
    <mergeCell ref="B5:B15"/>
    <mergeCell ref="B16:B58"/>
    <mergeCell ref="B59:B63"/>
    <mergeCell ref="F2:G2"/>
    <mergeCell ref="B3:B4"/>
    <mergeCell ref="C3:C4"/>
    <mergeCell ref="D3:D4"/>
    <mergeCell ref="E3:F3"/>
  </mergeCells>
  <phoneticPr fontId="5"/>
  <pageMargins left="0.78740157480314965" right="0.78740157480314965" top="0.78740157480314965" bottom="0.78740157480314965" header="0.39370078740157483" footer="0.39370078740157483"/>
  <pageSetup paperSize="9" scale="5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2"/>
  <sheetViews>
    <sheetView view="pageBreakPreview" zoomScale="70" zoomScaleNormal="100" zoomScaleSheetLayoutView="70" workbookViewId="0">
      <selection activeCell="F7" sqref="F7"/>
    </sheetView>
  </sheetViews>
  <sheetFormatPr defaultRowHeight="13.5" x14ac:dyDescent="0.15"/>
  <cols>
    <col min="1" max="1" width="1.625" style="144" customWidth="1"/>
    <col min="2" max="2" width="7.625" style="144" customWidth="1"/>
    <col min="3" max="3" width="25.625" style="144" customWidth="1"/>
    <col min="4" max="16" width="18.625" style="144" customWidth="1"/>
    <col min="17" max="16384" width="9" style="144"/>
  </cols>
  <sheetData>
    <row r="1" spans="2:16" ht="9.9499999999999993" customHeight="1" x14ac:dyDescent="0.15"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2:16" ht="24.95" customHeight="1" thickBot="1" x14ac:dyDescent="0.2">
      <c r="B2" s="144" t="s">
        <v>555</v>
      </c>
      <c r="F2" s="371" t="s">
        <v>264</v>
      </c>
      <c r="G2" s="144" t="s">
        <v>387</v>
      </c>
      <c r="I2" s="371" t="s">
        <v>265</v>
      </c>
      <c r="J2" s="144" t="s">
        <v>493</v>
      </c>
    </row>
    <row r="3" spans="2:16" ht="20.100000000000001" customHeight="1" x14ac:dyDescent="0.15">
      <c r="B3" s="908" t="s">
        <v>101</v>
      </c>
      <c r="C3" s="909"/>
      <c r="D3" s="687" t="s">
        <v>389</v>
      </c>
      <c r="E3" s="687" t="s">
        <v>388</v>
      </c>
      <c r="F3" s="687" t="s">
        <v>390</v>
      </c>
      <c r="G3" s="687" t="s">
        <v>391</v>
      </c>
      <c r="H3" s="687" t="s">
        <v>392</v>
      </c>
      <c r="I3" s="687" t="s">
        <v>393</v>
      </c>
      <c r="J3" s="687" t="s">
        <v>394</v>
      </c>
      <c r="K3" s="687" t="s">
        <v>395</v>
      </c>
      <c r="L3" s="687" t="s">
        <v>396</v>
      </c>
      <c r="M3" s="688" t="s">
        <v>628</v>
      </c>
      <c r="N3" s="689" t="s">
        <v>397</v>
      </c>
      <c r="O3" s="690" t="s">
        <v>637</v>
      </c>
      <c r="P3" s="691" t="s">
        <v>398</v>
      </c>
    </row>
    <row r="4" spans="2:16" ht="150" customHeight="1" x14ac:dyDescent="0.15">
      <c r="B4" s="907" t="s">
        <v>92</v>
      </c>
      <c r="C4" s="655" t="s">
        <v>93</v>
      </c>
      <c r="D4" s="145" t="s">
        <v>725</v>
      </c>
      <c r="E4" s="145" t="s">
        <v>456</v>
      </c>
      <c r="F4" s="145" t="s">
        <v>466</v>
      </c>
      <c r="G4" s="145" t="s">
        <v>452</v>
      </c>
      <c r="H4" s="145" t="s">
        <v>726</v>
      </c>
      <c r="I4" s="145" t="s">
        <v>457</v>
      </c>
      <c r="J4" s="145" t="s">
        <v>459</v>
      </c>
      <c r="K4" s="145"/>
      <c r="L4" s="145"/>
      <c r="M4" s="692" t="s">
        <v>465</v>
      </c>
      <c r="N4" s="564" t="s">
        <v>467</v>
      </c>
      <c r="O4" s="693" t="s">
        <v>638</v>
      </c>
      <c r="P4" s="694" t="s">
        <v>670</v>
      </c>
    </row>
    <row r="5" spans="2:16" ht="20.100000000000001" customHeight="1" x14ac:dyDescent="0.15">
      <c r="B5" s="907"/>
      <c r="C5" s="655" t="s">
        <v>94</v>
      </c>
      <c r="D5" s="655" t="s">
        <v>727</v>
      </c>
      <c r="E5" s="655" t="s">
        <v>728</v>
      </c>
      <c r="F5" s="655" t="s">
        <v>685</v>
      </c>
      <c r="G5" s="655" t="s">
        <v>729</v>
      </c>
      <c r="H5" s="655" t="s">
        <v>633</v>
      </c>
      <c r="I5" s="655" t="s">
        <v>634</v>
      </c>
      <c r="J5" s="655" t="s">
        <v>692</v>
      </c>
      <c r="K5" s="655" t="s">
        <v>686</v>
      </c>
      <c r="L5" s="655" t="s">
        <v>636</v>
      </c>
      <c r="M5" s="562" t="s">
        <v>687</v>
      </c>
      <c r="N5" s="657" t="s">
        <v>470</v>
      </c>
      <c r="O5" s="695" t="s">
        <v>695</v>
      </c>
      <c r="P5" s="696" t="s">
        <v>688</v>
      </c>
    </row>
    <row r="6" spans="2:16" ht="150" customHeight="1" x14ac:dyDescent="0.15">
      <c r="B6" s="907"/>
      <c r="C6" s="655" t="s">
        <v>100</v>
      </c>
      <c r="D6" s="145"/>
      <c r="E6" s="145" t="s">
        <v>449</v>
      </c>
      <c r="F6" s="145" t="s">
        <v>477</v>
      </c>
      <c r="G6" s="145" t="s">
        <v>454</v>
      </c>
      <c r="H6" s="145"/>
      <c r="I6" s="145"/>
      <c r="J6" s="145" t="s">
        <v>461</v>
      </c>
      <c r="K6" s="145"/>
      <c r="L6" s="145" t="s">
        <v>251</v>
      </c>
      <c r="M6" s="692"/>
      <c r="N6" s="697" t="s">
        <v>471</v>
      </c>
      <c r="O6" s="698"/>
      <c r="P6" s="567"/>
    </row>
    <row r="7" spans="2:16" ht="20.100000000000001" customHeight="1" x14ac:dyDescent="0.15">
      <c r="B7" s="907"/>
      <c r="C7" s="699" t="s">
        <v>97</v>
      </c>
      <c r="D7" s="655"/>
      <c r="E7" s="655">
        <v>1</v>
      </c>
      <c r="F7" s="655">
        <v>1</v>
      </c>
      <c r="G7" s="655">
        <v>9.5</v>
      </c>
      <c r="H7" s="655"/>
      <c r="I7" s="655"/>
      <c r="J7" s="655">
        <v>5.5</v>
      </c>
      <c r="K7" s="655">
        <v>4.7</v>
      </c>
      <c r="L7" s="655">
        <v>10</v>
      </c>
      <c r="M7" s="562"/>
      <c r="N7" s="657">
        <v>12</v>
      </c>
      <c r="O7" s="599"/>
      <c r="P7" s="568"/>
    </row>
    <row r="8" spans="2:16" ht="20.100000000000001" customHeight="1" x14ac:dyDescent="0.15">
      <c r="B8" s="907"/>
      <c r="C8" s="655" t="s">
        <v>98</v>
      </c>
      <c r="D8" s="655">
        <v>12</v>
      </c>
      <c r="E8" s="655">
        <v>33</v>
      </c>
      <c r="F8" s="655">
        <v>3</v>
      </c>
      <c r="G8" s="655">
        <v>9.5</v>
      </c>
      <c r="H8" s="655">
        <v>96</v>
      </c>
      <c r="I8" s="655">
        <v>8</v>
      </c>
      <c r="J8" s="655">
        <v>5.5</v>
      </c>
      <c r="K8" s="655">
        <v>4.7</v>
      </c>
      <c r="L8" s="655">
        <v>108</v>
      </c>
      <c r="M8" s="562">
        <v>12</v>
      </c>
      <c r="N8" s="657">
        <v>12</v>
      </c>
      <c r="O8" s="599">
        <v>36</v>
      </c>
      <c r="P8" s="605">
        <v>96</v>
      </c>
    </row>
    <row r="9" spans="2:16" ht="20.100000000000001" customHeight="1" x14ac:dyDescent="0.15">
      <c r="B9" s="907"/>
      <c r="C9" s="655" t="s">
        <v>99</v>
      </c>
      <c r="D9" s="655"/>
      <c r="E9" s="655"/>
      <c r="F9" s="655"/>
      <c r="G9" s="655"/>
      <c r="H9" s="655"/>
      <c r="I9" s="655"/>
      <c r="J9" s="655"/>
      <c r="K9" s="655"/>
      <c r="L9" s="655"/>
      <c r="M9" s="562"/>
      <c r="N9" s="565"/>
      <c r="O9" s="600"/>
      <c r="P9" s="568"/>
    </row>
    <row r="10" spans="2:16" ht="150" customHeight="1" x14ac:dyDescent="0.15">
      <c r="B10" s="912" t="s">
        <v>95</v>
      </c>
      <c r="C10" s="913"/>
      <c r="D10" s="145" t="s">
        <v>630</v>
      </c>
      <c r="E10" s="145" t="s">
        <v>473</v>
      </c>
      <c r="F10" s="700"/>
      <c r="G10" s="655" t="s">
        <v>463</v>
      </c>
      <c r="H10" s="655" t="s">
        <v>455</v>
      </c>
      <c r="I10" s="655" t="s">
        <v>475</v>
      </c>
      <c r="J10" s="655" t="s">
        <v>31</v>
      </c>
      <c r="K10" s="655"/>
      <c r="L10" s="655" t="s">
        <v>476</v>
      </c>
      <c r="M10" s="562"/>
      <c r="N10" s="565"/>
      <c r="O10" s="601"/>
      <c r="P10" s="658" t="s">
        <v>639</v>
      </c>
    </row>
    <row r="11" spans="2:16" ht="150" customHeight="1" thickBot="1" x14ac:dyDescent="0.2">
      <c r="B11" s="910" t="s">
        <v>96</v>
      </c>
      <c r="C11" s="911"/>
      <c r="D11" s="701" t="s">
        <v>450</v>
      </c>
      <c r="E11" s="701"/>
      <c r="F11" s="702"/>
      <c r="G11" s="146"/>
      <c r="H11" s="146"/>
      <c r="I11" s="146"/>
      <c r="J11" s="146"/>
      <c r="K11" s="146"/>
      <c r="L11" s="146"/>
      <c r="M11" s="563"/>
      <c r="N11" s="566"/>
      <c r="O11" s="602"/>
      <c r="P11" s="603"/>
    </row>
    <row r="12" spans="2:16" ht="9.75" customHeight="1" x14ac:dyDescent="0.15">
      <c r="B12" s="703"/>
    </row>
  </sheetData>
  <mergeCells count="4">
    <mergeCell ref="B4:B9"/>
    <mergeCell ref="B3:C3"/>
    <mergeCell ref="B11:C11"/>
    <mergeCell ref="B10:C10"/>
  </mergeCells>
  <phoneticPr fontId="5"/>
  <pageMargins left="0.78740157480314965" right="0.78740157480314965" top="0.78740157480314965" bottom="0.78740157480314965" header="0.39370078740157483" footer="0.39370078740157483"/>
  <pageSetup paperSize="9" scale="46" orientation="landscape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showZeros="0" view="pageBreakPreview" zoomScale="80" zoomScaleNormal="100" zoomScaleSheetLayoutView="80" workbookViewId="0">
      <selection activeCell="M6" sqref="M6"/>
    </sheetView>
  </sheetViews>
  <sheetFormatPr defaultColWidth="10.875" defaultRowHeight="13.5" x14ac:dyDescent="0.15"/>
  <cols>
    <col min="1" max="1" width="1.625" style="161" customWidth="1"/>
    <col min="2" max="2" width="5.875" style="161" customWidth="1"/>
    <col min="3" max="3" width="10.625" style="161" customWidth="1"/>
    <col min="4" max="4" width="12.375" style="161" customWidth="1"/>
    <col min="5" max="5" width="14.625" style="161" customWidth="1"/>
    <col min="6" max="7" width="15.875" style="161" customWidth="1"/>
    <col min="8" max="8" width="10.875" style="161"/>
    <col min="9" max="9" width="11.375" style="161" bestFit="1" customWidth="1"/>
    <col min="10" max="10" width="13.375" style="161" customWidth="1"/>
    <col min="11" max="11" width="7.125" style="161" customWidth="1"/>
    <col min="12" max="12" width="15.375" style="161" customWidth="1"/>
    <col min="13" max="13" width="9.375" style="161" bestFit="1" customWidth="1"/>
    <col min="14" max="14" width="10.875" style="161"/>
    <col min="15" max="15" width="7.25" style="161" customWidth="1"/>
    <col min="16" max="16" width="9.625" style="161" customWidth="1"/>
    <col min="17" max="17" width="10.875" style="161" customWidth="1"/>
    <col min="18" max="18" width="7.5" style="161" customWidth="1"/>
    <col min="19" max="19" width="3.75" style="161" customWidth="1"/>
    <col min="20" max="16384" width="10.875" style="161"/>
  </cols>
  <sheetData>
    <row r="1" spans="2:19" s="162" customFormat="1" ht="9.9499999999999993" customHeight="1" x14ac:dyDescent="0.15"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</row>
    <row r="2" spans="2:19" s="162" customFormat="1" ht="24.95" customHeight="1" thickBot="1" x14ac:dyDescent="0.2">
      <c r="B2" s="162" t="s">
        <v>497</v>
      </c>
      <c r="H2" s="163" t="s">
        <v>264</v>
      </c>
      <c r="I2" s="3" t="s">
        <v>387</v>
      </c>
      <c r="K2" s="163" t="s">
        <v>265</v>
      </c>
      <c r="L2" s="3" t="s">
        <v>493</v>
      </c>
      <c r="N2" s="161"/>
      <c r="O2" s="161"/>
      <c r="Q2" s="4"/>
      <c r="R2" s="4"/>
    </row>
    <row r="3" spans="2:19" s="162" customFormat="1" ht="18" customHeight="1" x14ac:dyDescent="0.15">
      <c r="B3" s="1055" t="s">
        <v>19</v>
      </c>
      <c r="C3" s="1056"/>
      <c r="D3" s="1056"/>
      <c r="E3" s="1057"/>
      <c r="F3" s="192" t="s">
        <v>20</v>
      </c>
      <c r="G3" s="165"/>
      <c r="H3" s="166" t="s">
        <v>21</v>
      </c>
      <c r="I3" s="164"/>
      <c r="J3" s="164"/>
      <c r="K3" s="1045" t="s">
        <v>227</v>
      </c>
      <c r="L3" s="1046"/>
      <c r="M3" s="1046"/>
      <c r="N3" s="1046"/>
      <c r="O3" s="1046"/>
      <c r="P3" s="1046"/>
      <c r="Q3" s="1046"/>
      <c r="R3" s="1046"/>
      <c r="S3" s="1047"/>
    </row>
    <row r="4" spans="2:19" s="162" customFormat="1" ht="18" customHeight="1" x14ac:dyDescent="0.15">
      <c r="B4" s="1053" t="s">
        <v>22</v>
      </c>
      <c r="C4" s="1054"/>
      <c r="D4" s="274" t="s">
        <v>220</v>
      </c>
      <c r="E4" s="293"/>
      <c r="F4" s="286">
        <f>+R11</f>
        <v>14774400</v>
      </c>
      <c r="G4" s="274" t="s">
        <v>672</v>
      </c>
      <c r="H4" s="177"/>
      <c r="I4" s="177"/>
      <c r="J4" s="177"/>
      <c r="K4" s="282" t="s">
        <v>52</v>
      </c>
      <c r="L4" s="372" t="s">
        <v>268</v>
      </c>
      <c r="M4" s="283" t="s">
        <v>23</v>
      </c>
      <c r="N4" s="283" t="s">
        <v>22</v>
      </c>
      <c r="O4" s="283" t="s">
        <v>52</v>
      </c>
      <c r="P4" s="372" t="s">
        <v>269</v>
      </c>
      <c r="Q4" s="283" t="s">
        <v>23</v>
      </c>
      <c r="R4" s="1048" t="s">
        <v>22</v>
      </c>
      <c r="S4" s="1049"/>
    </row>
    <row r="5" spans="2:19" s="162" customFormat="1" ht="18" customHeight="1" x14ac:dyDescent="0.15">
      <c r="B5" s="1053"/>
      <c r="C5" s="1054"/>
      <c r="D5" s="274" t="s">
        <v>76</v>
      </c>
      <c r="E5" s="293"/>
      <c r="F5" s="286"/>
      <c r="G5" s="237"/>
      <c r="H5" s="294"/>
      <c r="I5" s="294"/>
      <c r="J5" s="294"/>
      <c r="K5" s="285" t="s">
        <v>618</v>
      </c>
      <c r="L5" s="286">
        <v>16200</v>
      </c>
      <c r="M5" s="286">
        <v>912</v>
      </c>
      <c r="N5" s="286">
        <f>L5*M5</f>
        <v>14774400</v>
      </c>
      <c r="O5" s="286"/>
      <c r="P5" s="286"/>
      <c r="Q5" s="286"/>
      <c r="R5" s="1022">
        <f>P5*Q5</f>
        <v>0</v>
      </c>
      <c r="S5" s="1015"/>
    </row>
    <row r="6" spans="2:19" s="162" customFormat="1" ht="18" customHeight="1" x14ac:dyDescent="0.15">
      <c r="B6" s="1061" t="s">
        <v>225</v>
      </c>
      <c r="C6" s="1058" t="s">
        <v>211</v>
      </c>
      <c r="D6" s="286" t="s">
        <v>56</v>
      </c>
      <c r="E6" s="295"/>
      <c r="F6" s="286">
        <f>+P13</f>
        <v>8250</v>
      </c>
      <c r="G6" s="237" t="s">
        <v>195</v>
      </c>
      <c r="H6" s="294"/>
      <c r="I6" s="294"/>
      <c r="J6" s="294"/>
      <c r="K6" s="292"/>
      <c r="L6" s="289"/>
      <c r="M6" s="286"/>
      <c r="N6" s="286">
        <f>L6*M6</f>
        <v>0</v>
      </c>
      <c r="O6" s="286"/>
      <c r="P6" s="286"/>
      <c r="Q6" s="286"/>
      <c r="R6" s="1022">
        <f t="shared" ref="R6:R9" si="0">P6*Q6</f>
        <v>0</v>
      </c>
      <c r="S6" s="1015"/>
    </row>
    <row r="7" spans="2:19" s="162" customFormat="1" ht="18" customHeight="1" x14ac:dyDescent="0.15">
      <c r="B7" s="1062"/>
      <c r="C7" s="1059"/>
      <c r="D7" s="286" t="s">
        <v>57</v>
      </c>
      <c r="E7" s="295"/>
      <c r="F7" s="286">
        <f>P22</f>
        <v>988300</v>
      </c>
      <c r="G7" s="274" t="s">
        <v>199</v>
      </c>
      <c r="H7" s="177"/>
      <c r="I7" s="177"/>
      <c r="J7" s="296"/>
      <c r="K7" s="290"/>
      <c r="L7" s="291"/>
      <c r="M7" s="286"/>
      <c r="N7" s="286">
        <f t="shared" ref="N7:N11" si="1">L7*M7</f>
        <v>0</v>
      </c>
      <c r="O7" s="286"/>
      <c r="P7" s="286"/>
      <c r="Q7" s="286"/>
      <c r="R7" s="1022">
        <f t="shared" si="0"/>
        <v>0</v>
      </c>
      <c r="S7" s="1015"/>
    </row>
    <row r="8" spans="2:19" s="162" customFormat="1" ht="18" customHeight="1" x14ac:dyDescent="0.15">
      <c r="B8" s="1062"/>
      <c r="C8" s="1059"/>
      <c r="D8" s="286" t="s">
        <v>58</v>
      </c>
      <c r="E8" s="295"/>
      <c r="F8" s="286">
        <f>P28</f>
        <v>496741.26262626261</v>
      </c>
      <c r="G8" s="243" t="s">
        <v>200</v>
      </c>
      <c r="H8" s="261"/>
      <c r="I8" s="261"/>
      <c r="J8" s="297"/>
      <c r="K8" s="288"/>
      <c r="L8" s="286"/>
      <c r="M8" s="286"/>
      <c r="N8" s="286">
        <f t="shared" si="1"/>
        <v>0</v>
      </c>
      <c r="O8" s="286"/>
      <c r="P8" s="286"/>
      <c r="Q8" s="286"/>
      <c r="R8" s="1022">
        <f t="shared" si="0"/>
        <v>0</v>
      </c>
      <c r="S8" s="1015"/>
    </row>
    <row r="9" spans="2:19" s="162" customFormat="1" ht="18" customHeight="1" x14ac:dyDescent="0.15">
      <c r="B9" s="1062"/>
      <c r="C9" s="1059"/>
      <c r="D9" s="286" t="s">
        <v>77</v>
      </c>
      <c r="E9" s="295"/>
      <c r="F9" s="286">
        <f>P37</f>
        <v>679208.54</v>
      </c>
      <c r="G9" s="243" t="s">
        <v>201</v>
      </c>
      <c r="H9" s="261"/>
      <c r="I9" s="261"/>
      <c r="J9" s="297"/>
      <c r="K9" s="288"/>
      <c r="L9" s="286"/>
      <c r="M9" s="286"/>
      <c r="N9" s="286">
        <f t="shared" si="1"/>
        <v>0</v>
      </c>
      <c r="O9" s="286"/>
      <c r="P9" s="286"/>
      <c r="Q9" s="286"/>
      <c r="R9" s="1022">
        <f t="shared" si="0"/>
        <v>0</v>
      </c>
      <c r="S9" s="1015"/>
    </row>
    <row r="10" spans="2:19" s="162" customFormat="1" ht="18" customHeight="1" x14ac:dyDescent="0.15">
      <c r="B10" s="1062"/>
      <c r="C10" s="1059"/>
      <c r="D10" s="286" t="s">
        <v>59</v>
      </c>
      <c r="E10" s="295"/>
      <c r="F10" s="286">
        <f>'８－１　ピオーネ（加温）算出基礎'!V21</f>
        <v>2062011.2</v>
      </c>
      <c r="G10" s="1013" t="s">
        <v>202</v>
      </c>
      <c r="H10" s="1014"/>
      <c r="I10" s="1014"/>
      <c r="J10" s="1015"/>
      <c r="K10" s="288"/>
      <c r="L10" s="286"/>
      <c r="M10" s="286"/>
      <c r="N10" s="286">
        <f t="shared" si="1"/>
        <v>0</v>
      </c>
      <c r="O10" s="286"/>
      <c r="P10" s="286"/>
      <c r="Q10" s="286"/>
      <c r="R10" s="1022"/>
      <c r="S10" s="1015"/>
    </row>
    <row r="11" spans="2:19" s="162" customFormat="1" ht="18" customHeight="1" thickBot="1" x14ac:dyDescent="0.2">
      <c r="B11" s="1062"/>
      <c r="C11" s="1059"/>
      <c r="D11" s="286" t="s">
        <v>6</v>
      </c>
      <c r="E11" s="295"/>
      <c r="F11" s="286">
        <f>'８－１　ピオーネ（加温）算出基礎'!V38</f>
        <v>58279.714285714283</v>
      </c>
      <c r="G11" s="1013" t="s">
        <v>202</v>
      </c>
      <c r="H11" s="1014"/>
      <c r="I11" s="1014"/>
      <c r="J11" s="1015"/>
      <c r="K11" s="183"/>
      <c r="L11" s="168"/>
      <c r="M11" s="168"/>
      <c r="N11" s="167">
        <f t="shared" si="1"/>
        <v>0</v>
      </c>
      <c r="O11" s="169" t="s">
        <v>24</v>
      </c>
      <c r="P11" s="170">
        <f>SUM(L5:L11,P5:Q10)</f>
        <v>16200</v>
      </c>
      <c r="Q11" s="171">
        <f>R11/P11</f>
        <v>912</v>
      </c>
      <c r="R11" s="1034">
        <f>SUM(N5:N11,R5:S10)</f>
        <v>14774400</v>
      </c>
      <c r="S11" s="1035"/>
    </row>
    <row r="12" spans="2:19" s="162" customFormat="1" ht="18" customHeight="1" thickTop="1" x14ac:dyDescent="0.15">
      <c r="B12" s="1062"/>
      <c r="C12" s="1059"/>
      <c r="D12" s="286" t="s">
        <v>7</v>
      </c>
      <c r="E12" s="295"/>
      <c r="F12" s="286"/>
      <c r="G12" s="243" t="s">
        <v>196</v>
      </c>
      <c r="H12" s="261"/>
      <c r="I12" s="261"/>
      <c r="J12" s="297"/>
      <c r="K12" s="1025" t="s">
        <v>226</v>
      </c>
      <c r="L12" s="276" t="s">
        <v>162</v>
      </c>
      <c r="M12" s="277" t="s">
        <v>9</v>
      </c>
      <c r="N12" s="374" t="s">
        <v>267</v>
      </c>
      <c r="O12" s="278" t="s">
        <v>23</v>
      </c>
      <c r="P12" s="278" t="s">
        <v>26</v>
      </c>
      <c r="Q12" s="1036" t="s">
        <v>27</v>
      </c>
      <c r="R12" s="1037"/>
      <c r="S12" s="1038"/>
    </row>
    <row r="13" spans="2:19" s="162" customFormat="1" ht="18" customHeight="1" x14ac:dyDescent="0.15">
      <c r="B13" s="1062"/>
      <c r="C13" s="1059"/>
      <c r="D13" s="1050" t="s">
        <v>60</v>
      </c>
      <c r="E13" s="299" t="s">
        <v>191</v>
      </c>
      <c r="F13" s="286">
        <f>'（参考）ピオーネハウス資本装備'!L15*'７－１　ピオーネ（加温）部門収支'!H13</f>
        <v>755440</v>
      </c>
      <c r="G13" s="243" t="s">
        <v>197</v>
      </c>
      <c r="H13" s="252">
        <v>0.01</v>
      </c>
      <c r="I13" s="1023" t="s">
        <v>203</v>
      </c>
      <c r="J13" s="1024"/>
      <c r="K13" s="1026"/>
      <c r="L13" s="281" t="s">
        <v>131</v>
      </c>
      <c r="M13" s="275" t="s">
        <v>154</v>
      </c>
      <c r="N13" s="195">
        <v>15</v>
      </c>
      <c r="O13" s="195">
        <v>550</v>
      </c>
      <c r="P13" s="195">
        <f>N13*O13</f>
        <v>8250</v>
      </c>
      <c r="Q13" s="1016" t="s">
        <v>263</v>
      </c>
      <c r="R13" s="1017"/>
      <c r="S13" s="1018"/>
    </row>
    <row r="14" spans="2:19" s="162" customFormat="1" ht="18" customHeight="1" x14ac:dyDescent="0.15">
      <c r="B14" s="1062"/>
      <c r="C14" s="1059"/>
      <c r="D14" s="1051"/>
      <c r="E14" s="299" t="s">
        <v>192</v>
      </c>
      <c r="F14" s="286">
        <f>'（参考）ピオーネハウス資本装備'!L58*'７－１　ピオーネ（加温）部門収支'!H14</f>
        <v>519527.83333333331</v>
      </c>
      <c r="G14" s="243" t="s">
        <v>197</v>
      </c>
      <c r="H14" s="252">
        <v>0.05</v>
      </c>
      <c r="I14" s="1023" t="s">
        <v>203</v>
      </c>
      <c r="J14" s="1024"/>
      <c r="K14" s="1026"/>
      <c r="L14" s="281" t="s">
        <v>228</v>
      </c>
      <c r="M14" s="275" t="s">
        <v>154</v>
      </c>
      <c r="N14" s="195">
        <v>15</v>
      </c>
      <c r="O14" s="195">
        <v>550</v>
      </c>
      <c r="P14" s="195">
        <f>N14*O14</f>
        <v>8250</v>
      </c>
      <c r="Q14" s="1016" t="s">
        <v>263</v>
      </c>
      <c r="R14" s="1017"/>
      <c r="S14" s="1018"/>
    </row>
    <row r="15" spans="2:19" s="162" customFormat="1" ht="18" customHeight="1" thickBot="1" x14ac:dyDescent="0.2">
      <c r="B15" s="1062"/>
      <c r="C15" s="1059"/>
      <c r="D15" s="1050" t="s">
        <v>78</v>
      </c>
      <c r="E15" s="299" t="s">
        <v>191</v>
      </c>
      <c r="F15" s="286">
        <f>'（参考）ピオーネハウス資本装備'!P15</f>
        <v>7155784.0906682033</v>
      </c>
      <c r="G15" s="243" t="s">
        <v>203</v>
      </c>
      <c r="H15" s="250"/>
      <c r="I15" s="250"/>
      <c r="J15" s="251"/>
      <c r="K15" s="1026"/>
      <c r="L15" s="174" t="s">
        <v>28</v>
      </c>
      <c r="M15" s="173"/>
      <c r="N15" s="174"/>
      <c r="O15" s="174"/>
      <c r="P15" s="174">
        <f>SUM(P10:P14)</f>
        <v>32700</v>
      </c>
      <c r="Q15" s="1028"/>
      <c r="R15" s="1029"/>
      <c r="S15" s="1030"/>
    </row>
    <row r="16" spans="2:19" s="162" customFormat="1" ht="18" customHeight="1" thickTop="1" x14ac:dyDescent="0.15">
      <c r="B16" s="1062"/>
      <c r="C16" s="1059"/>
      <c r="D16" s="1052"/>
      <c r="E16" s="299" t="s">
        <v>192</v>
      </c>
      <c r="F16" s="286">
        <f>'（参考）ピオーネハウス資本装備'!P58</f>
        <v>1550078.5595238095</v>
      </c>
      <c r="G16" s="243" t="s">
        <v>203</v>
      </c>
      <c r="H16" s="250"/>
      <c r="I16" s="250"/>
      <c r="J16" s="251"/>
      <c r="K16" s="1026"/>
      <c r="L16" s="270" t="s">
        <v>163</v>
      </c>
      <c r="M16" s="271"/>
      <c r="N16" s="373" t="s">
        <v>267</v>
      </c>
      <c r="O16" s="272" t="s">
        <v>23</v>
      </c>
      <c r="P16" s="273" t="s">
        <v>26</v>
      </c>
      <c r="Q16" s="1031" t="s">
        <v>27</v>
      </c>
      <c r="R16" s="1032"/>
      <c r="S16" s="1033"/>
    </row>
    <row r="17" spans="1:19" s="162" customFormat="1" ht="18" customHeight="1" x14ac:dyDescent="0.15">
      <c r="B17" s="1062"/>
      <c r="C17" s="1059"/>
      <c r="D17" s="1051"/>
      <c r="E17" s="286" t="s">
        <v>61</v>
      </c>
      <c r="F17" s="286">
        <f>'（参考）ピオーネハウス資本装備'!P63</f>
        <v>180284.6</v>
      </c>
      <c r="G17" s="243" t="s">
        <v>203</v>
      </c>
      <c r="H17" s="250"/>
      <c r="I17" s="250"/>
      <c r="J17" s="251"/>
      <c r="K17" s="1026"/>
      <c r="L17" s="274" t="s">
        <v>170</v>
      </c>
      <c r="M17" s="275"/>
      <c r="N17" s="243" t="s">
        <v>169</v>
      </c>
      <c r="O17" s="265"/>
      <c r="P17" s="263">
        <f>'８－１　ピオーネ（加温）算出基礎'!G7</f>
        <v>664800</v>
      </c>
      <c r="Q17" s="1019"/>
      <c r="R17" s="1020"/>
      <c r="S17" s="1021"/>
    </row>
    <row r="18" spans="1:19" s="162" customFormat="1" ht="18" customHeight="1" x14ac:dyDescent="0.15">
      <c r="A18" s="161"/>
      <c r="B18" s="1062"/>
      <c r="C18" s="1059"/>
      <c r="D18" s="1075" t="s">
        <v>273</v>
      </c>
      <c r="E18" s="291" t="s">
        <v>108</v>
      </c>
      <c r="F18" s="286"/>
      <c r="G18" s="243" t="s">
        <v>196</v>
      </c>
      <c r="H18" s="250"/>
      <c r="I18" s="250"/>
      <c r="J18" s="251"/>
      <c r="K18" s="1026"/>
      <c r="L18" s="274" t="s">
        <v>167</v>
      </c>
      <c r="M18" s="275"/>
      <c r="N18" s="243" t="s">
        <v>169</v>
      </c>
      <c r="O18" s="265"/>
      <c r="P18" s="263">
        <f>'８－１　ピオーネ（加温）算出基礎'!G12</f>
        <v>225400</v>
      </c>
      <c r="Q18" s="1019"/>
      <c r="R18" s="1020"/>
      <c r="S18" s="1021"/>
    </row>
    <row r="19" spans="1:19" s="162" customFormat="1" ht="18" customHeight="1" x14ac:dyDescent="0.15">
      <c r="A19" s="161"/>
      <c r="B19" s="1062"/>
      <c r="C19" s="1059"/>
      <c r="D19" s="1075"/>
      <c r="E19" s="291" t="s">
        <v>104</v>
      </c>
      <c r="F19" s="286"/>
      <c r="G19" s="243" t="s">
        <v>196</v>
      </c>
      <c r="H19" s="250"/>
      <c r="I19" s="175" t="s">
        <v>207</v>
      </c>
      <c r="J19" s="251"/>
      <c r="K19" s="1026"/>
      <c r="L19" s="243" t="s">
        <v>168</v>
      </c>
      <c r="M19" s="261"/>
      <c r="N19" s="243" t="s">
        <v>169</v>
      </c>
      <c r="O19" s="265"/>
      <c r="P19" s="263">
        <f>'８－１　ピオーネ（加温）算出基礎'!G17</f>
        <v>81600</v>
      </c>
      <c r="Q19" s="1019"/>
      <c r="R19" s="1020"/>
      <c r="S19" s="1021"/>
    </row>
    <row r="20" spans="1:19" s="162" customFormat="1" ht="18" customHeight="1" x14ac:dyDescent="0.15">
      <c r="A20" s="161"/>
      <c r="B20" s="1062"/>
      <c r="C20" s="1059"/>
      <c r="D20" s="1075"/>
      <c r="E20" s="291" t="s">
        <v>105</v>
      </c>
      <c r="F20" s="286"/>
      <c r="G20" s="243" t="s">
        <v>196</v>
      </c>
      <c r="H20" s="250"/>
      <c r="I20" s="175" t="s">
        <v>206</v>
      </c>
      <c r="J20" s="251"/>
      <c r="K20" s="1026"/>
      <c r="L20" s="243" t="s">
        <v>171</v>
      </c>
      <c r="M20" s="261"/>
      <c r="N20" s="243" t="s">
        <v>169</v>
      </c>
      <c r="O20" s="265"/>
      <c r="P20" s="263">
        <f>'８－１　ピオーネ（加温）算出基礎'!G21</f>
        <v>16500</v>
      </c>
      <c r="Q20" s="1019"/>
      <c r="R20" s="1020"/>
      <c r="S20" s="1021"/>
    </row>
    <row r="21" spans="1:19" s="162" customFormat="1" ht="18" customHeight="1" x14ac:dyDescent="0.15">
      <c r="A21" s="161"/>
      <c r="B21" s="1062"/>
      <c r="C21" s="1059"/>
      <c r="D21" s="1075"/>
      <c r="E21" s="291" t="s">
        <v>106</v>
      </c>
      <c r="F21" s="286"/>
      <c r="G21" s="243" t="s">
        <v>196</v>
      </c>
      <c r="H21" s="250"/>
      <c r="I21" s="250"/>
      <c r="J21" s="251"/>
      <c r="K21" s="1026"/>
      <c r="L21" s="243" t="s">
        <v>172</v>
      </c>
      <c r="M21" s="261"/>
      <c r="N21" s="243" t="s">
        <v>169</v>
      </c>
      <c r="O21" s="263"/>
      <c r="P21" s="263">
        <f>'８－１　ピオーネ（加温）算出基礎'!G25</f>
        <v>0</v>
      </c>
      <c r="Q21" s="1019"/>
      <c r="R21" s="1020"/>
      <c r="S21" s="1021"/>
    </row>
    <row r="22" spans="1:19" s="162" customFormat="1" ht="18" customHeight="1" thickBot="1" x14ac:dyDescent="0.2">
      <c r="A22" s="161"/>
      <c r="B22" s="1062"/>
      <c r="C22" s="1059"/>
      <c r="D22" s="1075" t="s">
        <v>62</v>
      </c>
      <c r="E22" s="291" t="s">
        <v>63</v>
      </c>
      <c r="F22" s="286"/>
      <c r="G22" s="243" t="s">
        <v>196</v>
      </c>
      <c r="H22" s="250"/>
      <c r="I22" s="250"/>
      <c r="J22" s="251"/>
      <c r="K22" s="1026"/>
      <c r="L22" s="174" t="s">
        <v>28</v>
      </c>
      <c r="M22" s="173"/>
      <c r="N22" s="174"/>
      <c r="O22" s="174"/>
      <c r="P22" s="174">
        <f>SUM(P17:P21)</f>
        <v>988300</v>
      </c>
      <c r="Q22" s="1028"/>
      <c r="R22" s="1029"/>
      <c r="S22" s="1030"/>
    </row>
    <row r="23" spans="1:19" s="162" customFormat="1" ht="18" customHeight="1" thickTop="1" x14ac:dyDescent="0.15">
      <c r="A23" s="161"/>
      <c r="B23" s="1062"/>
      <c r="C23" s="1059"/>
      <c r="D23" s="1075"/>
      <c r="E23" s="291" t="s">
        <v>79</v>
      </c>
      <c r="F23" s="286"/>
      <c r="G23" s="243" t="s">
        <v>196</v>
      </c>
      <c r="H23" s="250"/>
      <c r="I23" s="250"/>
      <c r="J23" s="251"/>
      <c r="K23" s="1026"/>
      <c r="L23" s="243" t="s">
        <v>164</v>
      </c>
      <c r="M23" s="261"/>
      <c r="N23" s="262" t="s">
        <v>25</v>
      </c>
      <c r="O23" s="262" t="s">
        <v>23</v>
      </c>
      <c r="P23" s="262" t="s">
        <v>26</v>
      </c>
      <c r="Q23" s="1031" t="s">
        <v>27</v>
      </c>
      <c r="R23" s="1032"/>
      <c r="S23" s="1033"/>
    </row>
    <row r="24" spans="1:19" s="162" customFormat="1" ht="18" customHeight="1" x14ac:dyDescent="0.15">
      <c r="A24" s="161"/>
      <c r="B24" s="1062"/>
      <c r="C24" s="1059"/>
      <c r="D24" s="286" t="s">
        <v>64</v>
      </c>
      <c r="E24" s="295"/>
      <c r="F24" s="286"/>
      <c r="G24" s="243" t="s">
        <v>196</v>
      </c>
      <c r="H24" s="250"/>
      <c r="I24" s="260" t="s">
        <v>205</v>
      </c>
      <c r="J24" s="251"/>
      <c r="K24" s="1026"/>
      <c r="L24" s="263" t="s">
        <v>29</v>
      </c>
      <c r="M24" s="261"/>
      <c r="N24" s="243" t="s">
        <v>169</v>
      </c>
      <c r="O24" s="263"/>
      <c r="P24" s="263">
        <f>'８－１　ピオーネ（加温）算出基礎'!G42</f>
        <v>193400</v>
      </c>
      <c r="Q24" s="1019"/>
      <c r="R24" s="1020"/>
      <c r="S24" s="1021"/>
    </row>
    <row r="25" spans="1:19" s="162" customFormat="1" ht="18" customHeight="1" x14ac:dyDescent="0.15">
      <c r="A25" s="161"/>
      <c r="B25" s="1062"/>
      <c r="C25" s="1059"/>
      <c r="D25" s="286" t="s">
        <v>166</v>
      </c>
      <c r="E25" s="295"/>
      <c r="F25" s="286">
        <f>SUM(F6:F24)/99</f>
        <v>145999.04848926587</v>
      </c>
      <c r="G25" s="301" t="s">
        <v>230</v>
      </c>
      <c r="H25" s="315">
        <v>0.01</v>
      </c>
      <c r="I25" s="176"/>
      <c r="J25" s="16"/>
      <c r="K25" s="1026"/>
      <c r="L25" s="263" t="s">
        <v>30</v>
      </c>
      <c r="M25" s="261"/>
      <c r="N25" s="243" t="s">
        <v>169</v>
      </c>
      <c r="O25" s="263"/>
      <c r="P25" s="263">
        <f>'８－１　ピオーネ（加温）算出基礎'!G53</f>
        <v>132684.44444444444</v>
      </c>
      <c r="Q25" s="1019"/>
      <c r="R25" s="1020"/>
      <c r="S25" s="1021"/>
    </row>
    <row r="26" spans="1:19" s="162" customFormat="1" ht="18" customHeight="1" x14ac:dyDescent="0.15">
      <c r="A26" s="161"/>
      <c r="B26" s="1062"/>
      <c r="C26" s="1060"/>
      <c r="D26" s="1081" t="s">
        <v>219</v>
      </c>
      <c r="E26" s="1082"/>
      <c r="F26" s="193">
        <f>SUM(F6:F25)</f>
        <v>14599904.848926587</v>
      </c>
      <c r="G26" s="253"/>
      <c r="H26" s="176"/>
      <c r="I26" s="176"/>
      <c r="J26" s="179"/>
      <c r="K26" s="1026"/>
      <c r="L26" s="263" t="s">
        <v>31</v>
      </c>
      <c r="M26" s="261"/>
      <c r="N26" s="243" t="s">
        <v>169</v>
      </c>
      <c r="O26" s="263"/>
      <c r="P26" s="263">
        <f>'８－１　ピオーネ（加温）算出基礎'!G57</f>
        <v>41581.818181818184</v>
      </c>
      <c r="Q26" s="1019"/>
      <c r="R26" s="1020"/>
      <c r="S26" s="1021"/>
    </row>
    <row r="27" spans="1:19" s="162" customFormat="1" ht="18" customHeight="1" x14ac:dyDescent="0.15">
      <c r="A27" s="161"/>
      <c r="B27" s="1062"/>
      <c r="C27" s="1076" t="s">
        <v>198</v>
      </c>
      <c r="D27" s="937" t="s">
        <v>65</v>
      </c>
      <c r="E27" s="62" t="s">
        <v>3</v>
      </c>
      <c r="F27" s="167">
        <f>+P11*80</f>
        <v>1296000</v>
      </c>
      <c r="G27" s="274" t="s">
        <v>615</v>
      </c>
      <c r="H27" s="261"/>
      <c r="I27" s="172"/>
      <c r="J27" s="297"/>
      <c r="K27" s="1026"/>
      <c r="L27" s="263" t="s">
        <v>132</v>
      </c>
      <c r="M27" s="261"/>
      <c r="N27" s="243" t="s">
        <v>169</v>
      </c>
      <c r="O27" s="263"/>
      <c r="P27" s="263">
        <f>'８－１　ピオーネ（加温）算出基礎'!G61</f>
        <v>129075</v>
      </c>
      <c r="Q27" s="1019"/>
      <c r="R27" s="1020"/>
      <c r="S27" s="1021"/>
    </row>
    <row r="28" spans="1:19" s="162" customFormat="1" ht="18" customHeight="1" thickBot="1" x14ac:dyDescent="0.2">
      <c r="A28" s="161"/>
      <c r="B28" s="1062"/>
      <c r="C28" s="1077"/>
      <c r="D28" s="940"/>
      <c r="E28" s="62" t="s">
        <v>4</v>
      </c>
      <c r="F28" s="194">
        <f>+P11*18</f>
        <v>291600</v>
      </c>
      <c r="G28" s="274" t="s">
        <v>616</v>
      </c>
      <c r="H28" s="302"/>
      <c r="I28" s="302"/>
      <c r="J28" s="303"/>
      <c r="K28" s="1026"/>
      <c r="L28" s="174" t="s">
        <v>28</v>
      </c>
      <c r="M28" s="173"/>
      <c r="N28" s="174"/>
      <c r="O28" s="174"/>
      <c r="P28" s="174">
        <f>SUM(P24:P27)</f>
        <v>496741.26262626261</v>
      </c>
      <c r="Q28" s="1028"/>
      <c r="R28" s="1029"/>
      <c r="S28" s="1030"/>
    </row>
    <row r="29" spans="1:19" s="162" customFormat="1" ht="18" customHeight="1" thickTop="1" x14ac:dyDescent="0.15">
      <c r="A29" s="161"/>
      <c r="B29" s="1062"/>
      <c r="C29" s="1077"/>
      <c r="D29" s="938"/>
      <c r="E29" s="62" t="s">
        <v>8</v>
      </c>
      <c r="F29" s="167">
        <f>+R11*0.11</f>
        <v>1625184</v>
      </c>
      <c r="G29" s="274" t="s">
        <v>617</v>
      </c>
      <c r="H29" s="177"/>
      <c r="I29" s="302"/>
      <c r="J29" s="296"/>
      <c r="K29" s="1026"/>
      <c r="L29" s="243" t="s">
        <v>165</v>
      </c>
      <c r="M29" s="261"/>
      <c r="N29" s="262" t="s">
        <v>25</v>
      </c>
      <c r="O29" s="262" t="s">
        <v>23</v>
      </c>
      <c r="P29" s="262" t="s">
        <v>26</v>
      </c>
      <c r="Q29" s="1031" t="s">
        <v>27</v>
      </c>
      <c r="R29" s="1032"/>
      <c r="S29" s="1033"/>
    </row>
    <row r="30" spans="1:19" s="162" customFormat="1" ht="18" customHeight="1" x14ac:dyDescent="0.15">
      <c r="A30" s="161"/>
      <c r="B30" s="1062"/>
      <c r="C30" s="1077"/>
      <c r="D30" s="62" t="s">
        <v>66</v>
      </c>
      <c r="E30" s="63"/>
      <c r="F30" s="167"/>
      <c r="G30" s="274" t="s">
        <v>204</v>
      </c>
      <c r="H30" s="177"/>
      <c r="I30" s="302"/>
      <c r="J30" s="304"/>
      <c r="K30" s="1026"/>
      <c r="L30" s="263" t="s">
        <v>155</v>
      </c>
      <c r="M30" s="264"/>
      <c r="N30" s="243" t="s">
        <v>229</v>
      </c>
      <c r="O30" s="265"/>
      <c r="P30" s="263">
        <f>'８－１　ピオーネ（加温）算出基礎'!N11</f>
        <v>44352</v>
      </c>
      <c r="Q30" s="1042"/>
      <c r="R30" s="1043"/>
      <c r="S30" s="1044"/>
    </row>
    <row r="31" spans="1:19" s="162" customFormat="1" ht="18" customHeight="1" x14ac:dyDescent="0.15">
      <c r="A31" s="161"/>
      <c r="B31" s="1062"/>
      <c r="C31" s="1077"/>
      <c r="D31" s="953" t="s">
        <v>274</v>
      </c>
      <c r="E31" s="72" t="s">
        <v>108</v>
      </c>
      <c r="F31" s="194"/>
      <c r="G31" s="274" t="s">
        <v>204</v>
      </c>
      <c r="H31" s="305"/>
      <c r="I31" s="305"/>
      <c r="J31" s="306"/>
      <c r="K31" s="1026"/>
      <c r="L31" s="263" t="s">
        <v>156</v>
      </c>
      <c r="M31" s="264"/>
      <c r="N31" s="243" t="s">
        <v>229</v>
      </c>
      <c r="O31" s="265"/>
      <c r="P31" s="263">
        <f>'８－１　ピオーネ（加温）算出基礎'!N16</f>
        <v>15291</v>
      </c>
      <c r="Q31" s="1042"/>
      <c r="R31" s="1043"/>
      <c r="S31" s="1044"/>
    </row>
    <row r="32" spans="1:19" s="162" customFormat="1" ht="18" customHeight="1" x14ac:dyDescent="0.15">
      <c r="A32" s="161"/>
      <c r="B32" s="1062"/>
      <c r="C32" s="1077"/>
      <c r="D32" s="953"/>
      <c r="E32" s="72" t="s">
        <v>107</v>
      </c>
      <c r="F32" s="194"/>
      <c r="G32" s="274" t="s">
        <v>204</v>
      </c>
      <c r="H32" s="307"/>
      <c r="I32" s="307"/>
      <c r="J32" s="308"/>
      <c r="K32" s="1026"/>
      <c r="L32" s="263" t="s">
        <v>158</v>
      </c>
      <c r="M32" s="261"/>
      <c r="N32" s="265"/>
      <c r="O32" s="265"/>
      <c r="P32" s="263">
        <f>SUM(P30:P31)*R32</f>
        <v>17892.899999999998</v>
      </c>
      <c r="Q32" s="266" t="s">
        <v>157</v>
      </c>
      <c r="R32" s="267">
        <v>0.3</v>
      </c>
      <c r="S32" s="178"/>
    </row>
    <row r="33" spans="1:23" ht="18" customHeight="1" x14ac:dyDescent="0.15">
      <c r="B33" s="1062"/>
      <c r="C33" s="1077"/>
      <c r="D33" s="62" t="s">
        <v>67</v>
      </c>
      <c r="E33" s="73"/>
      <c r="F33" s="194"/>
      <c r="G33" s="274" t="s">
        <v>204</v>
      </c>
      <c r="H33" s="309"/>
      <c r="I33" s="310"/>
      <c r="J33" s="304"/>
      <c r="K33" s="1026"/>
      <c r="L33" s="263" t="s">
        <v>159</v>
      </c>
      <c r="M33" s="264"/>
      <c r="N33" s="243" t="s">
        <v>229</v>
      </c>
      <c r="O33" s="265"/>
      <c r="P33" s="263">
        <f>'８－１　ピオーネ（加温）算出基礎'!N20</f>
        <v>1978.9</v>
      </c>
      <c r="Q33" s="1019"/>
      <c r="R33" s="1020"/>
      <c r="S33" s="1021"/>
    </row>
    <row r="34" spans="1:23" ht="18" customHeight="1" x14ac:dyDescent="0.15">
      <c r="B34" s="1062"/>
      <c r="C34" s="1077"/>
      <c r="D34" s="62" t="s">
        <v>80</v>
      </c>
      <c r="E34" s="73"/>
      <c r="F34" s="194"/>
      <c r="G34" s="274" t="s">
        <v>204</v>
      </c>
      <c r="H34" s="311"/>
      <c r="I34" s="312"/>
      <c r="J34" s="313"/>
      <c r="K34" s="1026"/>
      <c r="L34" s="263" t="s">
        <v>160</v>
      </c>
      <c r="M34" s="264"/>
      <c r="N34" s="243" t="s">
        <v>229</v>
      </c>
      <c r="O34" s="265"/>
      <c r="P34" s="263">
        <f>'８－１　ピオーネ（加温）算出基礎'!N24</f>
        <v>0</v>
      </c>
      <c r="Q34" s="1019"/>
      <c r="R34" s="1020"/>
      <c r="S34" s="1021"/>
    </row>
    <row r="35" spans="1:23" ht="18" customHeight="1" x14ac:dyDescent="0.15">
      <c r="B35" s="1062"/>
      <c r="C35" s="1077"/>
      <c r="D35" s="62" t="s">
        <v>111</v>
      </c>
      <c r="E35" s="63"/>
      <c r="F35" s="194">
        <f>'８－１　ピオーネ（加温）算出基礎'!V61</f>
        <v>91216.666666666672</v>
      </c>
      <c r="G35" s="365" t="s">
        <v>202</v>
      </c>
      <c r="H35" s="363"/>
      <c r="I35" s="363"/>
      <c r="J35" s="364"/>
      <c r="K35" s="1026"/>
      <c r="L35" s="263" t="s">
        <v>272</v>
      </c>
      <c r="M35" s="264"/>
      <c r="N35" s="243" t="s">
        <v>229</v>
      </c>
      <c r="O35" s="265"/>
      <c r="P35" s="263">
        <f>'８－１　ピオーネ（加温）算出基礎'!N28</f>
        <v>599693.74</v>
      </c>
      <c r="Q35" s="1019"/>
      <c r="R35" s="1020"/>
      <c r="S35" s="1021"/>
    </row>
    <row r="36" spans="1:23" ht="18" customHeight="1" x14ac:dyDescent="0.15">
      <c r="B36" s="1062"/>
      <c r="C36" s="1077"/>
      <c r="D36" s="84" t="s">
        <v>81</v>
      </c>
      <c r="E36" s="85"/>
      <c r="F36" s="314"/>
      <c r="G36" s="243" t="s">
        <v>196</v>
      </c>
      <c r="H36" s="311"/>
      <c r="I36" s="312"/>
      <c r="J36" s="304"/>
      <c r="K36" s="1026"/>
      <c r="L36" s="263" t="s">
        <v>161</v>
      </c>
      <c r="M36" s="261"/>
      <c r="N36" s="243" t="s">
        <v>229</v>
      </c>
      <c r="O36" s="265"/>
      <c r="P36" s="263">
        <f>'８－１　ピオーネ（加温）算出基礎'!N32</f>
        <v>0</v>
      </c>
      <c r="Q36" s="1019"/>
      <c r="R36" s="1020"/>
      <c r="S36" s="1021"/>
    </row>
    <row r="37" spans="1:23" ht="18" customHeight="1" thickBot="1" x14ac:dyDescent="0.2">
      <c r="B37" s="1062"/>
      <c r="C37" s="1077"/>
      <c r="D37" s="62" t="s">
        <v>68</v>
      </c>
      <c r="E37" s="63"/>
      <c r="F37" s="194">
        <f>'８－１　ピオーネ（加温）算出基礎'!N61</f>
        <v>33573.333333333336</v>
      </c>
      <c r="G37" s="365" t="s">
        <v>202</v>
      </c>
      <c r="H37" s="363"/>
      <c r="I37" s="363"/>
      <c r="J37" s="364"/>
      <c r="K37" s="1027"/>
      <c r="L37" s="186" t="s">
        <v>28</v>
      </c>
      <c r="M37" s="185"/>
      <c r="N37" s="186"/>
      <c r="O37" s="186"/>
      <c r="P37" s="186">
        <f>SUM(P30:P36)</f>
        <v>679208.54</v>
      </c>
      <c r="Q37" s="1039"/>
      <c r="R37" s="1040"/>
      <c r="S37" s="1041"/>
    </row>
    <row r="38" spans="1:23" s="180" customFormat="1" ht="18" customHeight="1" x14ac:dyDescent="0.15">
      <c r="A38" s="161"/>
      <c r="B38" s="1062"/>
      <c r="C38" s="1077"/>
      <c r="D38" s="62" t="s">
        <v>0</v>
      </c>
      <c r="E38" s="73"/>
      <c r="F38" s="194"/>
      <c r="G38" s="15" t="s">
        <v>204</v>
      </c>
      <c r="H38" s="255"/>
      <c r="I38" s="256"/>
      <c r="J38" s="254"/>
    </row>
    <row r="39" spans="1:23" s="180" customFormat="1" ht="18" customHeight="1" thickBot="1" x14ac:dyDescent="0.2">
      <c r="A39" s="161"/>
      <c r="B39" s="1063"/>
      <c r="C39" s="1078"/>
      <c r="D39" s="1079" t="s">
        <v>218</v>
      </c>
      <c r="E39" s="1080"/>
      <c r="F39" s="245">
        <f>SUM(F27:F38)</f>
        <v>3337574</v>
      </c>
      <c r="G39" s="246"/>
      <c r="H39" s="247"/>
      <c r="I39" s="248"/>
      <c r="J39" s="249"/>
      <c r="T39" s="181"/>
    </row>
    <row r="40" spans="1:23" s="180" customFormat="1" ht="18" customHeight="1" x14ac:dyDescent="0.15">
      <c r="A40" s="161"/>
      <c r="B40" s="1064" t="s">
        <v>222</v>
      </c>
      <c r="C40" s="1067" t="s">
        <v>70</v>
      </c>
      <c r="D40" s="240" t="s">
        <v>110</v>
      </c>
      <c r="E40" s="241"/>
      <c r="F40" s="242"/>
      <c r="G40" s="243" t="s">
        <v>196</v>
      </c>
      <c r="H40" s="244"/>
      <c r="I40" s="244"/>
      <c r="J40" s="257"/>
      <c r="T40" s="162"/>
      <c r="U40" s="162"/>
      <c r="V40" s="162"/>
      <c r="W40" s="162"/>
    </row>
    <row r="41" spans="1:23" s="180" customFormat="1" ht="18" customHeight="1" x14ac:dyDescent="0.15">
      <c r="A41" s="161"/>
      <c r="B41" s="1065"/>
      <c r="C41" s="1068"/>
      <c r="D41" s="62" t="s">
        <v>109</v>
      </c>
      <c r="E41" s="63"/>
      <c r="F41" s="234"/>
      <c r="G41" s="243" t="s">
        <v>196</v>
      </c>
      <c r="H41" s="187"/>
      <c r="I41" s="187"/>
      <c r="J41" s="258"/>
      <c r="T41" s="182"/>
      <c r="U41" s="183"/>
      <c r="V41" s="184"/>
      <c r="W41" s="182"/>
    </row>
    <row r="42" spans="1:23" s="180" customFormat="1" ht="18" customHeight="1" x14ac:dyDescent="0.15">
      <c r="A42" s="161"/>
      <c r="B42" s="1065"/>
      <c r="C42" s="1069"/>
      <c r="D42" s="84" t="s">
        <v>69</v>
      </c>
      <c r="E42" s="63"/>
      <c r="F42" s="235"/>
      <c r="G42" s="243" t="s">
        <v>196</v>
      </c>
      <c r="H42" s="187"/>
      <c r="I42" s="187"/>
      <c r="J42" s="258"/>
      <c r="T42" s="162"/>
      <c r="U42" s="162"/>
      <c r="V42" s="162"/>
      <c r="W42" s="162"/>
    </row>
    <row r="43" spans="1:23" s="180" customFormat="1" ht="18" customHeight="1" x14ac:dyDescent="0.15">
      <c r="B43" s="1065"/>
      <c r="C43" s="1070" t="s">
        <v>221</v>
      </c>
      <c r="D43" s="84" t="s">
        <v>275</v>
      </c>
      <c r="E43" s="85"/>
      <c r="F43" s="235"/>
      <c r="G43" s="243" t="s">
        <v>196</v>
      </c>
      <c r="H43" s="187"/>
      <c r="I43" s="187"/>
      <c r="J43" s="258"/>
      <c r="T43" s="163"/>
      <c r="U43" s="181"/>
      <c r="V43" s="162"/>
      <c r="W43" s="182"/>
    </row>
    <row r="44" spans="1:23" s="180" customFormat="1" ht="18" customHeight="1" x14ac:dyDescent="0.15">
      <c r="B44" s="1065"/>
      <c r="C44" s="1071"/>
      <c r="D44" s="86" t="s">
        <v>1</v>
      </c>
      <c r="E44" s="87"/>
      <c r="F44" s="235"/>
      <c r="G44" s="243" t="s">
        <v>196</v>
      </c>
      <c r="H44" s="187"/>
      <c r="I44" s="187"/>
      <c r="J44" s="258"/>
      <c r="T44" s="163"/>
      <c r="U44" s="181"/>
      <c r="V44" s="162"/>
      <c r="W44" s="182"/>
    </row>
    <row r="45" spans="1:23" s="180" customFormat="1" ht="18" customHeight="1" thickBot="1" x14ac:dyDescent="0.2">
      <c r="B45" s="1066"/>
      <c r="C45" s="1072" t="s">
        <v>83</v>
      </c>
      <c r="D45" s="1073"/>
      <c r="E45" s="1074"/>
      <c r="F45" s="236">
        <f>SUM(F40:F42)-SUM(F43:F44)</f>
        <v>0</v>
      </c>
      <c r="G45" s="188"/>
      <c r="H45" s="189"/>
      <c r="I45" s="189"/>
      <c r="J45" s="259"/>
      <c r="T45" s="162"/>
      <c r="U45" s="162"/>
      <c r="V45" s="183"/>
      <c r="W45" s="162"/>
    </row>
  </sheetData>
  <mergeCells count="56">
    <mergeCell ref="B40:B45"/>
    <mergeCell ref="C40:C42"/>
    <mergeCell ref="C43:C44"/>
    <mergeCell ref="C45:E45"/>
    <mergeCell ref="D18:D21"/>
    <mergeCell ref="D22:D23"/>
    <mergeCell ref="C27:C39"/>
    <mergeCell ref="D27:D29"/>
    <mergeCell ref="D31:D32"/>
    <mergeCell ref="D39:E39"/>
    <mergeCell ref="D26:E26"/>
    <mergeCell ref="D13:D14"/>
    <mergeCell ref="D15:D17"/>
    <mergeCell ref="B4:C5"/>
    <mergeCell ref="B3:E3"/>
    <mergeCell ref="C6:C26"/>
    <mergeCell ref="B6:B39"/>
    <mergeCell ref="K3:S3"/>
    <mergeCell ref="R6:S6"/>
    <mergeCell ref="R7:S7"/>
    <mergeCell ref="R8:S8"/>
    <mergeCell ref="R9:S9"/>
    <mergeCell ref="R4:S4"/>
    <mergeCell ref="R5:S5"/>
    <mergeCell ref="R11:S11"/>
    <mergeCell ref="Q12:S12"/>
    <mergeCell ref="Q36:S36"/>
    <mergeCell ref="Q37:S37"/>
    <mergeCell ref="Q27:S27"/>
    <mergeCell ref="Q28:S28"/>
    <mergeCell ref="Q29:S29"/>
    <mergeCell ref="Q30:S30"/>
    <mergeCell ref="Q31:S31"/>
    <mergeCell ref="Q35:S35"/>
    <mergeCell ref="Q24:S24"/>
    <mergeCell ref="Q25:S25"/>
    <mergeCell ref="Q26:S26"/>
    <mergeCell ref="Q16:S16"/>
    <mergeCell ref="Q14:S14"/>
    <mergeCell ref="Q15:S15"/>
    <mergeCell ref="G10:J10"/>
    <mergeCell ref="Q13:S13"/>
    <mergeCell ref="Q17:S17"/>
    <mergeCell ref="Q18:S18"/>
    <mergeCell ref="Q19:S19"/>
    <mergeCell ref="R10:S10"/>
    <mergeCell ref="I13:J13"/>
    <mergeCell ref="I14:J14"/>
    <mergeCell ref="K12:K37"/>
    <mergeCell ref="Q20:S20"/>
    <mergeCell ref="Q21:S21"/>
    <mergeCell ref="G11:J11"/>
    <mergeCell ref="Q33:S33"/>
    <mergeCell ref="Q34:S34"/>
    <mergeCell ref="Q22:S22"/>
    <mergeCell ref="Q23:S23"/>
  </mergeCells>
  <phoneticPr fontId="5"/>
  <pageMargins left="0.78740157480314965" right="0.78740157480314965" top="0.78740157480314965" bottom="0.78740157480314965" header="0.39370078740157483" footer="0.39370078740157483"/>
  <pageSetup paperSize="9" scale="65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showZeros="0" zoomScale="75" zoomScaleNormal="75" zoomScaleSheetLayoutView="80" workbookViewId="0"/>
  </sheetViews>
  <sheetFormatPr defaultColWidth="10.875" defaultRowHeight="13.5" x14ac:dyDescent="0.15"/>
  <cols>
    <col min="1" max="1" width="1.625" style="161" customWidth="1"/>
    <col min="2" max="2" width="5.875" style="161" customWidth="1"/>
    <col min="3" max="3" width="10.625" style="161" customWidth="1"/>
    <col min="4" max="4" width="12.375" style="161" customWidth="1"/>
    <col min="5" max="5" width="14.625" style="161" customWidth="1"/>
    <col min="6" max="7" width="15.875" style="161" customWidth="1"/>
    <col min="8" max="8" width="10.875" style="161"/>
    <col min="9" max="9" width="11.375" style="161" bestFit="1" customWidth="1"/>
    <col min="10" max="10" width="13.375" style="161" customWidth="1"/>
    <col min="11" max="11" width="7.125" style="161" customWidth="1"/>
    <col min="12" max="12" width="15.375" style="161" customWidth="1"/>
    <col min="13" max="13" width="9.375" style="161" bestFit="1" customWidth="1"/>
    <col min="14" max="14" width="10.875" style="161"/>
    <col min="15" max="15" width="7.25" style="161" customWidth="1"/>
    <col min="16" max="16" width="9.625" style="161" customWidth="1"/>
    <col min="17" max="17" width="10.875" style="161" customWidth="1"/>
    <col min="18" max="18" width="7.5" style="161" customWidth="1"/>
    <col min="19" max="19" width="3.75" style="161" customWidth="1"/>
    <col min="20" max="16384" width="10.875" style="161"/>
  </cols>
  <sheetData>
    <row r="1" spans="2:19" s="162" customFormat="1" ht="9.9499999999999993" customHeight="1" x14ac:dyDescent="0.15"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</row>
    <row r="2" spans="2:19" s="162" customFormat="1" ht="24.95" customHeight="1" thickBot="1" x14ac:dyDescent="0.2">
      <c r="B2" s="3" t="s">
        <v>754</v>
      </c>
      <c r="H2" s="163" t="s">
        <v>264</v>
      </c>
      <c r="I2" s="3" t="s">
        <v>387</v>
      </c>
      <c r="K2" s="163" t="s">
        <v>265</v>
      </c>
      <c r="L2" s="3" t="s">
        <v>484</v>
      </c>
      <c r="N2" s="161"/>
      <c r="O2" s="161"/>
      <c r="Q2" s="4"/>
      <c r="R2" s="4"/>
    </row>
    <row r="3" spans="2:19" s="162" customFormat="1" ht="18" customHeight="1" x14ac:dyDescent="0.15">
      <c r="B3" s="1055" t="s">
        <v>19</v>
      </c>
      <c r="C3" s="1056"/>
      <c r="D3" s="1056"/>
      <c r="E3" s="1057"/>
      <c r="F3" s="192" t="s">
        <v>20</v>
      </c>
      <c r="G3" s="165"/>
      <c r="H3" s="166" t="s">
        <v>21</v>
      </c>
      <c r="I3" s="164"/>
      <c r="J3" s="164"/>
      <c r="K3" s="1045" t="s">
        <v>227</v>
      </c>
      <c r="L3" s="1046"/>
      <c r="M3" s="1046"/>
      <c r="N3" s="1046"/>
      <c r="O3" s="1046"/>
      <c r="P3" s="1046"/>
      <c r="Q3" s="1046"/>
      <c r="R3" s="1046"/>
      <c r="S3" s="1047"/>
    </row>
    <row r="4" spans="2:19" s="162" customFormat="1" ht="18" customHeight="1" x14ac:dyDescent="0.15">
      <c r="B4" s="1053" t="s">
        <v>22</v>
      </c>
      <c r="C4" s="1054"/>
      <c r="D4" s="274" t="s">
        <v>220</v>
      </c>
      <c r="E4" s="293"/>
      <c r="F4" s="286">
        <f>+R11</f>
        <v>13888800</v>
      </c>
      <c r="G4" s="274" t="s">
        <v>673</v>
      </c>
      <c r="H4" s="269"/>
      <c r="I4" s="269"/>
      <c r="J4" s="269"/>
      <c r="K4" s="282" t="s">
        <v>270</v>
      </c>
      <c r="L4" s="372" t="s">
        <v>268</v>
      </c>
      <c r="M4" s="284" t="s">
        <v>23</v>
      </c>
      <c r="N4" s="284" t="s">
        <v>22</v>
      </c>
      <c r="O4" s="284" t="s">
        <v>52</v>
      </c>
      <c r="P4" s="372" t="s">
        <v>269</v>
      </c>
      <c r="Q4" s="284" t="s">
        <v>23</v>
      </c>
      <c r="R4" s="1048" t="s">
        <v>22</v>
      </c>
      <c r="S4" s="1049"/>
    </row>
    <row r="5" spans="2:19" s="162" customFormat="1" ht="18" customHeight="1" x14ac:dyDescent="0.15">
      <c r="B5" s="1053"/>
      <c r="C5" s="1054"/>
      <c r="D5" s="274" t="s">
        <v>76</v>
      </c>
      <c r="E5" s="293"/>
      <c r="F5" s="286"/>
      <c r="G5" s="237"/>
      <c r="H5" s="294"/>
      <c r="I5" s="294"/>
      <c r="J5" s="294"/>
      <c r="K5" s="368">
        <v>9</v>
      </c>
      <c r="L5" s="286">
        <v>5400</v>
      </c>
      <c r="M5" s="286">
        <v>912</v>
      </c>
      <c r="N5" s="286">
        <f>L5*M5</f>
        <v>4924800</v>
      </c>
      <c r="O5" s="286"/>
      <c r="P5" s="286"/>
      <c r="Q5" s="286"/>
      <c r="R5" s="1022">
        <f>P5*Q5</f>
        <v>0</v>
      </c>
      <c r="S5" s="1015"/>
    </row>
    <row r="6" spans="2:19" s="162" customFormat="1" ht="18" customHeight="1" x14ac:dyDescent="0.15">
      <c r="B6" s="1061" t="s">
        <v>225</v>
      </c>
      <c r="C6" s="1058" t="s">
        <v>211</v>
      </c>
      <c r="D6" s="286" t="s">
        <v>56</v>
      </c>
      <c r="E6" s="295"/>
      <c r="F6" s="286">
        <f>+P13</f>
        <v>0</v>
      </c>
      <c r="G6" s="237" t="s">
        <v>195</v>
      </c>
      <c r="H6" s="294"/>
      <c r="I6" s="294"/>
      <c r="J6" s="294"/>
      <c r="K6" s="292">
        <v>10</v>
      </c>
      <c r="L6" s="289">
        <v>10800</v>
      </c>
      <c r="M6" s="286">
        <v>830</v>
      </c>
      <c r="N6" s="286">
        <f>L6*M6</f>
        <v>8964000</v>
      </c>
      <c r="O6" s="286"/>
      <c r="P6" s="286"/>
      <c r="Q6" s="286"/>
      <c r="R6" s="1022">
        <f t="shared" ref="R6:R9" si="0">P6*Q6</f>
        <v>0</v>
      </c>
      <c r="S6" s="1015"/>
    </row>
    <row r="7" spans="2:19" s="162" customFormat="1" ht="18" customHeight="1" x14ac:dyDescent="0.15">
      <c r="B7" s="1062"/>
      <c r="C7" s="1059"/>
      <c r="D7" s="286" t="s">
        <v>57</v>
      </c>
      <c r="E7" s="295"/>
      <c r="F7" s="286">
        <f>P22</f>
        <v>970750</v>
      </c>
      <c r="G7" s="274" t="s">
        <v>742</v>
      </c>
      <c r="H7" s="269"/>
      <c r="I7" s="269"/>
      <c r="J7" s="296"/>
      <c r="K7" s="290"/>
      <c r="L7" s="300"/>
      <c r="M7" s="286"/>
      <c r="N7" s="286">
        <f t="shared" ref="N7:N11" si="1">L7*M7</f>
        <v>0</v>
      </c>
      <c r="O7" s="286"/>
      <c r="P7" s="286"/>
      <c r="Q7" s="286"/>
      <c r="R7" s="1022">
        <f t="shared" si="0"/>
        <v>0</v>
      </c>
      <c r="S7" s="1015"/>
    </row>
    <row r="8" spans="2:19" s="162" customFormat="1" ht="18" customHeight="1" x14ac:dyDescent="0.15">
      <c r="B8" s="1062"/>
      <c r="C8" s="1059"/>
      <c r="D8" s="286" t="s">
        <v>58</v>
      </c>
      <c r="E8" s="295"/>
      <c r="F8" s="286">
        <f>P28</f>
        <v>496741.26262626261</v>
      </c>
      <c r="G8" s="243" t="s">
        <v>743</v>
      </c>
      <c r="H8" s="261"/>
      <c r="I8" s="261"/>
      <c r="J8" s="297"/>
      <c r="K8" s="288"/>
      <c r="L8" s="286"/>
      <c r="M8" s="286"/>
      <c r="N8" s="286">
        <f t="shared" si="1"/>
        <v>0</v>
      </c>
      <c r="O8" s="286"/>
      <c r="P8" s="286"/>
      <c r="Q8" s="286"/>
      <c r="R8" s="1022">
        <f t="shared" si="0"/>
        <v>0</v>
      </c>
      <c r="S8" s="1015"/>
    </row>
    <row r="9" spans="2:19" s="162" customFormat="1" ht="18" customHeight="1" x14ac:dyDescent="0.15">
      <c r="B9" s="1062"/>
      <c r="C9" s="1059"/>
      <c r="D9" s="286" t="s">
        <v>77</v>
      </c>
      <c r="E9" s="295"/>
      <c r="F9" s="286">
        <f>P37</f>
        <v>29064.400000000001</v>
      </c>
      <c r="G9" s="243" t="s">
        <v>744</v>
      </c>
      <c r="H9" s="261"/>
      <c r="I9" s="261"/>
      <c r="J9" s="297"/>
      <c r="K9" s="288"/>
      <c r="L9" s="286"/>
      <c r="M9" s="286"/>
      <c r="N9" s="286">
        <f t="shared" si="1"/>
        <v>0</v>
      </c>
      <c r="O9" s="286"/>
      <c r="P9" s="286"/>
      <c r="Q9" s="286"/>
      <c r="R9" s="1022">
        <f t="shared" si="0"/>
        <v>0</v>
      </c>
      <c r="S9" s="1015"/>
    </row>
    <row r="10" spans="2:19" s="162" customFormat="1" ht="18" customHeight="1" x14ac:dyDescent="0.15">
      <c r="B10" s="1062"/>
      <c r="C10" s="1059"/>
      <c r="D10" s="286" t="s">
        <v>59</v>
      </c>
      <c r="E10" s="295"/>
      <c r="F10" s="286">
        <f>'８－１　ピオーネ（トンネル）算出基礎'!V21</f>
        <v>358728</v>
      </c>
      <c r="G10" s="1013"/>
      <c r="H10" s="1014"/>
      <c r="I10" s="1014"/>
      <c r="J10" s="1015"/>
      <c r="K10" s="288"/>
      <c r="L10" s="286"/>
      <c r="M10" s="286"/>
      <c r="N10" s="286">
        <f t="shared" si="1"/>
        <v>0</v>
      </c>
      <c r="O10" s="286"/>
      <c r="P10" s="286"/>
      <c r="Q10" s="286"/>
      <c r="R10" s="1022"/>
      <c r="S10" s="1015"/>
    </row>
    <row r="11" spans="2:19" s="162" customFormat="1" ht="18" customHeight="1" thickBot="1" x14ac:dyDescent="0.2">
      <c r="B11" s="1062"/>
      <c r="C11" s="1059"/>
      <c r="D11" s="286" t="s">
        <v>6</v>
      </c>
      <c r="E11" s="295"/>
      <c r="F11" s="286">
        <f>'８－１　ピオーネ（トンネル）算出基礎'!V38</f>
        <v>58279.714285714283</v>
      </c>
      <c r="G11" s="1013"/>
      <c r="H11" s="1014"/>
      <c r="I11" s="1014"/>
      <c r="J11" s="1015"/>
      <c r="K11" s="183"/>
      <c r="L11" s="168"/>
      <c r="M11" s="168"/>
      <c r="N11" s="167">
        <f t="shared" si="1"/>
        <v>0</v>
      </c>
      <c r="O11" s="169" t="s">
        <v>24</v>
      </c>
      <c r="P11" s="170">
        <f>SUM(L5:L11,P5:Q10)</f>
        <v>16200</v>
      </c>
      <c r="Q11" s="171">
        <f>R11/P11</f>
        <v>857.33333333333337</v>
      </c>
      <c r="R11" s="1034">
        <f>SUM(N5:N11,R5:S10)</f>
        <v>13888800</v>
      </c>
      <c r="S11" s="1035"/>
    </row>
    <row r="12" spans="2:19" s="162" customFormat="1" ht="18" customHeight="1" thickTop="1" x14ac:dyDescent="0.15">
      <c r="B12" s="1062"/>
      <c r="C12" s="1059"/>
      <c r="D12" s="286" t="s">
        <v>7</v>
      </c>
      <c r="E12" s="295"/>
      <c r="F12" s="286"/>
      <c r="G12" s="243"/>
      <c r="H12" s="261"/>
      <c r="I12" s="261"/>
      <c r="J12" s="297"/>
      <c r="K12" s="1025" t="s">
        <v>226</v>
      </c>
      <c r="L12" s="276" t="s">
        <v>162</v>
      </c>
      <c r="M12" s="280" t="s">
        <v>9</v>
      </c>
      <c r="N12" s="374" t="s">
        <v>267</v>
      </c>
      <c r="O12" s="279" t="s">
        <v>23</v>
      </c>
      <c r="P12" s="279" t="s">
        <v>26</v>
      </c>
      <c r="Q12" s="1036" t="s">
        <v>27</v>
      </c>
      <c r="R12" s="1037"/>
      <c r="S12" s="1038"/>
    </row>
    <row r="13" spans="2:19" s="162" customFormat="1" ht="18" customHeight="1" x14ac:dyDescent="0.15">
      <c r="B13" s="1062"/>
      <c r="C13" s="1059"/>
      <c r="D13" s="1050" t="s">
        <v>60</v>
      </c>
      <c r="E13" s="299" t="s">
        <v>191</v>
      </c>
      <c r="F13" s="286">
        <f>'６-１　ピオーネトンネル被覆資本装備'!L15*'７－１　ピオーネ（トンネル）部門収支'!H13</f>
        <v>284100</v>
      </c>
      <c r="G13" s="243" t="s">
        <v>197</v>
      </c>
      <c r="H13" s="727">
        <v>0.01</v>
      </c>
      <c r="I13" s="1023" t="s">
        <v>203</v>
      </c>
      <c r="J13" s="1024"/>
      <c r="K13" s="1026"/>
      <c r="L13" s="298"/>
      <c r="M13" s="275" t="s">
        <v>399</v>
      </c>
      <c r="N13" s="196"/>
      <c r="O13" s="196"/>
      <c r="P13" s="196">
        <f>N13*O13</f>
        <v>0</v>
      </c>
      <c r="Q13" s="1016"/>
      <c r="R13" s="1017"/>
      <c r="S13" s="1018"/>
    </row>
    <row r="14" spans="2:19" s="162" customFormat="1" ht="18" customHeight="1" x14ac:dyDescent="0.15">
      <c r="B14" s="1062"/>
      <c r="C14" s="1059"/>
      <c r="D14" s="1051"/>
      <c r="E14" s="299" t="s">
        <v>192</v>
      </c>
      <c r="F14" s="286">
        <f>'６-１　ピオーネトンネル被覆資本装備'!L29*'７－１　ピオーネ（トンネル）部門収支'!H14</f>
        <v>147227.83333333331</v>
      </c>
      <c r="G14" s="243" t="s">
        <v>197</v>
      </c>
      <c r="H14" s="727">
        <v>0.05</v>
      </c>
      <c r="I14" s="1023" t="s">
        <v>203</v>
      </c>
      <c r="J14" s="1024"/>
      <c r="K14" s="1026"/>
      <c r="L14" s="287"/>
      <c r="M14" s="275"/>
      <c r="N14" s="196"/>
      <c r="O14" s="196"/>
      <c r="P14" s="196">
        <f>N14*O14</f>
        <v>0</v>
      </c>
      <c r="Q14" s="1083"/>
      <c r="R14" s="1017"/>
      <c r="S14" s="1018"/>
    </row>
    <row r="15" spans="2:19" s="162" customFormat="1" ht="18" customHeight="1" thickBot="1" x14ac:dyDescent="0.2">
      <c r="B15" s="1062"/>
      <c r="C15" s="1059"/>
      <c r="D15" s="1050" t="s">
        <v>78</v>
      </c>
      <c r="E15" s="299" t="s">
        <v>191</v>
      </c>
      <c r="F15" s="286">
        <f>'６-１　ピオーネトンネル被覆資本装備'!P15</f>
        <v>2393784.562211982</v>
      </c>
      <c r="G15" s="243" t="s">
        <v>203</v>
      </c>
      <c r="H15" s="250"/>
      <c r="I15" s="250"/>
      <c r="J15" s="251"/>
      <c r="K15" s="1026"/>
      <c r="L15" s="174" t="s">
        <v>28</v>
      </c>
      <c r="M15" s="173"/>
      <c r="N15" s="174"/>
      <c r="O15" s="174"/>
      <c r="P15" s="174">
        <f>SUM(P13:P14)</f>
        <v>0</v>
      </c>
      <c r="Q15" s="1028"/>
      <c r="R15" s="1029"/>
      <c r="S15" s="1030"/>
    </row>
    <row r="16" spans="2:19" s="162" customFormat="1" ht="18" customHeight="1" thickTop="1" x14ac:dyDescent="0.15">
      <c r="B16" s="1062"/>
      <c r="C16" s="1059"/>
      <c r="D16" s="1052"/>
      <c r="E16" s="299" t="s">
        <v>192</v>
      </c>
      <c r="F16" s="286">
        <f>'６-１　ピオーネトンネル被覆資本装備'!P29</f>
        <v>486365.23809523805</v>
      </c>
      <c r="G16" s="243" t="s">
        <v>203</v>
      </c>
      <c r="H16" s="250"/>
      <c r="I16" s="250"/>
      <c r="J16" s="251"/>
      <c r="K16" s="1026"/>
      <c r="L16" s="270" t="s">
        <v>163</v>
      </c>
      <c r="M16" s="271"/>
      <c r="N16" s="373" t="s">
        <v>267</v>
      </c>
      <c r="O16" s="272" t="s">
        <v>23</v>
      </c>
      <c r="P16" s="273" t="s">
        <v>26</v>
      </c>
      <c r="Q16" s="1031" t="s">
        <v>27</v>
      </c>
      <c r="R16" s="1032"/>
      <c r="S16" s="1033"/>
    </row>
    <row r="17" spans="1:19" s="162" customFormat="1" ht="18" customHeight="1" x14ac:dyDescent="0.15">
      <c r="B17" s="1062"/>
      <c r="C17" s="1059"/>
      <c r="D17" s="1051"/>
      <c r="E17" s="286" t="s">
        <v>61</v>
      </c>
      <c r="F17" s="286">
        <f>'６-１　ピオーネトンネル被覆資本装備'!P34</f>
        <v>171270.43333333332</v>
      </c>
      <c r="G17" s="243" t="s">
        <v>203</v>
      </c>
      <c r="H17" s="250"/>
      <c r="I17" s="250"/>
      <c r="J17" s="251"/>
      <c r="K17" s="1026"/>
      <c r="L17" s="274" t="s">
        <v>170</v>
      </c>
      <c r="M17" s="275"/>
      <c r="N17" s="243" t="s">
        <v>400</v>
      </c>
      <c r="O17" s="265"/>
      <c r="P17" s="263">
        <f>'８－１　ピオーネ（トンネル）算出基礎'!G7</f>
        <v>664800</v>
      </c>
      <c r="Q17" s="1019"/>
      <c r="R17" s="1020"/>
      <c r="S17" s="1021"/>
    </row>
    <row r="18" spans="1:19" s="162" customFormat="1" ht="18" customHeight="1" x14ac:dyDescent="0.15">
      <c r="A18" s="161"/>
      <c r="B18" s="1062"/>
      <c r="C18" s="1059"/>
      <c r="D18" s="1075" t="s">
        <v>273</v>
      </c>
      <c r="E18" s="300" t="s">
        <v>108</v>
      </c>
      <c r="F18" s="286"/>
      <c r="G18" s="243"/>
      <c r="H18" s="250"/>
      <c r="I18" s="250"/>
      <c r="J18" s="251"/>
      <c r="K18" s="1026"/>
      <c r="L18" s="274" t="s">
        <v>167</v>
      </c>
      <c r="M18" s="275"/>
      <c r="N18" s="243" t="s">
        <v>401</v>
      </c>
      <c r="O18" s="265"/>
      <c r="P18" s="263">
        <f>'８－１　ピオーネ（トンネル）算出基礎'!G12</f>
        <v>207850</v>
      </c>
      <c r="Q18" s="1019"/>
      <c r="R18" s="1020"/>
      <c r="S18" s="1021"/>
    </row>
    <row r="19" spans="1:19" s="162" customFormat="1" ht="18" customHeight="1" x14ac:dyDescent="0.15">
      <c r="A19" s="161"/>
      <c r="B19" s="1062"/>
      <c r="C19" s="1059"/>
      <c r="D19" s="1075"/>
      <c r="E19" s="300" t="s">
        <v>104</v>
      </c>
      <c r="F19" s="286"/>
      <c r="G19" s="243"/>
      <c r="H19" s="250"/>
      <c r="I19" s="175"/>
      <c r="J19" s="251"/>
      <c r="K19" s="1026"/>
      <c r="L19" s="243" t="s">
        <v>168</v>
      </c>
      <c r="M19" s="261"/>
      <c r="N19" s="243" t="s">
        <v>402</v>
      </c>
      <c r="O19" s="265"/>
      <c r="P19" s="263">
        <f>'８－１　ピオーネ（トンネル）算出基礎'!G17</f>
        <v>81600</v>
      </c>
      <c r="Q19" s="1019"/>
      <c r="R19" s="1020"/>
      <c r="S19" s="1021"/>
    </row>
    <row r="20" spans="1:19" s="162" customFormat="1" ht="18" customHeight="1" x14ac:dyDescent="0.15">
      <c r="A20" s="161"/>
      <c r="B20" s="1062"/>
      <c r="C20" s="1059"/>
      <c r="D20" s="1075"/>
      <c r="E20" s="300" t="s">
        <v>105</v>
      </c>
      <c r="F20" s="286"/>
      <c r="G20" s="243"/>
      <c r="H20" s="250"/>
      <c r="I20" s="175"/>
      <c r="J20" s="251"/>
      <c r="K20" s="1026"/>
      <c r="L20" s="243" t="s">
        <v>171</v>
      </c>
      <c r="M20" s="261"/>
      <c r="N20" s="243" t="s">
        <v>403</v>
      </c>
      <c r="O20" s="265"/>
      <c r="P20" s="263">
        <f>'８－１　ピオーネ（トンネル）算出基礎'!G21</f>
        <v>16500</v>
      </c>
      <c r="Q20" s="1019"/>
      <c r="R20" s="1020"/>
      <c r="S20" s="1021"/>
    </row>
    <row r="21" spans="1:19" s="162" customFormat="1" ht="18" customHeight="1" x14ac:dyDescent="0.15">
      <c r="A21" s="161"/>
      <c r="B21" s="1062"/>
      <c r="C21" s="1059"/>
      <c r="D21" s="1075"/>
      <c r="E21" s="300" t="s">
        <v>106</v>
      </c>
      <c r="F21" s="286"/>
      <c r="G21" s="243"/>
      <c r="H21" s="250"/>
      <c r="I21" s="250"/>
      <c r="J21" s="251"/>
      <c r="K21" s="1026"/>
      <c r="L21" s="243" t="s">
        <v>172</v>
      </c>
      <c r="M21" s="261"/>
      <c r="N21" s="243"/>
      <c r="O21" s="263"/>
      <c r="P21" s="263">
        <f>'８－１　ピオーネ（トンネル）算出基礎'!G25</f>
        <v>0</v>
      </c>
      <c r="Q21" s="1019"/>
      <c r="R21" s="1020"/>
      <c r="S21" s="1021"/>
    </row>
    <row r="22" spans="1:19" s="162" customFormat="1" ht="18" customHeight="1" thickBot="1" x14ac:dyDescent="0.2">
      <c r="A22" s="161"/>
      <c r="B22" s="1062"/>
      <c r="C22" s="1059"/>
      <c r="D22" s="1075" t="s">
        <v>62</v>
      </c>
      <c r="E22" s="300" t="s">
        <v>63</v>
      </c>
      <c r="F22" s="286"/>
      <c r="G22" s="243"/>
      <c r="H22" s="250"/>
      <c r="I22" s="250"/>
      <c r="J22" s="251"/>
      <c r="K22" s="1026"/>
      <c r="L22" s="174" t="s">
        <v>28</v>
      </c>
      <c r="M22" s="173"/>
      <c r="N22" s="174"/>
      <c r="O22" s="174"/>
      <c r="P22" s="174">
        <f>SUM(P17:P21)</f>
        <v>970750</v>
      </c>
      <c r="Q22" s="1028"/>
      <c r="R22" s="1029"/>
      <c r="S22" s="1030"/>
    </row>
    <row r="23" spans="1:19" s="162" customFormat="1" ht="18" customHeight="1" thickTop="1" x14ac:dyDescent="0.15">
      <c r="A23" s="161"/>
      <c r="B23" s="1062"/>
      <c r="C23" s="1059"/>
      <c r="D23" s="1075"/>
      <c r="E23" s="300" t="s">
        <v>79</v>
      </c>
      <c r="F23" s="286"/>
      <c r="G23" s="243"/>
      <c r="H23" s="250"/>
      <c r="I23" s="250"/>
      <c r="J23" s="251"/>
      <c r="K23" s="1026"/>
      <c r="L23" s="243" t="s">
        <v>164</v>
      </c>
      <c r="M23" s="261"/>
      <c r="N23" s="262" t="s">
        <v>25</v>
      </c>
      <c r="O23" s="262" t="s">
        <v>23</v>
      </c>
      <c r="P23" s="262" t="s">
        <v>26</v>
      </c>
      <c r="Q23" s="1031" t="s">
        <v>27</v>
      </c>
      <c r="R23" s="1032"/>
      <c r="S23" s="1033"/>
    </row>
    <row r="24" spans="1:19" s="162" customFormat="1" ht="18" customHeight="1" x14ac:dyDescent="0.15">
      <c r="A24" s="161"/>
      <c r="B24" s="1062"/>
      <c r="C24" s="1059"/>
      <c r="D24" s="286" t="s">
        <v>64</v>
      </c>
      <c r="E24" s="295"/>
      <c r="F24" s="286">
        <v>150000</v>
      </c>
      <c r="G24" s="243"/>
      <c r="H24" s="250"/>
      <c r="I24" s="728"/>
      <c r="J24" s="251"/>
      <c r="K24" s="1026"/>
      <c r="L24" s="263" t="s">
        <v>29</v>
      </c>
      <c r="M24" s="261"/>
      <c r="N24" s="243" t="s">
        <v>405</v>
      </c>
      <c r="O24" s="263"/>
      <c r="P24" s="263">
        <f>'８－１　ピオーネ（トンネル）算出基礎'!G42</f>
        <v>193400</v>
      </c>
      <c r="Q24" s="1019"/>
      <c r="R24" s="1020"/>
      <c r="S24" s="1021"/>
    </row>
    <row r="25" spans="1:19" s="162" customFormat="1" ht="18" customHeight="1" x14ac:dyDescent="0.15">
      <c r="A25" s="161"/>
      <c r="B25" s="1062"/>
      <c r="C25" s="1059"/>
      <c r="D25" s="286" t="s">
        <v>166</v>
      </c>
      <c r="E25" s="295"/>
      <c r="F25" s="286">
        <f>SUM(F6:F24)/99</f>
        <v>56023.347918039028</v>
      </c>
      <c r="G25" s="301" t="s">
        <v>230</v>
      </c>
      <c r="H25" s="315">
        <v>0.01</v>
      </c>
      <c r="I25" s="176"/>
      <c r="J25" s="18"/>
      <c r="K25" s="1026"/>
      <c r="L25" s="263" t="s">
        <v>30</v>
      </c>
      <c r="M25" s="261"/>
      <c r="N25" s="243" t="s">
        <v>406</v>
      </c>
      <c r="O25" s="263"/>
      <c r="P25" s="263">
        <f>'８－１　ピオーネ（トンネル）算出基礎'!G53</f>
        <v>132684.44444444444</v>
      </c>
      <c r="Q25" s="1019"/>
      <c r="R25" s="1020"/>
      <c r="S25" s="1021"/>
    </row>
    <row r="26" spans="1:19" s="162" customFormat="1" ht="18" customHeight="1" x14ac:dyDescent="0.15">
      <c r="A26" s="161"/>
      <c r="B26" s="1062"/>
      <c r="C26" s="1060"/>
      <c r="D26" s="1081" t="s">
        <v>219</v>
      </c>
      <c r="E26" s="1082"/>
      <c r="F26" s="193">
        <f>SUM(F6:F25)</f>
        <v>5602334.7918039029</v>
      </c>
      <c r="G26" s="253"/>
      <c r="H26" s="176"/>
      <c r="I26" s="176"/>
      <c r="J26" s="179"/>
      <c r="K26" s="1026"/>
      <c r="L26" s="263" t="s">
        <v>31</v>
      </c>
      <c r="M26" s="261"/>
      <c r="N26" s="243" t="s">
        <v>403</v>
      </c>
      <c r="O26" s="263"/>
      <c r="P26" s="263">
        <f>'８－１　ピオーネ（トンネル）算出基礎'!G57</f>
        <v>41581.818181818184</v>
      </c>
      <c r="Q26" s="1019"/>
      <c r="R26" s="1020"/>
      <c r="S26" s="1021"/>
    </row>
    <row r="27" spans="1:19" s="162" customFormat="1" ht="18" customHeight="1" x14ac:dyDescent="0.15">
      <c r="A27" s="161"/>
      <c r="B27" s="1062"/>
      <c r="C27" s="1076" t="s">
        <v>198</v>
      </c>
      <c r="D27" s="937" t="s">
        <v>65</v>
      </c>
      <c r="E27" s="62" t="s">
        <v>3</v>
      </c>
      <c r="F27" s="167">
        <f>+P11*80</f>
        <v>1296000</v>
      </c>
      <c r="G27" s="274" t="s">
        <v>615</v>
      </c>
      <c r="H27" s="261"/>
      <c r="I27" s="172"/>
      <c r="J27" s="297"/>
      <c r="K27" s="1026"/>
      <c r="L27" s="263" t="s">
        <v>132</v>
      </c>
      <c r="M27" s="261"/>
      <c r="N27" s="243" t="s">
        <v>404</v>
      </c>
      <c r="O27" s="263"/>
      <c r="P27" s="263">
        <f>'８－１　ピオーネ（トンネル）算出基礎'!G61</f>
        <v>129075</v>
      </c>
      <c r="Q27" s="1019"/>
      <c r="R27" s="1020"/>
      <c r="S27" s="1021"/>
    </row>
    <row r="28" spans="1:19" s="162" customFormat="1" ht="18" customHeight="1" thickBot="1" x14ac:dyDescent="0.2">
      <c r="A28" s="161"/>
      <c r="B28" s="1062"/>
      <c r="C28" s="1077"/>
      <c r="D28" s="940"/>
      <c r="E28" s="62" t="s">
        <v>4</v>
      </c>
      <c r="F28" s="194">
        <f>+P11*18</f>
        <v>291600</v>
      </c>
      <c r="G28" s="274" t="s">
        <v>616</v>
      </c>
      <c r="H28" s="302"/>
      <c r="I28" s="302"/>
      <c r="J28" s="303"/>
      <c r="K28" s="1026"/>
      <c r="L28" s="174" t="s">
        <v>28</v>
      </c>
      <c r="M28" s="173"/>
      <c r="N28" s="174"/>
      <c r="O28" s="174"/>
      <c r="P28" s="174">
        <f>SUM(P24:P27)</f>
        <v>496741.26262626261</v>
      </c>
      <c r="Q28" s="1028"/>
      <c r="R28" s="1029"/>
      <c r="S28" s="1030"/>
    </row>
    <row r="29" spans="1:19" s="162" customFormat="1" ht="18" customHeight="1" thickTop="1" x14ac:dyDescent="0.15">
      <c r="A29" s="161"/>
      <c r="B29" s="1062"/>
      <c r="C29" s="1077"/>
      <c r="D29" s="938"/>
      <c r="E29" s="62" t="s">
        <v>8</v>
      </c>
      <c r="F29" s="167">
        <f>+R11*0.11</f>
        <v>1527768</v>
      </c>
      <c r="G29" s="274" t="s">
        <v>617</v>
      </c>
      <c r="H29" s="269"/>
      <c r="I29" s="302"/>
      <c r="J29" s="296"/>
      <c r="K29" s="1026"/>
      <c r="L29" s="243" t="s">
        <v>165</v>
      </c>
      <c r="M29" s="261"/>
      <c r="N29" s="262" t="s">
        <v>25</v>
      </c>
      <c r="O29" s="262" t="s">
        <v>23</v>
      </c>
      <c r="P29" s="262" t="s">
        <v>26</v>
      </c>
      <c r="Q29" s="1031" t="s">
        <v>27</v>
      </c>
      <c r="R29" s="1032"/>
      <c r="S29" s="1033"/>
    </row>
    <row r="30" spans="1:19" s="162" customFormat="1" ht="18" customHeight="1" x14ac:dyDescent="0.15">
      <c r="A30" s="161"/>
      <c r="B30" s="1062"/>
      <c r="C30" s="1077"/>
      <c r="D30" s="62" t="s">
        <v>66</v>
      </c>
      <c r="E30" s="63"/>
      <c r="F30" s="167"/>
      <c r="G30" s="274" t="s">
        <v>204</v>
      </c>
      <c r="H30" s="269"/>
      <c r="I30" s="302"/>
      <c r="J30" s="304"/>
      <c r="K30" s="1026"/>
      <c r="L30" s="263" t="s">
        <v>47</v>
      </c>
      <c r="M30" s="264"/>
      <c r="N30" s="243" t="s">
        <v>546</v>
      </c>
      <c r="O30" s="265">
        <f>+'８－１　ピオーネ（トンネル）算出基礎'!M6</f>
        <v>123.2</v>
      </c>
      <c r="P30" s="263">
        <f>'８－１　ピオーネ（トンネル）算出基礎'!N11</f>
        <v>5544</v>
      </c>
      <c r="Q30" s="1042"/>
      <c r="R30" s="1043"/>
      <c r="S30" s="1044"/>
    </row>
    <row r="31" spans="1:19" s="162" customFormat="1" ht="18" customHeight="1" x14ac:dyDescent="0.15">
      <c r="A31" s="161"/>
      <c r="B31" s="1062"/>
      <c r="C31" s="1077"/>
      <c r="D31" s="953" t="s">
        <v>274</v>
      </c>
      <c r="E31" s="72" t="s">
        <v>108</v>
      </c>
      <c r="F31" s="194"/>
      <c r="G31" s="274" t="s">
        <v>204</v>
      </c>
      <c r="H31" s="305"/>
      <c r="I31" s="305"/>
      <c r="J31" s="306"/>
      <c r="K31" s="1026"/>
      <c r="L31" s="263" t="s">
        <v>46</v>
      </c>
      <c r="M31" s="264"/>
      <c r="N31" s="243" t="s">
        <v>548</v>
      </c>
      <c r="O31" s="265">
        <f>+'８－１　ピオーネ（トンネル）算出基礎'!M12</f>
        <v>169.9</v>
      </c>
      <c r="P31" s="263">
        <f>'８－１　ピオーネ（トンネル）算出基礎'!N16</f>
        <v>15291</v>
      </c>
      <c r="Q31" s="1042"/>
      <c r="R31" s="1043"/>
      <c r="S31" s="1044"/>
    </row>
    <row r="32" spans="1:19" s="162" customFormat="1" ht="18" customHeight="1" x14ac:dyDescent="0.15">
      <c r="A32" s="161"/>
      <c r="B32" s="1062"/>
      <c r="C32" s="1077"/>
      <c r="D32" s="953"/>
      <c r="E32" s="72" t="s">
        <v>107</v>
      </c>
      <c r="F32" s="194"/>
      <c r="G32" s="274" t="s">
        <v>204</v>
      </c>
      <c r="H32" s="307"/>
      <c r="I32" s="307"/>
      <c r="J32" s="308"/>
      <c r="K32" s="1026"/>
      <c r="L32" s="263" t="s">
        <v>48</v>
      </c>
      <c r="M32" s="261"/>
      <c r="N32" s="265"/>
      <c r="O32" s="265"/>
      <c r="P32" s="263">
        <f>SUM(P30:P31)*R32</f>
        <v>6250.5</v>
      </c>
      <c r="Q32" s="268" t="s">
        <v>32</v>
      </c>
      <c r="R32" s="267">
        <v>0.3</v>
      </c>
      <c r="S32" s="178"/>
    </row>
    <row r="33" spans="1:23" ht="18" customHeight="1" x14ac:dyDescent="0.15">
      <c r="B33" s="1062"/>
      <c r="C33" s="1077"/>
      <c r="D33" s="62" t="s">
        <v>67</v>
      </c>
      <c r="E33" s="73"/>
      <c r="F33" s="194"/>
      <c r="G33" s="274" t="s">
        <v>204</v>
      </c>
      <c r="H33" s="309"/>
      <c r="I33" s="310"/>
      <c r="J33" s="304"/>
      <c r="K33" s="1026"/>
      <c r="L33" s="263" t="s">
        <v>49</v>
      </c>
      <c r="M33" s="264"/>
      <c r="N33" s="243" t="s">
        <v>550</v>
      </c>
      <c r="O33" s="265">
        <f>+'８－１　ピオーネ（トンネル）算出基礎'!M17</f>
        <v>179.9</v>
      </c>
      <c r="P33" s="263">
        <f>'８－１　ピオーネ（トンネル）算出基礎'!N20</f>
        <v>1978.9</v>
      </c>
      <c r="Q33" s="1019"/>
      <c r="R33" s="1020"/>
      <c r="S33" s="1021"/>
    </row>
    <row r="34" spans="1:23" ht="18" customHeight="1" x14ac:dyDescent="0.15">
      <c r="B34" s="1062"/>
      <c r="C34" s="1077"/>
      <c r="D34" s="62" t="s">
        <v>80</v>
      </c>
      <c r="E34" s="73"/>
      <c r="F34" s="194"/>
      <c r="G34" s="274" t="s">
        <v>204</v>
      </c>
      <c r="H34" s="311"/>
      <c r="I34" s="312"/>
      <c r="J34" s="313"/>
      <c r="K34" s="1026"/>
      <c r="L34" s="263" t="s">
        <v>50</v>
      </c>
      <c r="M34" s="264"/>
      <c r="N34" s="243"/>
      <c r="O34" s="265"/>
      <c r="P34" s="263">
        <f>'８－１　ピオーネ（トンネル）算出基礎'!N24</f>
        <v>0</v>
      </c>
      <c r="Q34" s="1019"/>
      <c r="R34" s="1020"/>
      <c r="S34" s="1021"/>
    </row>
    <row r="35" spans="1:23" ht="18" customHeight="1" x14ac:dyDescent="0.15">
      <c r="B35" s="1062"/>
      <c r="C35" s="1077"/>
      <c r="D35" s="62" t="s">
        <v>111</v>
      </c>
      <c r="E35" s="63"/>
      <c r="F35" s="194">
        <f>'８－１　ピオーネ（トンネル）算出基礎'!V61</f>
        <v>77683.333333333328</v>
      </c>
      <c r="G35" s="1013"/>
      <c r="H35" s="1014"/>
      <c r="I35" s="1014"/>
      <c r="J35" s="1015"/>
      <c r="K35" s="1026"/>
      <c r="L35" s="263" t="s">
        <v>272</v>
      </c>
      <c r="M35" s="264"/>
      <c r="N35" s="243"/>
      <c r="O35" s="265"/>
      <c r="P35" s="263">
        <f>'８－１　ピオーネ（トンネル）算出基礎'!N28</f>
        <v>0</v>
      </c>
      <c r="Q35" s="1019"/>
      <c r="R35" s="1020"/>
      <c r="S35" s="1021"/>
    </row>
    <row r="36" spans="1:23" ht="18" customHeight="1" x14ac:dyDescent="0.15">
      <c r="B36" s="1062"/>
      <c r="C36" s="1077"/>
      <c r="D36" s="84" t="s">
        <v>81</v>
      </c>
      <c r="E36" s="85"/>
      <c r="F36" s="314"/>
      <c r="G36" s="243"/>
      <c r="H36" s="311"/>
      <c r="I36" s="312"/>
      <c r="J36" s="304"/>
      <c r="K36" s="1026"/>
      <c r="L36" s="263" t="s">
        <v>51</v>
      </c>
      <c r="M36" s="261"/>
      <c r="N36" s="243"/>
      <c r="O36" s="265"/>
      <c r="P36" s="263">
        <f>'８－１　ピオーネ（トンネル）算出基礎'!N32</f>
        <v>0</v>
      </c>
      <c r="Q36" s="1019"/>
      <c r="R36" s="1020"/>
      <c r="S36" s="1021"/>
    </row>
    <row r="37" spans="1:23" ht="18" customHeight="1" thickBot="1" x14ac:dyDescent="0.2">
      <c r="B37" s="1062"/>
      <c r="C37" s="1077"/>
      <c r="D37" s="62" t="s">
        <v>68</v>
      </c>
      <c r="E37" s="63"/>
      <c r="F37" s="194">
        <f>'８－１　ピオーネ（トンネル）算出基礎'!N61</f>
        <v>15672</v>
      </c>
      <c r="G37" s="1013"/>
      <c r="H37" s="1014"/>
      <c r="I37" s="1014"/>
      <c r="J37" s="1015"/>
      <c r="K37" s="1027"/>
      <c r="L37" s="186" t="s">
        <v>28</v>
      </c>
      <c r="M37" s="185"/>
      <c r="N37" s="186"/>
      <c r="O37" s="186"/>
      <c r="P37" s="186">
        <f>SUM(P30:P36)</f>
        <v>29064.400000000001</v>
      </c>
      <c r="Q37" s="1039"/>
      <c r="R37" s="1040"/>
      <c r="S37" s="1041"/>
    </row>
    <row r="38" spans="1:23" s="180" customFormat="1" ht="18" customHeight="1" x14ac:dyDescent="0.15">
      <c r="A38" s="161"/>
      <c r="B38" s="1062"/>
      <c r="C38" s="1077"/>
      <c r="D38" s="62" t="s">
        <v>0</v>
      </c>
      <c r="E38" s="73"/>
      <c r="F38" s="194"/>
      <c r="G38" s="17" t="s">
        <v>204</v>
      </c>
      <c r="H38" s="255"/>
      <c r="I38" s="256"/>
      <c r="J38" s="254"/>
    </row>
    <row r="39" spans="1:23" s="180" customFormat="1" ht="18" customHeight="1" thickBot="1" x14ac:dyDescent="0.2">
      <c r="A39" s="161"/>
      <c r="B39" s="1063"/>
      <c r="C39" s="1078"/>
      <c r="D39" s="1079" t="s">
        <v>218</v>
      </c>
      <c r="E39" s="1080"/>
      <c r="F39" s="245">
        <f>SUM(F27:F38)</f>
        <v>3208723.3333333335</v>
      </c>
      <c r="G39" s="246"/>
      <c r="H39" s="247"/>
      <c r="I39" s="248"/>
      <c r="J39" s="249"/>
      <c r="T39" s="181"/>
    </row>
    <row r="40" spans="1:23" s="180" customFormat="1" ht="18" customHeight="1" x14ac:dyDescent="0.15">
      <c r="A40" s="161"/>
      <c r="B40" s="1064" t="s">
        <v>222</v>
      </c>
      <c r="C40" s="1067" t="s">
        <v>70</v>
      </c>
      <c r="D40" s="240" t="s">
        <v>110</v>
      </c>
      <c r="E40" s="241"/>
      <c r="F40" s="242"/>
      <c r="G40" s="243"/>
      <c r="H40" s="244"/>
      <c r="I40" s="244"/>
      <c r="J40" s="257"/>
      <c r="T40" s="162"/>
      <c r="U40" s="162"/>
      <c r="V40" s="162"/>
      <c r="W40" s="162"/>
    </row>
    <row r="41" spans="1:23" s="180" customFormat="1" ht="18" customHeight="1" x14ac:dyDescent="0.15">
      <c r="A41" s="161"/>
      <c r="B41" s="1065"/>
      <c r="C41" s="1068"/>
      <c r="D41" s="62" t="s">
        <v>109</v>
      </c>
      <c r="E41" s="63"/>
      <c r="F41" s="234"/>
      <c r="G41" s="243"/>
      <c r="H41" s="187"/>
      <c r="I41" s="187"/>
      <c r="J41" s="258"/>
      <c r="T41" s="182"/>
      <c r="U41" s="183"/>
      <c r="V41" s="184"/>
      <c r="W41" s="182"/>
    </row>
    <row r="42" spans="1:23" s="180" customFormat="1" ht="18" customHeight="1" x14ac:dyDescent="0.15">
      <c r="A42" s="161"/>
      <c r="B42" s="1065"/>
      <c r="C42" s="1069"/>
      <c r="D42" s="84" t="s">
        <v>69</v>
      </c>
      <c r="E42" s="63"/>
      <c r="F42" s="235"/>
      <c r="G42" s="243"/>
      <c r="H42" s="187"/>
      <c r="I42" s="187"/>
      <c r="J42" s="258"/>
      <c r="T42" s="162"/>
      <c r="U42" s="162"/>
      <c r="V42" s="162"/>
      <c r="W42" s="162"/>
    </row>
    <row r="43" spans="1:23" s="180" customFormat="1" ht="18" customHeight="1" x14ac:dyDescent="0.15">
      <c r="B43" s="1065"/>
      <c r="C43" s="1070" t="s">
        <v>221</v>
      </c>
      <c r="D43" s="84" t="s">
        <v>275</v>
      </c>
      <c r="E43" s="85"/>
      <c r="F43" s="235"/>
      <c r="G43" s="243"/>
      <c r="H43" s="187"/>
      <c r="I43" s="187"/>
      <c r="J43" s="258"/>
      <c r="T43" s="163"/>
      <c r="U43" s="181"/>
      <c r="V43" s="162"/>
      <c r="W43" s="182"/>
    </row>
    <row r="44" spans="1:23" s="180" customFormat="1" ht="18" customHeight="1" x14ac:dyDescent="0.15">
      <c r="B44" s="1065"/>
      <c r="C44" s="1071"/>
      <c r="D44" s="86" t="s">
        <v>1</v>
      </c>
      <c r="E44" s="87"/>
      <c r="F44" s="235"/>
      <c r="G44" s="243"/>
      <c r="H44" s="187"/>
      <c r="I44" s="187"/>
      <c r="J44" s="258"/>
      <c r="T44" s="163"/>
      <c r="U44" s="181"/>
      <c r="V44" s="162"/>
      <c r="W44" s="182"/>
    </row>
    <row r="45" spans="1:23" s="180" customFormat="1" ht="18" customHeight="1" thickBot="1" x14ac:dyDescent="0.2">
      <c r="B45" s="1066"/>
      <c r="C45" s="1072" t="s">
        <v>83</v>
      </c>
      <c r="D45" s="1073"/>
      <c r="E45" s="1074"/>
      <c r="F45" s="236">
        <f>SUM(F40:F42)-SUM(F43:F44)</f>
        <v>0</v>
      </c>
      <c r="G45" s="188"/>
      <c r="H45" s="189"/>
      <c r="I45" s="189"/>
      <c r="J45" s="259"/>
      <c r="T45" s="162"/>
      <c r="U45" s="162"/>
      <c r="V45" s="183"/>
      <c r="W45" s="162"/>
    </row>
  </sheetData>
  <mergeCells count="58">
    <mergeCell ref="B3:E3"/>
    <mergeCell ref="K3:S3"/>
    <mergeCell ref="B4:C5"/>
    <mergeCell ref="R4:S4"/>
    <mergeCell ref="R5:S5"/>
    <mergeCell ref="Q33:S33"/>
    <mergeCell ref="Q36:S36"/>
    <mergeCell ref="R9:S9"/>
    <mergeCell ref="G10:J10"/>
    <mergeCell ref="R10:S10"/>
    <mergeCell ref="G11:J11"/>
    <mergeCell ref="R11:S11"/>
    <mergeCell ref="I13:J13"/>
    <mergeCell ref="Q13:S13"/>
    <mergeCell ref="I14:J14"/>
    <mergeCell ref="Q14:S14"/>
    <mergeCell ref="Q22:S22"/>
    <mergeCell ref="Q23:S23"/>
    <mergeCell ref="G35:J35"/>
    <mergeCell ref="K12:K37"/>
    <mergeCell ref="Q25:S25"/>
    <mergeCell ref="Q29:S29"/>
    <mergeCell ref="Q30:S30"/>
    <mergeCell ref="D31:D32"/>
    <mergeCell ref="Q31:S31"/>
    <mergeCell ref="Q15:S15"/>
    <mergeCell ref="Q16:S16"/>
    <mergeCell ref="Q17:S17"/>
    <mergeCell ref="Q12:S12"/>
    <mergeCell ref="Q24:S24"/>
    <mergeCell ref="Q19:S19"/>
    <mergeCell ref="Q20:S20"/>
    <mergeCell ref="Q21:S21"/>
    <mergeCell ref="B40:B45"/>
    <mergeCell ref="C40:C42"/>
    <mergeCell ref="C43:C44"/>
    <mergeCell ref="C45:E45"/>
    <mergeCell ref="C6:C26"/>
    <mergeCell ref="D18:D21"/>
    <mergeCell ref="D13:D14"/>
    <mergeCell ref="D15:D17"/>
    <mergeCell ref="D22:D23"/>
    <mergeCell ref="G37:J37"/>
    <mergeCell ref="B6:B39"/>
    <mergeCell ref="D26:E26"/>
    <mergeCell ref="Q26:S26"/>
    <mergeCell ref="C27:C39"/>
    <mergeCell ref="D27:D29"/>
    <mergeCell ref="Q27:S27"/>
    <mergeCell ref="Q28:S28"/>
    <mergeCell ref="Q37:S37"/>
    <mergeCell ref="D39:E39"/>
    <mergeCell ref="R6:S6"/>
    <mergeCell ref="R7:S7"/>
    <mergeCell ref="R8:S8"/>
    <mergeCell ref="Q34:S34"/>
    <mergeCell ref="Q18:S18"/>
    <mergeCell ref="Q35:S35"/>
  </mergeCells>
  <phoneticPr fontId="5"/>
  <pageMargins left="0.78740157480314965" right="0.78740157480314965" top="0.78740157480314965" bottom="0.78740157480314965" header="0.39370078740157483" footer="0.39370078740157483"/>
  <pageSetup paperSize="9" scale="65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showZeros="0" zoomScale="75" zoomScaleNormal="75" zoomScaleSheetLayoutView="80" workbookViewId="0"/>
  </sheetViews>
  <sheetFormatPr defaultColWidth="10.875" defaultRowHeight="13.5" x14ac:dyDescent="0.15"/>
  <cols>
    <col min="1" max="1" width="1.625" style="161" customWidth="1"/>
    <col min="2" max="2" width="5.875" style="161" customWidth="1"/>
    <col min="3" max="3" width="10.625" style="161" customWidth="1"/>
    <col min="4" max="4" width="12.375" style="161" customWidth="1"/>
    <col min="5" max="5" width="14.625" style="161" customWidth="1"/>
    <col min="6" max="7" width="15.875" style="161" customWidth="1"/>
    <col min="8" max="8" width="10.875" style="161"/>
    <col min="9" max="9" width="11.375" style="161" bestFit="1" customWidth="1"/>
    <col min="10" max="10" width="13.375" style="161" customWidth="1"/>
    <col min="11" max="11" width="7.125" style="161" customWidth="1"/>
    <col min="12" max="12" width="15.375" style="161" customWidth="1"/>
    <col min="13" max="13" width="9.375" style="161" bestFit="1" customWidth="1"/>
    <col min="14" max="14" width="10.875" style="161"/>
    <col min="15" max="15" width="7.25" style="161" customWidth="1"/>
    <col min="16" max="16" width="9.625" style="161" customWidth="1"/>
    <col min="17" max="17" width="10.875" style="161" customWidth="1"/>
    <col min="18" max="18" width="7.5" style="161" customWidth="1"/>
    <col min="19" max="19" width="3.75" style="161" customWidth="1"/>
    <col min="20" max="16384" width="10.875" style="161"/>
  </cols>
  <sheetData>
    <row r="1" spans="2:19" s="162" customFormat="1" ht="9.9499999999999993" customHeight="1" x14ac:dyDescent="0.15"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</row>
    <row r="2" spans="2:19" s="162" customFormat="1" ht="24.95" customHeight="1" thickBot="1" x14ac:dyDescent="0.2">
      <c r="B2" s="3" t="s">
        <v>755</v>
      </c>
      <c r="H2" s="163" t="s">
        <v>264</v>
      </c>
      <c r="I2" s="3" t="s">
        <v>494</v>
      </c>
      <c r="K2" s="163" t="s">
        <v>265</v>
      </c>
      <c r="L2" s="3" t="s">
        <v>493</v>
      </c>
      <c r="N2" s="161"/>
      <c r="O2" s="161"/>
      <c r="Q2" s="4"/>
      <c r="R2" s="4"/>
    </row>
    <row r="3" spans="2:19" s="162" customFormat="1" ht="18" customHeight="1" x14ac:dyDescent="0.15">
      <c r="B3" s="1055" t="s">
        <v>19</v>
      </c>
      <c r="C3" s="1056"/>
      <c r="D3" s="1056"/>
      <c r="E3" s="1057"/>
      <c r="F3" s="541" t="s">
        <v>20</v>
      </c>
      <c r="G3" s="165"/>
      <c r="H3" s="166" t="s">
        <v>21</v>
      </c>
      <c r="I3" s="164"/>
      <c r="J3" s="164"/>
      <c r="K3" s="1045" t="s">
        <v>227</v>
      </c>
      <c r="L3" s="1046"/>
      <c r="M3" s="1046"/>
      <c r="N3" s="1046"/>
      <c r="O3" s="1046"/>
      <c r="P3" s="1046"/>
      <c r="Q3" s="1046"/>
      <c r="R3" s="1046"/>
      <c r="S3" s="1047"/>
    </row>
    <row r="4" spans="2:19" s="162" customFormat="1" ht="18" customHeight="1" x14ac:dyDescent="0.15">
      <c r="B4" s="1053" t="s">
        <v>22</v>
      </c>
      <c r="C4" s="1054"/>
      <c r="D4" s="274" t="s">
        <v>220</v>
      </c>
      <c r="E4" s="293"/>
      <c r="F4" s="286">
        <f>+R11</f>
        <v>25531200</v>
      </c>
      <c r="G4" s="274" t="s">
        <v>674</v>
      </c>
      <c r="H4" s="528"/>
      <c r="I4" s="528"/>
      <c r="J4" s="528"/>
      <c r="K4" s="282" t="s">
        <v>270</v>
      </c>
      <c r="L4" s="372" t="s">
        <v>268</v>
      </c>
      <c r="M4" s="536" t="s">
        <v>23</v>
      </c>
      <c r="N4" s="536" t="s">
        <v>22</v>
      </c>
      <c r="O4" s="536" t="s">
        <v>270</v>
      </c>
      <c r="P4" s="372" t="s">
        <v>269</v>
      </c>
      <c r="Q4" s="536" t="s">
        <v>23</v>
      </c>
      <c r="R4" s="1048" t="s">
        <v>22</v>
      </c>
      <c r="S4" s="1049"/>
    </row>
    <row r="5" spans="2:19" s="162" customFormat="1" ht="18" customHeight="1" x14ac:dyDescent="0.15">
      <c r="B5" s="1053"/>
      <c r="C5" s="1054"/>
      <c r="D5" s="274" t="s">
        <v>76</v>
      </c>
      <c r="E5" s="293"/>
      <c r="F5" s="286"/>
      <c r="G5" s="237"/>
      <c r="H5" s="294"/>
      <c r="I5" s="294"/>
      <c r="J5" s="294"/>
      <c r="K5" s="368">
        <v>8</v>
      </c>
      <c r="L5" s="286">
        <v>16200</v>
      </c>
      <c r="M5" s="286">
        <v>1576</v>
      </c>
      <c r="N5" s="286">
        <f>L5*M5</f>
        <v>25531200</v>
      </c>
      <c r="O5" s="286"/>
      <c r="P5" s="286"/>
      <c r="Q5" s="286"/>
      <c r="R5" s="1022">
        <f>P5*Q5</f>
        <v>0</v>
      </c>
      <c r="S5" s="1015"/>
    </row>
    <row r="6" spans="2:19" s="162" customFormat="1" ht="18" customHeight="1" x14ac:dyDescent="0.15">
      <c r="B6" s="1061" t="s">
        <v>225</v>
      </c>
      <c r="C6" s="1058" t="s">
        <v>211</v>
      </c>
      <c r="D6" s="286" t="s">
        <v>56</v>
      </c>
      <c r="E6" s="295"/>
      <c r="F6" s="286">
        <f>+P13</f>
        <v>0</v>
      </c>
      <c r="G6" s="237" t="s">
        <v>195</v>
      </c>
      <c r="H6" s="294"/>
      <c r="I6" s="294"/>
      <c r="J6" s="294"/>
      <c r="K6" s="292"/>
      <c r="L6" s="289"/>
      <c r="M6" s="286"/>
      <c r="N6" s="286">
        <f>L6*M6</f>
        <v>0</v>
      </c>
      <c r="O6" s="286"/>
      <c r="P6" s="286"/>
      <c r="Q6" s="286"/>
      <c r="R6" s="1022">
        <f t="shared" ref="R6:R9" si="0">P6*Q6</f>
        <v>0</v>
      </c>
      <c r="S6" s="1015"/>
    </row>
    <row r="7" spans="2:19" s="162" customFormat="1" ht="18" customHeight="1" x14ac:dyDescent="0.15">
      <c r="B7" s="1062"/>
      <c r="C7" s="1059"/>
      <c r="D7" s="286" t="s">
        <v>57</v>
      </c>
      <c r="E7" s="295"/>
      <c r="F7" s="286">
        <f>P22</f>
        <v>970750</v>
      </c>
      <c r="G7" s="274" t="s">
        <v>742</v>
      </c>
      <c r="H7" s="528"/>
      <c r="I7" s="528"/>
      <c r="J7" s="529"/>
      <c r="K7" s="290"/>
      <c r="L7" s="538"/>
      <c r="M7" s="286"/>
      <c r="N7" s="286">
        <f t="shared" ref="N7:N11" si="1">L7*M7</f>
        <v>0</v>
      </c>
      <c r="O7" s="286"/>
      <c r="P7" s="286"/>
      <c r="Q7" s="286"/>
      <c r="R7" s="1022">
        <f t="shared" si="0"/>
        <v>0</v>
      </c>
      <c r="S7" s="1015"/>
    </row>
    <row r="8" spans="2:19" s="162" customFormat="1" ht="18" customHeight="1" x14ac:dyDescent="0.15">
      <c r="B8" s="1062"/>
      <c r="C8" s="1059"/>
      <c r="D8" s="286" t="s">
        <v>58</v>
      </c>
      <c r="E8" s="295"/>
      <c r="F8" s="286">
        <f>P28</f>
        <v>478216.26262626261</v>
      </c>
      <c r="G8" s="243" t="s">
        <v>743</v>
      </c>
      <c r="H8" s="261"/>
      <c r="I8" s="261"/>
      <c r="J8" s="297"/>
      <c r="K8" s="288"/>
      <c r="L8" s="286"/>
      <c r="M8" s="286"/>
      <c r="N8" s="286">
        <f t="shared" si="1"/>
        <v>0</v>
      </c>
      <c r="O8" s="286"/>
      <c r="P8" s="286"/>
      <c r="Q8" s="286"/>
      <c r="R8" s="1022">
        <f t="shared" si="0"/>
        <v>0</v>
      </c>
      <c r="S8" s="1015"/>
    </row>
    <row r="9" spans="2:19" s="162" customFormat="1" ht="18" customHeight="1" x14ac:dyDescent="0.15">
      <c r="B9" s="1062"/>
      <c r="C9" s="1059"/>
      <c r="D9" s="286" t="s">
        <v>77</v>
      </c>
      <c r="E9" s="295"/>
      <c r="F9" s="286">
        <f>P37</f>
        <v>628758.14</v>
      </c>
      <c r="G9" s="243" t="s">
        <v>744</v>
      </c>
      <c r="H9" s="261"/>
      <c r="I9" s="261"/>
      <c r="J9" s="297"/>
      <c r="K9" s="288"/>
      <c r="L9" s="286"/>
      <c r="M9" s="286"/>
      <c r="N9" s="286">
        <f t="shared" si="1"/>
        <v>0</v>
      </c>
      <c r="O9" s="286"/>
      <c r="P9" s="286"/>
      <c r="Q9" s="286"/>
      <c r="R9" s="1022">
        <f t="shared" si="0"/>
        <v>0</v>
      </c>
      <c r="S9" s="1015"/>
    </row>
    <row r="10" spans="2:19" s="162" customFormat="1" ht="18" customHeight="1" x14ac:dyDescent="0.15">
      <c r="B10" s="1062"/>
      <c r="C10" s="1059"/>
      <c r="D10" s="286" t="s">
        <v>59</v>
      </c>
      <c r="E10" s="295"/>
      <c r="F10" s="286">
        <f>+'８－２　シャイン（加温）算出基礎 '!V21</f>
        <v>2049801.2</v>
      </c>
      <c r="G10" s="1013"/>
      <c r="H10" s="1014"/>
      <c r="I10" s="1014"/>
      <c r="J10" s="1015"/>
      <c r="K10" s="288"/>
      <c r="L10" s="286"/>
      <c r="M10" s="286"/>
      <c r="N10" s="286">
        <f t="shared" si="1"/>
        <v>0</v>
      </c>
      <c r="O10" s="286"/>
      <c r="P10" s="286"/>
      <c r="Q10" s="286"/>
      <c r="R10" s="1022"/>
      <c r="S10" s="1015"/>
    </row>
    <row r="11" spans="2:19" s="162" customFormat="1" ht="18" customHeight="1" thickBot="1" x14ac:dyDescent="0.2">
      <c r="B11" s="1062"/>
      <c r="C11" s="1059"/>
      <c r="D11" s="286" t="s">
        <v>6</v>
      </c>
      <c r="E11" s="295"/>
      <c r="F11" s="286">
        <f>+'８－２　シャイン（加温）算出基礎 '!V38</f>
        <v>58279.714285714283</v>
      </c>
      <c r="G11" s="1013"/>
      <c r="H11" s="1014"/>
      <c r="I11" s="1014"/>
      <c r="J11" s="1015"/>
      <c r="K11" s="183"/>
      <c r="L11" s="168"/>
      <c r="M11" s="168"/>
      <c r="N11" s="167">
        <f t="shared" si="1"/>
        <v>0</v>
      </c>
      <c r="O11" s="169" t="s">
        <v>24</v>
      </c>
      <c r="P11" s="170">
        <f>SUM(L5:L11,P5:Q10)</f>
        <v>16200</v>
      </c>
      <c r="Q11" s="171">
        <f>R11/P11</f>
        <v>1576</v>
      </c>
      <c r="R11" s="1034">
        <f>SUM(N5:N11,R5:S10)</f>
        <v>25531200</v>
      </c>
      <c r="S11" s="1035"/>
    </row>
    <row r="12" spans="2:19" s="162" customFormat="1" ht="18" customHeight="1" thickTop="1" x14ac:dyDescent="0.15">
      <c r="B12" s="1062"/>
      <c r="C12" s="1059"/>
      <c r="D12" s="286" t="s">
        <v>7</v>
      </c>
      <c r="E12" s="295"/>
      <c r="F12" s="286"/>
      <c r="G12" s="243"/>
      <c r="H12" s="261"/>
      <c r="I12" s="261"/>
      <c r="J12" s="297"/>
      <c r="K12" s="1025" t="s">
        <v>226</v>
      </c>
      <c r="L12" s="276" t="s">
        <v>162</v>
      </c>
      <c r="M12" s="535" t="s">
        <v>9</v>
      </c>
      <c r="N12" s="374" t="s">
        <v>267</v>
      </c>
      <c r="O12" s="534" t="s">
        <v>23</v>
      </c>
      <c r="P12" s="534" t="s">
        <v>26</v>
      </c>
      <c r="Q12" s="1036" t="s">
        <v>27</v>
      </c>
      <c r="R12" s="1037"/>
      <c r="S12" s="1038"/>
    </row>
    <row r="13" spans="2:19" s="162" customFormat="1" ht="18" customHeight="1" x14ac:dyDescent="0.15">
      <c r="B13" s="1062"/>
      <c r="C13" s="1059"/>
      <c r="D13" s="1050" t="s">
        <v>60</v>
      </c>
      <c r="E13" s="299" t="s">
        <v>191</v>
      </c>
      <c r="F13" s="286">
        <f>H13*'６-２　シャイントハウス資本装備'!P15</f>
        <v>71557.845622119828</v>
      </c>
      <c r="G13" s="243" t="s">
        <v>197</v>
      </c>
      <c r="H13" s="727">
        <v>0.01</v>
      </c>
      <c r="I13" s="1023" t="s">
        <v>203</v>
      </c>
      <c r="J13" s="1024"/>
      <c r="K13" s="1026"/>
      <c r="L13" s="526"/>
      <c r="M13" s="275" t="s">
        <v>142</v>
      </c>
      <c r="N13" s="539"/>
      <c r="O13" s="539"/>
      <c r="P13" s="539">
        <f>N13*O13</f>
        <v>0</v>
      </c>
      <c r="Q13" s="1016"/>
      <c r="R13" s="1017"/>
      <c r="S13" s="1018"/>
    </row>
    <row r="14" spans="2:19" s="162" customFormat="1" ht="18" customHeight="1" x14ac:dyDescent="0.15">
      <c r="B14" s="1062"/>
      <c r="C14" s="1059"/>
      <c r="D14" s="1051"/>
      <c r="E14" s="299" t="s">
        <v>192</v>
      </c>
      <c r="F14" s="286">
        <f>H14*'６-２　シャイントハウス資本装備'!P35</f>
        <v>77503.976190476198</v>
      </c>
      <c r="G14" s="243" t="s">
        <v>197</v>
      </c>
      <c r="H14" s="727">
        <v>0.05</v>
      </c>
      <c r="I14" s="1023" t="s">
        <v>203</v>
      </c>
      <c r="J14" s="1024"/>
      <c r="K14" s="1026"/>
      <c r="L14" s="530"/>
      <c r="M14" s="275"/>
      <c r="N14" s="539"/>
      <c r="O14" s="539"/>
      <c r="P14" s="539">
        <f>N14*O14</f>
        <v>0</v>
      </c>
      <c r="Q14" s="1083"/>
      <c r="R14" s="1017"/>
      <c r="S14" s="1018"/>
    </row>
    <row r="15" spans="2:19" s="162" customFormat="1" ht="18" customHeight="1" thickBot="1" x14ac:dyDescent="0.2">
      <c r="B15" s="1062"/>
      <c r="C15" s="1059"/>
      <c r="D15" s="1050" t="s">
        <v>78</v>
      </c>
      <c r="E15" s="299" t="s">
        <v>191</v>
      </c>
      <c r="F15" s="286">
        <f>+'６-２　シャイントハウス資本装備'!P15</f>
        <v>7155784.562211982</v>
      </c>
      <c r="G15" s="243" t="s">
        <v>203</v>
      </c>
      <c r="H15" s="250"/>
      <c r="I15" s="250"/>
      <c r="J15" s="251"/>
      <c r="K15" s="1026"/>
      <c r="L15" s="174" t="s">
        <v>28</v>
      </c>
      <c r="M15" s="173"/>
      <c r="N15" s="174"/>
      <c r="O15" s="174"/>
      <c r="P15" s="174">
        <f>SUM(P13:P14)</f>
        <v>0</v>
      </c>
      <c r="Q15" s="1028"/>
      <c r="R15" s="1029"/>
      <c r="S15" s="1030"/>
    </row>
    <row r="16" spans="2:19" s="162" customFormat="1" ht="18" customHeight="1" thickTop="1" x14ac:dyDescent="0.15">
      <c r="B16" s="1062"/>
      <c r="C16" s="1059"/>
      <c r="D16" s="1052"/>
      <c r="E16" s="299" t="s">
        <v>192</v>
      </c>
      <c r="F16" s="286">
        <f>+'６-２　シャイントハウス資本装備'!P35</f>
        <v>1550079.5238095238</v>
      </c>
      <c r="G16" s="243" t="s">
        <v>203</v>
      </c>
      <c r="H16" s="250"/>
      <c r="I16" s="250"/>
      <c r="J16" s="251"/>
      <c r="K16" s="1026"/>
      <c r="L16" s="270" t="s">
        <v>163</v>
      </c>
      <c r="M16" s="271"/>
      <c r="N16" s="373" t="s">
        <v>267</v>
      </c>
      <c r="O16" s="533" t="s">
        <v>23</v>
      </c>
      <c r="P16" s="273" t="s">
        <v>26</v>
      </c>
      <c r="Q16" s="1031" t="s">
        <v>27</v>
      </c>
      <c r="R16" s="1032"/>
      <c r="S16" s="1033"/>
    </row>
    <row r="17" spans="1:19" s="162" customFormat="1" ht="18" customHeight="1" x14ac:dyDescent="0.15">
      <c r="B17" s="1062"/>
      <c r="C17" s="1059"/>
      <c r="D17" s="1051"/>
      <c r="E17" s="286" t="s">
        <v>61</v>
      </c>
      <c r="F17" s="286">
        <f>+'６-２　シャイントハウス資本装備'!P40</f>
        <v>220475.36666666667</v>
      </c>
      <c r="G17" s="243" t="s">
        <v>203</v>
      </c>
      <c r="H17" s="250"/>
      <c r="I17" s="250"/>
      <c r="J17" s="251"/>
      <c r="K17" s="1026"/>
      <c r="L17" s="274" t="s">
        <v>170</v>
      </c>
      <c r="M17" s="275"/>
      <c r="N17" s="243" t="s">
        <v>529</v>
      </c>
      <c r="O17" s="265"/>
      <c r="P17" s="263">
        <f>+'８－２　シャイン（加温）算出基礎 '!G7</f>
        <v>664800</v>
      </c>
      <c r="Q17" s="1019"/>
      <c r="R17" s="1020"/>
      <c r="S17" s="1021"/>
    </row>
    <row r="18" spans="1:19" s="162" customFormat="1" ht="18" customHeight="1" x14ac:dyDescent="0.15">
      <c r="A18" s="161"/>
      <c r="B18" s="1062"/>
      <c r="C18" s="1059"/>
      <c r="D18" s="1075" t="s">
        <v>273</v>
      </c>
      <c r="E18" s="538" t="s">
        <v>108</v>
      </c>
      <c r="F18" s="286"/>
      <c r="G18" s="243"/>
      <c r="H18" s="250"/>
      <c r="I18" s="250"/>
      <c r="J18" s="251"/>
      <c r="K18" s="1026"/>
      <c r="L18" s="274" t="s">
        <v>167</v>
      </c>
      <c r="M18" s="275"/>
      <c r="N18" s="243" t="s">
        <v>531</v>
      </c>
      <c r="O18" s="265"/>
      <c r="P18" s="263">
        <f>+'８－２　シャイン（加温）算出基礎 '!G12</f>
        <v>207850</v>
      </c>
      <c r="Q18" s="1019"/>
      <c r="R18" s="1020"/>
      <c r="S18" s="1021"/>
    </row>
    <row r="19" spans="1:19" s="162" customFormat="1" ht="18" customHeight="1" x14ac:dyDescent="0.15">
      <c r="A19" s="161"/>
      <c r="B19" s="1062"/>
      <c r="C19" s="1059"/>
      <c r="D19" s="1075"/>
      <c r="E19" s="538" t="s">
        <v>104</v>
      </c>
      <c r="F19" s="286"/>
      <c r="G19" s="243"/>
      <c r="H19" s="250"/>
      <c r="I19" s="175"/>
      <c r="J19" s="251"/>
      <c r="K19" s="1026"/>
      <c r="L19" s="243" t="s">
        <v>168</v>
      </c>
      <c r="M19" s="261"/>
      <c r="N19" s="243" t="s">
        <v>533</v>
      </c>
      <c r="O19" s="265"/>
      <c r="P19" s="263">
        <f>+'８－２　シャイン（加温）算出基礎 '!G17</f>
        <v>81600</v>
      </c>
      <c r="Q19" s="1019"/>
      <c r="R19" s="1020"/>
      <c r="S19" s="1021"/>
    </row>
    <row r="20" spans="1:19" s="162" customFormat="1" ht="18" customHeight="1" x14ac:dyDescent="0.15">
      <c r="A20" s="161"/>
      <c r="B20" s="1062"/>
      <c r="C20" s="1059"/>
      <c r="D20" s="1075"/>
      <c r="E20" s="538" t="s">
        <v>105</v>
      </c>
      <c r="F20" s="286"/>
      <c r="G20" s="243"/>
      <c r="H20" s="250"/>
      <c r="I20" s="175"/>
      <c r="J20" s="251"/>
      <c r="K20" s="1026"/>
      <c r="L20" s="243" t="s">
        <v>171</v>
      </c>
      <c r="M20" s="261"/>
      <c r="N20" s="243" t="s">
        <v>529</v>
      </c>
      <c r="O20" s="265"/>
      <c r="P20" s="263">
        <f>+'８－２　シャイン（加温）算出基礎 '!G21</f>
        <v>16500</v>
      </c>
      <c r="Q20" s="1019"/>
      <c r="R20" s="1020"/>
      <c r="S20" s="1021"/>
    </row>
    <row r="21" spans="1:19" s="162" customFormat="1" ht="18" customHeight="1" x14ac:dyDescent="0.15">
      <c r="A21" s="161"/>
      <c r="B21" s="1062"/>
      <c r="C21" s="1059"/>
      <c r="D21" s="1075"/>
      <c r="E21" s="538" t="s">
        <v>106</v>
      </c>
      <c r="F21" s="286"/>
      <c r="G21" s="243"/>
      <c r="H21" s="250"/>
      <c r="I21" s="250"/>
      <c r="J21" s="251"/>
      <c r="K21" s="1026"/>
      <c r="L21" s="243" t="s">
        <v>172</v>
      </c>
      <c r="M21" s="261"/>
      <c r="N21" s="243"/>
      <c r="O21" s="263"/>
      <c r="P21" s="263">
        <f>+'８－２　シャイン（加温）算出基礎 '!G25</f>
        <v>0</v>
      </c>
      <c r="Q21" s="1019"/>
      <c r="R21" s="1020"/>
      <c r="S21" s="1021"/>
    </row>
    <row r="22" spans="1:19" s="162" customFormat="1" ht="18" customHeight="1" thickBot="1" x14ac:dyDescent="0.2">
      <c r="A22" s="161"/>
      <c r="B22" s="1062"/>
      <c r="C22" s="1059"/>
      <c r="D22" s="1075" t="s">
        <v>62</v>
      </c>
      <c r="E22" s="538" t="s">
        <v>63</v>
      </c>
      <c r="F22" s="286"/>
      <c r="G22" s="243"/>
      <c r="H22" s="250"/>
      <c r="I22" s="250"/>
      <c r="J22" s="251"/>
      <c r="K22" s="1026"/>
      <c r="L22" s="174" t="s">
        <v>28</v>
      </c>
      <c r="M22" s="173"/>
      <c r="N22" s="174"/>
      <c r="O22" s="174"/>
      <c r="P22" s="174">
        <f>SUM(P17:P21)</f>
        <v>970750</v>
      </c>
      <c r="Q22" s="1028"/>
      <c r="R22" s="1029"/>
      <c r="S22" s="1030"/>
    </row>
    <row r="23" spans="1:19" s="162" customFormat="1" ht="18" customHeight="1" thickTop="1" x14ac:dyDescent="0.15">
      <c r="A23" s="161"/>
      <c r="B23" s="1062"/>
      <c r="C23" s="1059"/>
      <c r="D23" s="1075"/>
      <c r="E23" s="538" t="s">
        <v>79</v>
      </c>
      <c r="F23" s="286"/>
      <c r="G23" s="243"/>
      <c r="H23" s="250"/>
      <c r="I23" s="250"/>
      <c r="J23" s="251"/>
      <c r="K23" s="1026"/>
      <c r="L23" s="243" t="s">
        <v>164</v>
      </c>
      <c r="M23" s="261"/>
      <c r="N23" s="262" t="s">
        <v>25</v>
      </c>
      <c r="O23" s="262" t="s">
        <v>23</v>
      </c>
      <c r="P23" s="262" t="s">
        <v>26</v>
      </c>
      <c r="Q23" s="1031" t="s">
        <v>27</v>
      </c>
      <c r="R23" s="1032"/>
      <c r="S23" s="1033"/>
    </row>
    <row r="24" spans="1:19" s="162" customFormat="1" ht="18" customHeight="1" x14ac:dyDescent="0.15">
      <c r="A24" s="161"/>
      <c r="B24" s="1062"/>
      <c r="C24" s="1059"/>
      <c r="D24" s="286" t="s">
        <v>64</v>
      </c>
      <c r="E24" s="295"/>
      <c r="F24" s="286">
        <v>150000</v>
      </c>
      <c r="G24" s="243"/>
      <c r="H24" s="250"/>
      <c r="I24" s="728"/>
      <c r="J24" s="251"/>
      <c r="K24" s="1026"/>
      <c r="L24" s="263" t="s">
        <v>29</v>
      </c>
      <c r="M24" s="261"/>
      <c r="N24" s="243" t="s">
        <v>535</v>
      </c>
      <c r="O24" s="263"/>
      <c r="P24" s="263">
        <f>+'８－２　シャイン（加温）算出基礎 '!G42</f>
        <v>193400</v>
      </c>
      <c r="Q24" s="1019"/>
      <c r="R24" s="1020"/>
      <c r="S24" s="1021"/>
    </row>
    <row r="25" spans="1:19" s="162" customFormat="1" ht="18" customHeight="1" x14ac:dyDescent="0.15">
      <c r="A25" s="161"/>
      <c r="B25" s="1062"/>
      <c r="C25" s="1059"/>
      <c r="D25" s="286" t="s">
        <v>166</v>
      </c>
      <c r="E25" s="295"/>
      <c r="F25" s="286">
        <f>SUM(F6:F24)/99</f>
        <v>135466.73324659339</v>
      </c>
      <c r="G25" s="301" t="s">
        <v>230</v>
      </c>
      <c r="H25" s="315">
        <v>0.01</v>
      </c>
      <c r="I25" s="531"/>
      <c r="J25" s="18"/>
      <c r="K25" s="1026"/>
      <c r="L25" s="263" t="s">
        <v>30</v>
      </c>
      <c r="M25" s="261"/>
      <c r="N25" s="243" t="s">
        <v>537</v>
      </c>
      <c r="O25" s="263"/>
      <c r="P25" s="263">
        <f>+'８－２　シャイン（加温）算出基礎 '!G53</f>
        <v>132684.44444444444</v>
      </c>
      <c r="Q25" s="1019"/>
      <c r="R25" s="1020"/>
      <c r="S25" s="1021"/>
    </row>
    <row r="26" spans="1:19" s="162" customFormat="1" ht="18" customHeight="1" x14ac:dyDescent="0.15">
      <c r="A26" s="161"/>
      <c r="B26" s="1062"/>
      <c r="C26" s="1060"/>
      <c r="D26" s="1081" t="s">
        <v>219</v>
      </c>
      <c r="E26" s="1082"/>
      <c r="F26" s="193">
        <f>SUM(F6:F25)</f>
        <v>13546673.324659338</v>
      </c>
      <c r="G26" s="253"/>
      <c r="H26" s="531"/>
      <c r="I26" s="531"/>
      <c r="J26" s="532"/>
      <c r="K26" s="1026"/>
      <c r="L26" s="263" t="s">
        <v>31</v>
      </c>
      <c r="M26" s="261"/>
      <c r="N26" s="243" t="s">
        <v>529</v>
      </c>
      <c r="O26" s="263"/>
      <c r="P26" s="263">
        <f>+'８－２　シャイン（加温）算出基礎 '!G57</f>
        <v>41581.818181818184</v>
      </c>
      <c r="Q26" s="1019"/>
      <c r="R26" s="1020"/>
      <c r="S26" s="1021"/>
    </row>
    <row r="27" spans="1:19" s="162" customFormat="1" ht="18" customHeight="1" x14ac:dyDescent="0.15">
      <c r="A27" s="161"/>
      <c r="B27" s="1062"/>
      <c r="C27" s="1076" t="s">
        <v>198</v>
      </c>
      <c r="D27" s="937" t="s">
        <v>65</v>
      </c>
      <c r="E27" s="62" t="s">
        <v>3</v>
      </c>
      <c r="F27" s="167">
        <f>+P11*80</f>
        <v>1296000</v>
      </c>
      <c r="G27" s="274" t="s">
        <v>615</v>
      </c>
      <c r="H27" s="261"/>
      <c r="I27" s="172"/>
      <c r="J27" s="297"/>
      <c r="K27" s="1026"/>
      <c r="L27" s="263" t="s">
        <v>132</v>
      </c>
      <c r="M27" s="261"/>
      <c r="N27" s="243" t="s">
        <v>632</v>
      </c>
      <c r="O27" s="263"/>
      <c r="P27" s="263">
        <f>+'８－２　シャイン（加温）算出基礎 '!G62</f>
        <v>110550</v>
      </c>
      <c r="Q27" s="1019"/>
      <c r="R27" s="1020"/>
      <c r="S27" s="1021"/>
    </row>
    <row r="28" spans="1:19" s="162" customFormat="1" ht="18" customHeight="1" thickBot="1" x14ac:dyDescent="0.2">
      <c r="A28" s="161"/>
      <c r="B28" s="1062"/>
      <c r="C28" s="1077"/>
      <c r="D28" s="940"/>
      <c r="E28" s="62" t="s">
        <v>4</v>
      </c>
      <c r="F28" s="194">
        <f>+P11*18</f>
        <v>291600</v>
      </c>
      <c r="G28" s="274" t="s">
        <v>616</v>
      </c>
      <c r="H28" s="302"/>
      <c r="I28" s="302"/>
      <c r="J28" s="303"/>
      <c r="K28" s="1026"/>
      <c r="L28" s="174" t="s">
        <v>28</v>
      </c>
      <c r="M28" s="173"/>
      <c r="N28" s="174"/>
      <c r="O28" s="174"/>
      <c r="P28" s="174">
        <f>SUM(P24:P27)</f>
        <v>478216.26262626261</v>
      </c>
      <c r="Q28" s="1028"/>
      <c r="R28" s="1029"/>
      <c r="S28" s="1030"/>
    </row>
    <row r="29" spans="1:19" s="162" customFormat="1" ht="18" customHeight="1" thickTop="1" x14ac:dyDescent="0.15">
      <c r="A29" s="161"/>
      <c r="B29" s="1062"/>
      <c r="C29" s="1077"/>
      <c r="D29" s="938"/>
      <c r="E29" s="62" t="s">
        <v>8</v>
      </c>
      <c r="F29" s="167">
        <f>+R11*0.11</f>
        <v>2808432</v>
      </c>
      <c r="G29" s="274" t="s">
        <v>617</v>
      </c>
      <c r="H29" s="528"/>
      <c r="I29" s="302"/>
      <c r="J29" s="529"/>
      <c r="K29" s="1026"/>
      <c r="L29" s="243" t="s">
        <v>165</v>
      </c>
      <c r="M29" s="261"/>
      <c r="N29" s="262" t="s">
        <v>25</v>
      </c>
      <c r="O29" s="262" t="s">
        <v>23</v>
      </c>
      <c r="P29" s="262" t="s">
        <v>26</v>
      </c>
      <c r="Q29" s="1031" t="s">
        <v>27</v>
      </c>
      <c r="R29" s="1032"/>
      <c r="S29" s="1033"/>
    </row>
    <row r="30" spans="1:19" s="162" customFormat="1" ht="18" customHeight="1" x14ac:dyDescent="0.15">
      <c r="A30" s="161"/>
      <c r="B30" s="1062"/>
      <c r="C30" s="1077"/>
      <c r="D30" s="62" t="s">
        <v>66</v>
      </c>
      <c r="E30" s="63"/>
      <c r="F30" s="167"/>
      <c r="G30" s="274" t="s">
        <v>204</v>
      </c>
      <c r="H30" s="528"/>
      <c r="I30" s="302"/>
      <c r="J30" s="304"/>
      <c r="K30" s="1026"/>
      <c r="L30" s="263" t="s">
        <v>47</v>
      </c>
      <c r="M30" s="264"/>
      <c r="N30" s="243" t="s">
        <v>545</v>
      </c>
      <c r="O30" s="265"/>
      <c r="P30" s="263">
        <f>+'８－２　シャイン（加温）算出基礎 '!N11</f>
        <v>5544</v>
      </c>
      <c r="Q30" s="1042"/>
      <c r="R30" s="1043"/>
      <c r="S30" s="1044"/>
    </row>
    <row r="31" spans="1:19" s="162" customFormat="1" ht="18" customHeight="1" x14ac:dyDescent="0.15">
      <c r="A31" s="161"/>
      <c r="B31" s="1062"/>
      <c r="C31" s="1077"/>
      <c r="D31" s="953" t="s">
        <v>274</v>
      </c>
      <c r="E31" s="523" t="s">
        <v>108</v>
      </c>
      <c r="F31" s="194"/>
      <c r="G31" s="274" t="s">
        <v>204</v>
      </c>
      <c r="H31" s="305"/>
      <c r="I31" s="305"/>
      <c r="J31" s="306"/>
      <c r="K31" s="1026"/>
      <c r="L31" s="263" t="s">
        <v>46</v>
      </c>
      <c r="M31" s="264"/>
      <c r="N31" s="243" t="s">
        <v>547</v>
      </c>
      <c r="O31" s="265"/>
      <c r="P31" s="263">
        <f>+'８－２　シャイン（加温）算出基礎 '!N16</f>
        <v>15291</v>
      </c>
      <c r="Q31" s="1042"/>
      <c r="R31" s="1043"/>
      <c r="S31" s="1044"/>
    </row>
    <row r="32" spans="1:19" s="162" customFormat="1" ht="18" customHeight="1" x14ac:dyDescent="0.15">
      <c r="A32" s="161"/>
      <c r="B32" s="1062"/>
      <c r="C32" s="1077"/>
      <c r="D32" s="953"/>
      <c r="E32" s="523" t="s">
        <v>107</v>
      </c>
      <c r="F32" s="194"/>
      <c r="G32" s="274" t="s">
        <v>204</v>
      </c>
      <c r="H32" s="307"/>
      <c r="I32" s="307"/>
      <c r="J32" s="308"/>
      <c r="K32" s="1026"/>
      <c r="L32" s="263" t="s">
        <v>48</v>
      </c>
      <c r="M32" s="261"/>
      <c r="N32" s="265"/>
      <c r="O32" s="265"/>
      <c r="P32" s="263">
        <f>+SUM(P30:P31)*R32</f>
        <v>6250.5</v>
      </c>
      <c r="Q32" s="527" t="s">
        <v>32</v>
      </c>
      <c r="R32" s="267">
        <v>0.3</v>
      </c>
      <c r="S32" s="178"/>
    </row>
    <row r="33" spans="1:23" ht="18" customHeight="1" x14ac:dyDescent="0.15">
      <c r="B33" s="1062"/>
      <c r="C33" s="1077"/>
      <c r="D33" s="62" t="s">
        <v>67</v>
      </c>
      <c r="E33" s="73"/>
      <c r="F33" s="194"/>
      <c r="G33" s="274" t="s">
        <v>204</v>
      </c>
      <c r="H33" s="309"/>
      <c r="I33" s="310"/>
      <c r="J33" s="304"/>
      <c r="K33" s="1026"/>
      <c r="L33" s="263" t="s">
        <v>49</v>
      </c>
      <c r="M33" s="264"/>
      <c r="N33" s="243" t="s">
        <v>549</v>
      </c>
      <c r="O33" s="265"/>
      <c r="P33" s="263">
        <f>+'８－２　シャイン（加温）算出基礎 '!N20</f>
        <v>1978.9</v>
      </c>
      <c r="Q33" s="1019"/>
      <c r="R33" s="1020"/>
      <c r="S33" s="1021"/>
    </row>
    <row r="34" spans="1:23" ht="18" customHeight="1" x14ac:dyDescent="0.15">
      <c r="B34" s="1062"/>
      <c r="C34" s="1077"/>
      <c r="D34" s="62" t="s">
        <v>80</v>
      </c>
      <c r="E34" s="73"/>
      <c r="F34" s="194"/>
      <c r="G34" s="274" t="s">
        <v>204</v>
      </c>
      <c r="H34" s="311"/>
      <c r="I34" s="312"/>
      <c r="J34" s="313"/>
      <c r="K34" s="1026"/>
      <c r="L34" s="263" t="s">
        <v>50</v>
      </c>
      <c r="M34" s="264"/>
      <c r="N34" s="243"/>
      <c r="O34" s="265"/>
      <c r="P34" s="263">
        <f>+'８－２　シャイン（加温）算出基礎 '!N24</f>
        <v>0</v>
      </c>
      <c r="Q34" s="1019"/>
      <c r="R34" s="1020"/>
      <c r="S34" s="1021"/>
    </row>
    <row r="35" spans="1:23" ht="18" customHeight="1" x14ac:dyDescent="0.15">
      <c r="B35" s="1062"/>
      <c r="C35" s="1077"/>
      <c r="D35" s="62" t="s">
        <v>111</v>
      </c>
      <c r="E35" s="63"/>
      <c r="F35" s="194">
        <f>+'８－２　シャイン（加温）算出基礎 '!V62</f>
        <v>91216.666666666672</v>
      </c>
      <c r="G35" s="1013"/>
      <c r="H35" s="1014"/>
      <c r="I35" s="1014"/>
      <c r="J35" s="1015"/>
      <c r="K35" s="1026"/>
      <c r="L35" s="263" t="s">
        <v>271</v>
      </c>
      <c r="M35" s="264"/>
      <c r="N35" s="243" t="s">
        <v>550</v>
      </c>
      <c r="O35" s="265"/>
      <c r="P35" s="263">
        <f>+'８－２　シャイン（加温）算出基礎 '!N28</f>
        <v>599693.74</v>
      </c>
      <c r="Q35" s="1019"/>
      <c r="R35" s="1020"/>
      <c r="S35" s="1021"/>
    </row>
    <row r="36" spans="1:23" ht="18" customHeight="1" x14ac:dyDescent="0.15">
      <c r="B36" s="1062"/>
      <c r="C36" s="1077"/>
      <c r="D36" s="84" t="s">
        <v>81</v>
      </c>
      <c r="E36" s="85"/>
      <c r="F36" s="314"/>
      <c r="G36" s="243"/>
      <c r="H36" s="311"/>
      <c r="I36" s="312"/>
      <c r="J36" s="304"/>
      <c r="K36" s="1026"/>
      <c r="L36" s="263" t="s">
        <v>51</v>
      </c>
      <c r="M36" s="261"/>
      <c r="N36" s="243"/>
      <c r="O36" s="265"/>
      <c r="P36" s="263">
        <f>+'８－２　シャイン（加温）算出基礎 '!N32</f>
        <v>0</v>
      </c>
      <c r="Q36" s="1019"/>
      <c r="R36" s="1020"/>
      <c r="S36" s="1021"/>
    </row>
    <row r="37" spans="1:23" ht="18" customHeight="1" thickBot="1" x14ac:dyDescent="0.2">
      <c r="B37" s="1062"/>
      <c r="C37" s="1077"/>
      <c r="D37" s="62" t="s">
        <v>68</v>
      </c>
      <c r="E37" s="63"/>
      <c r="F37" s="194">
        <f>+'８－２　シャイン（加温）算出基礎 '!N62</f>
        <v>14005.333333333334</v>
      </c>
      <c r="G37" s="1013"/>
      <c r="H37" s="1014"/>
      <c r="I37" s="1014"/>
      <c r="J37" s="1015"/>
      <c r="K37" s="1027"/>
      <c r="L37" s="186" t="s">
        <v>28</v>
      </c>
      <c r="M37" s="185"/>
      <c r="N37" s="186"/>
      <c r="O37" s="186"/>
      <c r="P37" s="186">
        <f>SUM(P30:P36)</f>
        <v>628758.14</v>
      </c>
      <c r="Q37" s="1039"/>
      <c r="R37" s="1040"/>
      <c r="S37" s="1041"/>
    </row>
    <row r="38" spans="1:23" s="180" customFormat="1" ht="18" customHeight="1" x14ac:dyDescent="0.15">
      <c r="A38" s="161"/>
      <c r="B38" s="1062"/>
      <c r="C38" s="1077"/>
      <c r="D38" s="62" t="s">
        <v>0</v>
      </c>
      <c r="E38" s="73"/>
      <c r="F38" s="194"/>
      <c r="G38" s="17" t="s">
        <v>204</v>
      </c>
      <c r="H38" s="255"/>
      <c r="I38" s="256"/>
      <c r="J38" s="254"/>
    </row>
    <row r="39" spans="1:23" s="180" customFormat="1" ht="18" customHeight="1" thickBot="1" x14ac:dyDescent="0.2">
      <c r="A39" s="161"/>
      <c r="B39" s="1063"/>
      <c r="C39" s="1078"/>
      <c r="D39" s="1079" t="s">
        <v>218</v>
      </c>
      <c r="E39" s="1080"/>
      <c r="F39" s="245">
        <f>SUM(F27:F38)</f>
        <v>4501254</v>
      </c>
      <c r="G39" s="246"/>
      <c r="H39" s="247"/>
      <c r="I39" s="248"/>
      <c r="J39" s="249"/>
      <c r="T39" s="181"/>
    </row>
    <row r="40" spans="1:23" s="180" customFormat="1" ht="18" customHeight="1" x14ac:dyDescent="0.15">
      <c r="A40" s="161"/>
      <c r="B40" s="1064" t="s">
        <v>222</v>
      </c>
      <c r="C40" s="1067" t="s">
        <v>70</v>
      </c>
      <c r="D40" s="240" t="s">
        <v>110</v>
      </c>
      <c r="E40" s="241"/>
      <c r="F40" s="242"/>
      <c r="G40" s="243"/>
      <c r="H40" s="244"/>
      <c r="I40" s="244"/>
      <c r="J40" s="257"/>
      <c r="T40" s="162"/>
      <c r="U40" s="162"/>
      <c r="V40" s="162"/>
      <c r="W40" s="162"/>
    </row>
    <row r="41" spans="1:23" s="180" customFormat="1" ht="18" customHeight="1" x14ac:dyDescent="0.15">
      <c r="A41" s="161"/>
      <c r="B41" s="1065"/>
      <c r="C41" s="1068"/>
      <c r="D41" s="62" t="s">
        <v>109</v>
      </c>
      <c r="E41" s="63"/>
      <c r="F41" s="234"/>
      <c r="G41" s="243"/>
      <c r="H41" s="187"/>
      <c r="I41" s="187"/>
      <c r="J41" s="258"/>
      <c r="T41" s="182"/>
      <c r="U41" s="183"/>
      <c r="V41" s="184"/>
      <c r="W41" s="182"/>
    </row>
    <row r="42" spans="1:23" s="180" customFormat="1" ht="18" customHeight="1" x14ac:dyDescent="0.15">
      <c r="A42" s="161"/>
      <c r="B42" s="1065"/>
      <c r="C42" s="1069"/>
      <c r="D42" s="84" t="s">
        <v>69</v>
      </c>
      <c r="E42" s="63"/>
      <c r="F42" s="235"/>
      <c r="G42" s="243"/>
      <c r="H42" s="187"/>
      <c r="I42" s="187"/>
      <c r="J42" s="258"/>
      <c r="T42" s="162"/>
      <c r="U42" s="162"/>
      <c r="V42" s="162"/>
      <c r="W42" s="162"/>
    </row>
    <row r="43" spans="1:23" s="180" customFormat="1" ht="18" customHeight="1" x14ac:dyDescent="0.15">
      <c r="B43" s="1065"/>
      <c r="C43" s="1070" t="s">
        <v>221</v>
      </c>
      <c r="D43" s="84" t="s">
        <v>275</v>
      </c>
      <c r="E43" s="85"/>
      <c r="F43" s="235"/>
      <c r="G43" s="243"/>
      <c r="H43" s="187"/>
      <c r="I43" s="187"/>
      <c r="J43" s="258"/>
      <c r="T43" s="163"/>
      <c r="U43" s="181"/>
      <c r="V43" s="162"/>
      <c r="W43" s="182"/>
    </row>
    <row r="44" spans="1:23" s="180" customFormat="1" ht="18" customHeight="1" x14ac:dyDescent="0.15">
      <c r="B44" s="1065"/>
      <c r="C44" s="1071"/>
      <c r="D44" s="86" t="s">
        <v>1</v>
      </c>
      <c r="E44" s="87"/>
      <c r="F44" s="235"/>
      <c r="G44" s="243"/>
      <c r="H44" s="187"/>
      <c r="I44" s="187"/>
      <c r="J44" s="258"/>
      <c r="T44" s="163"/>
      <c r="U44" s="181"/>
      <c r="V44" s="162"/>
      <c r="W44" s="182"/>
    </row>
    <row r="45" spans="1:23" s="180" customFormat="1" ht="18" customHeight="1" thickBot="1" x14ac:dyDescent="0.2">
      <c r="B45" s="1066"/>
      <c r="C45" s="1072" t="s">
        <v>83</v>
      </c>
      <c r="D45" s="1073"/>
      <c r="E45" s="1074"/>
      <c r="F45" s="236">
        <f>SUM(F40:F42)-SUM(F43:F44)</f>
        <v>0</v>
      </c>
      <c r="G45" s="188"/>
      <c r="H45" s="189"/>
      <c r="I45" s="189"/>
      <c r="J45" s="259"/>
      <c r="T45" s="162"/>
      <c r="U45" s="162"/>
      <c r="V45" s="183"/>
      <c r="W45" s="162"/>
    </row>
  </sheetData>
  <mergeCells count="58">
    <mergeCell ref="B3:E3"/>
    <mergeCell ref="K3:S3"/>
    <mergeCell ref="B4:C5"/>
    <mergeCell ref="R4:S4"/>
    <mergeCell ref="R5:S5"/>
    <mergeCell ref="R9:S9"/>
    <mergeCell ref="G10:J10"/>
    <mergeCell ref="R10:S10"/>
    <mergeCell ref="G11:J11"/>
    <mergeCell ref="R11:S11"/>
    <mergeCell ref="I13:J13"/>
    <mergeCell ref="Q13:S13"/>
    <mergeCell ref="I14:J14"/>
    <mergeCell ref="Q14:S14"/>
    <mergeCell ref="D15:D17"/>
    <mergeCell ref="Q15:S15"/>
    <mergeCell ref="Q16:S16"/>
    <mergeCell ref="Q17:S17"/>
    <mergeCell ref="K12:K37"/>
    <mergeCell ref="Q12:S12"/>
    <mergeCell ref="Q24:S24"/>
    <mergeCell ref="Q25:S25"/>
    <mergeCell ref="Q18:S18"/>
    <mergeCell ref="Q19:S19"/>
    <mergeCell ref="Q20:S20"/>
    <mergeCell ref="Q21:S21"/>
    <mergeCell ref="D22:D23"/>
    <mergeCell ref="Q22:S22"/>
    <mergeCell ref="Q23:S23"/>
    <mergeCell ref="Q26:S26"/>
    <mergeCell ref="C27:C39"/>
    <mergeCell ref="D27:D29"/>
    <mergeCell ref="Q27:S27"/>
    <mergeCell ref="Q28:S28"/>
    <mergeCell ref="Q29:S29"/>
    <mergeCell ref="Q30:S30"/>
    <mergeCell ref="D31:D32"/>
    <mergeCell ref="Q31:S31"/>
    <mergeCell ref="Q33:S33"/>
    <mergeCell ref="C6:C26"/>
    <mergeCell ref="R6:S6"/>
    <mergeCell ref="R7:S7"/>
    <mergeCell ref="Q36:S36"/>
    <mergeCell ref="G37:J37"/>
    <mergeCell ref="Q37:S37"/>
    <mergeCell ref="D39:E39"/>
    <mergeCell ref="B40:B45"/>
    <mergeCell ref="C40:C42"/>
    <mergeCell ref="C43:C44"/>
    <mergeCell ref="C45:E45"/>
    <mergeCell ref="B6:B39"/>
    <mergeCell ref="D26:E26"/>
    <mergeCell ref="D13:D14"/>
    <mergeCell ref="R8:S8"/>
    <mergeCell ref="Q34:S34"/>
    <mergeCell ref="D18:D21"/>
    <mergeCell ref="G35:J35"/>
    <mergeCell ref="Q35:S35"/>
  </mergeCells>
  <phoneticPr fontId="5"/>
  <pageMargins left="0.78740157480314965" right="0.78740157480314965" top="0.78740157480314965" bottom="0.78740157480314965" header="0.39370078740157483" footer="0.39370078740157483"/>
  <pageSetup paperSize="9" scale="65" orientation="landscape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showZeros="0" zoomScale="75" zoomScaleNormal="75" zoomScaleSheetLayoutView="80" workbookViewId="0"/>
  </sheetViews>
  <sheetFormatPr defaultColWidth="10.875" defaultRowHeight="13.5" x14ac:dyDescent="0.15"/>
  <cols>
    <col min="1" max="1" width="1.625" style="161" customWidth="1"/>
    <col min="2" max="2" width="5.875" style="161" customWidth="1"/>
    <col min="3" max="3" width="10.625" style="161" customWidth="1"/>
    <col min="4" max="4" width="12.375" style="161" customWidth="1"/>
    <col min="5" max="5" width="14.625" style="161" customWidth="1"/>
    <col min="6" max="7" width="15.875" style="161" customWidth="1"/>
    <col min="8" max="8" width="10.875" style="161"/>
    <col min="9" max="9" width="11.375" style="161" bestFit="1" customWidth="1"/>
    <col min="10" max="10" width="13.375" style="161" customWidth="1"/>
    <col min="11" max="11" width="7.125" style="161" customWidth="1"/>
    <col min="12" max="12" width="15.375" style="161" customWidth="1"/>
    <col min="13" max="13" width="9.375" style="161" bestFit="1" customWidth="1"/>
    <col min="14" max="14" width="10.875" style="161"/>
    <col min="15" max="15" width="7.25" style="161" customWidth="1"/>
    <col min="16" max="16" width="9.625" style="161" customWidth="1"/>
    <col min="17" max="17" width="10.875" style="161" customWidth="1"/>
    <col min="18" max="18" width="7.5" style="161" customWidth="1"/>
    <col min="19" max="19" width="3.75" style="161" customWidth="1"/>
    <col min="20" max="16384" width="10.875" style="161"/>
  </cols>
  <sheetData>
    <row r="1" spans="2:19" s="162" customFormat="1" ht="9.9499999999999993" customHeight="1" x14ac:dyDescent="0.15"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</row>
    <row r="2" spans="2:19" s="162" customFormat="1" ht="24.95" customHeight="1" thickBot="1" x14ac:dyDescent="0.2">
      <c r="B2" s="3" t="s">
        <v>756</v>
      </c>
      <c r="H2" s="163" t="s">
        <v>264</v>
      </c>
      <c r="I2" s="3" t="s">
        <v>494</v>
      </c>
      <c r="K2" s="163" t="s">
        <v>265</v>
      </c>
      <c r="L2" s="3" t="s">
        <v>484</v>
      </c>
      <c r="N2" s="161"/>
      <c r="O2" s="161"/>
      <c r="Q2" s="4"/>
      <c r="R2" s="4"/>
    </row>
    <row r="3" spans="2:19" s="162" customFormat="1" ht="18" customHeight="1" x14ac:dyDescent="0.15">
      <c r="B3" s="1055" t="s">
        <v>19</v>
      </c>
      <c r="C3" s="1056"/>
      <c r="D3" s="1056"/>
      <c r="E3" s="1057"/>
      <c r="F3" s="541" t="s">
        <v>20</v>
      </c>
      <c r="G3" s="165"/>
      <c r="H3" s="166" t="s">
        <v>21</v>
      </c>
      <c r="I3" s="164"/>
      <c r="J3" s="164"/>
      <c r="K3" s="1045" t="s">
        <v>227</v>
      </c>
      <c r="L3" s="1046"/>
      <c r="M3" s="1046"/>
      <c r="N3" s="1046"/>
      <c r="O3" s="1046"/>
      <c r="P3" s="1046"/>
      <c r="Q3" s="1046"/>
      <c r="R3" s="1046"/>
      <c r="S3" s="1047"/>
    </row>
    <row r="4" spans="2:19" s="162" customFormat="1" ht="18" customHeight="1" x14ac:dyDescent="0.15">
      <c r="B4" s="1053" t="s">
        <v>22</v>
      </c>
      <c r="C4" s="1054"/>
      <c r="D4" s="274" t="s">
        <v>220</v>
      </c>
      <c r="E4" s="293"/>
      <c r="F4" s="286">
        <f>+R11</f>
        <v>18543600</v>
      </c>
      <c r="G4" s="274" t="s">
        <v>674</v>
      </c>
      <c r="H4" s="528"/>
      <c r="I4" s="528"/>
      <c r="J4" s="528"/>
      <c r="K4" s="282" t="s">
        <v>52</v>
      </c>
      <c r="L4" s="372" t="s">
        <v>268</v>
      </c>
      <c r="M4" s="536" t="s">
        <v>23</v>
      </c>
      <c r="N4" s="536" t="s">
        <v>22</v>
      </c>
      <c r="O4" s="536" t="s">
        <v>270</v>
      </c>
      <c r="P4" s="372" t="s">
        <v>269</v>
      </c>
      <c r="Q4" s="536" t="s">
        <v>23</v>
      </c>
      <c r="R4" s="1048" t="s">
        <v>22</v>
      </c>
      <c r="S4" s="1049"/>
    </row>
    <row r="5" spans="2:19" s="162" customFormat="1" ht="18" customHeight="1" x14ac:dyDescent="0.15">
      <c r="B5" s="1053"/>
      <c r="C5" s="1054"/>
      <c r="D5" s="274" t="s">
        <v>76</v>
      </c>
      <c r="E5" s="293"/>
      <c r="F5" s="286"/>
      <c r="G5" s="237"/>
      <c r="H5" s="294"/>
      <c r="I5" s="294"/>
      <c r="J5" s="294"/>
      <c r="K5" s="368">
        <v>9</v>
      </c>
      <c r="L5" s="286">
        <v>5400</v>
      </c>
      <c r="M5" s="286">
        <v>1086</v>
      </c>
      <c r="N5" s="286">
        <f>L5*M5</f>
        <v>5864400</v>
      </c>
      <c r="O5" s="286"/>
      <c r="P5" s="286"/>
      <c r="Q5" s="286"/>
      <c r="R5" s="1022">
        <f>P5*Q5</f>
        <v>0</v>
      </c>
      <c r="S5" s="1015"/>
    </row>
    <row r="6" spans="2:19" s="162" customFormat="1" ht="18" customHeight="1" x14ac:dyDescent="0.15">
      <c r="B6" s="1061" t="s">
        <v>225</v>
      </c>
      <c r="C6" s="1058" t="s">
        <v>211</v>
      </c>
      <c r="D6" s="286" t="s">
        <v>56</v>
      </c>
      <c r="E6" s="295"/>
      <c r="F6" s="286">
        <f>+P13</f>
        <v>0</v>
      </c>
      <c r="G6" s="237" t="s">
        <v>195</v>
      </c>
      <c r="H6" s="294"/>
      <c r="I6" s="294"/>
      <c r="J6" s="294"/>
      <c r="K6" s="292">
        <v>10</v>
      </c>
      <c r="L6" s="289">
        <v>10800</v>
      </c>
      <c r="M6" s="286">
        <v>1174</v>
      </c>
      <c r="N6" s="286">
        <f>L6*M6</f>
        <v>12679200</v>
      </c>
      <c r="O6" s="286"/>
      <c r="P6" s="286"/>
      <c r="Q6" s="286"/>
      <c r="R6" s="1022">
        <f t="shared" ref="R6:R9" si="0">P6*Q6</f>
        <v>0</v>
      </c>
      <c r="S6" s="1015"/>
    </row>
    <row r="7" spans="2:19" s="162" customFormat="1" ht="18" customHeight="1" x14ac:dyDescent="0.15">
      <c r="B7" s="1062"/>
      <c r="C7" s="1059"/>
      <c r="D7" s="286" t="s">
        <v>57</v>
      </c>
      <c r="E7" s="295"/>
      <c r="F7" s="286">
        <f>P22</f>
        <v>970750</v>
      </c>
      <c r="G7" s="274" t="s">
        <v>742</v>
      </c>
      <c r="H7" s="528"/>
      <c r="I7" s="528"/>
      <c r="J7" s="529"/>
      <c r="K7" s="290"/>
      <c r="L7" s="538"/>
      <c r="M7" s="286"/>
      <c r="N7" s="286">
        <f t="shared" ref="N7:N11" si="1">L7*M7</f>
        <v>0</v>
      </c>
      <c r="O7" s="286"/>
      <c r="P7" s="286"/>
      <c r="Q7" s="286"/>
      <c r="R7" s="1022">
        <f t="shared" si="0"/>
        <v>0</v>
      </c>
      <c r="S7" s="1015"/>
    </row>
    <row r="8" spans="2:19" s="162" customFormat="1" ht="18" customHeight="1" x14ac:dyDescent="0.15">
      <c r="B8" s="1062"/>
      <c r="C8" s="1059"/>
      <c r="D8" s="286" t="s">
        <v>58</v>
      </c>
      <c r="E8" s="295"/>
      <c r="F8" s="286">
        <f>P28</f>
        <v>478216.26262626261</v>
      </c>
      <c r="G8" s="243" t="s">
        <v>743</v>
      </c>
      <c r="H8" s="261"/>
      <c r="I8" s="261"/>
      <c r="J8" s="297"/>
      <c r="K8" s="288"/>
      <c r="L8" s="286"/>
      <c r="M8" s="286"/>
      <c r="N8" s="286">
        <f t="shared" si="1"/>
        <v>0</v>
      </c>
      <c r="O8" s="286"/>
      <c r="P8" s="286"/>
      <c r="Q8" s="286"/>
      <c r="R8" s="1022">
        <f t="shared" si="0"/>
        <v>0</v>
      </c>
      <c r="S8" s="1015"/>
    </row>
    <row r="9" spans="2:19" s="162" customFormat="1" ht="18" customHeight="1" x14ac:dyDescent="0.15">
      <c r="B9" s="1062"/>
      <c r="C9" s="1059"/>
      <c r="D9" s="286" t="s">
        <v>77</v>
      </c>
      <c r="E9" s="295"/>
      <c r="F9" s="286">
        <f>P37</f>
        <v>29064.400000000001</v>
      </c>
      <c r="G9" s="243" t="s">
        <v>744</v>
      </c>
      <c r="H9" s="261"/>
      <c r="I9" s="261"/>
      <c r="J9" s="297"/>
      <c r="K9" s="288"/>
      <c r="L9" s="286"/>
      <c r="M9" s="286"/>
      <c r="N9" s="286">
        <f t="shared" si="1"/>
        <v>0</v>
      </c>
      <c r="O9" s="286"/>
      <c r="P9" s="286"/>
      <c r="Q9" s="286"/>
      <c r="R9" s="1022">
        <f t="shared" si="0"/>
        <v>0</v>
      </c>
      <c r="S9" s="1015"/>
    </row>
    <row r="10" spans="2:19" s="162" customFormat="1" ht="18" customHeight="1" x14ac:dyDescent="0.15">
      <c r="B10" s="1062"/>
      <c r="C10" s="1059"/>
      <c r="D10" s="286" t="s">
        <v>59</v>
      </c>
      <c r="E10" s="295"/>
      <c r="F10" s="286">
        <f>+'８－３　シャイン（トンネル）算出基礎 '!V21</f>
        <v>358728</v>
      </c>
      <c r="G10" s="1013"/>
      <c r="H10" s="1014"/>
      <c r="I10" s="1014"/>
      <c r="J10" s="1015"/>
      <c r="K10" s="288"/>
      <c r="L10" s="286"/>
      <c r="M10" s="286"/>
      <c r="N10" s="286">
        <f t="shared" si="1"/>
        <v>0</v>
      </c>
      <c r="O10" s="286"/>
      <c r="P10" s="286"/>
      <c r="Q10" s="286"/>
      <c r="R10" s="1022"/>
      <c r="S10" s="1015"/>
    </row>
    <row r="11" spans="2:19" s="162" customFormat="1" ht="18" customHeight="1" thickBot="1" x14ac:dyDescent="0.2">
      <c r="B11" s="1062"/>
      <c r="C11" s="1059"/>
      <c r="D11" s="286" t="s">
        <v>6</v>
      </c>
      <c r="E11" s="295"/>
      <c r="F11" s="286">
        <f>+'８－３　シャイン（トンネル）算出基礎 '!V38</f>
        <v>58279.714285714283</v>
      </c>
      <c r="G11" s="1013"/>
      <c r="H11" s="1014"/>
      <c r="I11" s="1014"/>
      <c r="J11" s="1015"/>
      <c r="K11" s="183"/>
      <c r="L11" s="168"/>
      <c r="M11" s="168"/>
      <c r="N11" s="167">
        <f t="shared" si="1"/>
        <v>0</v>
      </c>
      <c r="O11" s="169" t="s">
        <v>24</v>
      </c>
      <c r="P11" s="170">
        <f>SUM(L5:L11,P5:Q10)</f>
        <v>16200</v>
      </c>
      <c r="Q11" s="171">
        <f>R11/P11</f>
        <v>1144.6666666666667</v>
      </c>
      <c r="R11" s="1034">
        <f>SUM(N5:N11,R5:S10)</f>
        <v>18543600</v>
      </c>
      <c r="S11" s="1035"/>
    </row>
    <row r="12" spans="2:19" s="162" customFormat="1" ht="18" customHeight="1" thickTop="1" x14ac:dyDescent="0.15">
      <c r="B12" s="1062"/>
      <c r="C12" s="1059"/>
      <c r="D12" s="286" t="s">
        <v>7</v>
      </c>
      <c r="E12" s="295"/>
      <c r="F12" s="286"/>
      <c r="G12" s="243"/>
      <c r="H12" s="261"/>
      <c r="I12" s="261"/>
      <c r="J12" s="297"/>
      <c r="K12" s="1025" t="s">
        <v>226</v>
      </c>
      <c r="L12" s="276" t="s">
        <v>162</v>
      </c>
      <c r="M12" s="535" t="s">
        <v>9</v>
      </c>
      <c r="N12" s="374" t="s">
        <v>267</v>
      </c>
      <c r="O12" s="534" t="s">
        <v>23</v>
      </c>
      <c r="P12" s="534" t="s">
        <v>26</v>
      </c>
      <c r="Q12" s="1036" t="s">
        <v>27</v>
      </c>
      <c r="R12" s="1037"/>
      <c r="S12" s="1038"/>
    </row>
    <row r="13" spans="2:19" s="162" customFormat="1" ht="18" customHeight="1" x14ac:dyDescent="0.15">
      <c r="B13" s="1062"/>
      <c r="C13" s="1059"/>
      <c r="D13" s="1050" t="s">
        <v>60</v>
      </c>
      <c r="E13" s="299" t="s">
        <v>191</v>
      </c>
      <c r="F13" s="286">
        <f>+H13*'６-１　ピオーネトンネル被覆資本装備'!P15</f>
        <v>23937.845622119821</v>
      </c>
      <c r="G13" s="243" t="s">
        <v>197</v>
      </c>
      <c r="H13" s="727">
        <v>0.01</v>
      </c>
      <c r="I13" s="1023" t="s">
        <v>203</v>
      </c>
      <c r="J13" s="1024"/>
      <c r="K13" s="1026"/>
      <c r="L13" s="526"/>
      <c r="M13" s="275" t="s">
        <v>142</v>
      </c>
      <c r="N13" s="539"/>
      <c r="O13" s="539"/>
      <c r="P13" s="539">
        <f>N13*O13</f>
        <v>0</v>
      </c>
      <c r="Q13" s="1016"/>
      <c r="R13" s="1017"/>
      <c r="S13" s="1018"/>
    </row>
    <row r="14" spans="2:19" s="162" customFormat="1" ht="18" customHeight="1" x14ac:dyDescent="0.15">
      <c r="B14" s="1062"/>
      <c r="C14" s="1059"/>
      <c r="D14" s="1051"/>
      <c r="E14" s="299" t="s">
        <v>192</v>
      </c>
      <c r="F14" s="286">
        <f>+H14*'６-１　ピオーネトンネル被覆資本装備'!P29</f>
        <v>24318.261904761905</v>
      </c>
      <c r="G14" s="243" t="s">
        <v>197</v>
      </c>
      <c r="H14" s="727">
        <v>0.05</v>
      </c>
      <c r="I14" s="1023" t="s">
        <v>203</v>
      </c>
      <c r="J14" s="1024"/>
      <c r="K14" s="1026"/>
      <c r="L14" s="530"/>
      <c r="M14" s="275"/>
      <c r="N14" s="539"/>
      <c r="O14" s="539"/>
      <c r="P14" s="539">
        <f>N14*O14</f>
        <v>0</v>
      </c>
      <c r="Q14" s="1083"/>
      <c r="R14" s="1017"/>
      <c r="S14" s="1018"/>
    </row>
    <row r="15" spans="2:19" s="162" customFormat="1" ht="18" customHeight="1" thickBot="1" x14ac:dyDescent="0.2">
      <c r="B15" s="1062"/>
      <c r="C15" s="1059"/>
      <c r="D15" s="1050" t="s">
        <v>78</v>
      </c>
      <c r="E15" s="299" t="s">
        <v>191</v>
      </c>
      <c r="F15" s="286">
        <f>+'６-３　シャイントンネル被覆資本装備'!P15</f>
        <v>2192103.889943074</v>
      </c>
      <c r="G15" s="243" t="s">
        <v>203</v>
      </c>
      <c r="H15" s="250"/>
      <c r="I15" s="250"/>
      <c r="J15" s="251"/>
      <c r="K15" s="1026"/>
      <c r="L15" s="174" t="s">
        <v>28</v>
      </c>
      <c r="M15" s="173"/>
      <c r="N15" s="174"/>
      <c r="O15" s="174"/>
      <c r="P15" s="174">
        <f>SUM(P13:P14)</f>
        <v>0</v>
      </c>
      <c r="Q15" s="1028"/>
      <c r="R15" s="1029"/>
      <c r="S15" s="1030"/>
    </row>
    <row r="16" spans="2:19" s="162" customFormat="1" ht="18" customHeight="1" thickTop="1" x14ac:dyDescent="0.15">
      <c r="B16" s="1062"/>
      <c r="C16" s="1059"/>
      <c r="D16" s="1052"/>
      <c r="E16" s="299" t="s">
        <v>192</v>
      </c>
      <c r="F16" s="286">
        <f>+'６-３　シャイントンネル被覆資本装備'!P52</f>
        <v>486365.23809523805</v>
      </c>
      <c r="G16" s="243" t="s">
        <v>203</v>
      </c>
      <c r="H16" s="250"/>
      <c r="I16" s="250"/>
      <c r="J16" s="251"/>
      <c r="K16" s="1026"/>
      <c r="L16" s="270" t="s">
        <v>163</v>
      </c>
      <c r="M16" s="271"/>
      <c r="N16" s="373" t="s">
        <v>267</v>
      </c>
      <c r="O16" s="533" t="s">
        <v>23</v>
      </c>
      <c r="P16" s="273" t="s">
        <v>26</v>
      </c>
      <c r="Q16" s="1031" t="s">
        <v>27</v>
      </c>
      <c r="R16" s="1032"/>
      <c r="S16" s="1033"/>
    </row>
    <row r="17" spans="1:19" s="162" customFormat="1" ht="18" customHeight="1" x14ac:dyDescent="0.15">
      <c r="B17" s="1062"/>
      <c r="C17" s="1059"/>
      <c r="D17" s="1051"/>
      <c r="E17" s="286" t="s">
        <v>61</v>
      </c>
      <c r="F17" s="286">
        <f>+'６-３　シャイントンネル被覆資本装備'!P58</f>
        <v>2898944.4947049785</v>
      </c>
      <c r="G17" s="243" t="s">
        <v>203</v>
      </c>
      <c r="H17" s="250"/>
      <c r="I17" s="250"/>
      <c r="J17" s="251"/>
      <c r="K17" s="1026"/>
      <c r="L17" s="274" t="s">
        <v>170</v>
      </c>
      <c r="M17" s="275"/>
      <c r="N17" s="243" t="s">
        <v>529</v>
      </c>
      <c r="O17" s="265"/>
      <c r="P17" s="263">
        <f>+'８－３　シャイン（トンネル）算出基礎 '!G7</f>
        <v>664800</v>
      </c>
      <c r="Q17" s="1019"/>
      <c r="R17" s="1020"/>
      <c r="S17" s="1021"/>
    </row>
    <row r="18" spans="1:19" s="162" customFormat="1" ht="18" customHeight="1" x14ac:dyDescent="0.15">
      <c r="A18" s="161"/>
      <c r="B18" s="1062"/>
      <c r="C18" s="1059"/>
      <c r="D18" s="1075" t="s">
        <v>273</v>
      </c>
      <c r="E18" s="538" t="s">
        <v>108</v>
      </c>
      <c r="F18" s="286"/>
      <c r="G18" s="243"/>
      <c r="H18" s="261"/>
      <c r="I18" s="261"/>
      <c r="J18" s="251"/>
      <c r="K18" s="1026"/>
      <c r="L18" s="274" t="s">
        <v>167</v>
      </c>
      <c r="M18" s="275"/>
      <c r="N18" s="243" t="s">
        <v>531</v>
      </c>
      <c r="O18" s="265"/>
      <c r="P18" s="263">
        <f>+'８－３　シャイン（トンネル）算出基礎 '!G12</f>
        <v>207850</v>
      </c>
      <c r="Q18" s="1019"/>
      <c r="R18" s="1020"/>
      <c r="S18" s="1021"/>
    </row>
    <row r="19" spans="1:19" s="162" customFormat="1" ht="18" customHeight="1" x14ac:dyDescent="0.15">
      <c r="A19" s="161"/>
      <c r="B19" s="1062"/>
      <c r="C19" s="1059"/>
      <c r="D19" s="1075"/>
      <c r="E19" s="538" t="s">
        <v>104</v>
      </c>
      <c r="F19" s="286"/>
      <c r="G19" s="243"/>
      <c r="H19" s="261"/>
      <c r="I19" s="310"/>
      <c r="J19" s="251"/>
      <c r="K19" s="1026"/>
      <c r="L19" s="243" t="s">
        <v>168</v>
      </c>
      <c r="M19" s="261"/>
      <c r="N19" s="243" t="s">
        <v>533</v>
      </c>
      <c r="O19" s="265"/>
      <c r="P19" s="263">
        <f>+'８－３　シャイン（トンネル）算出基礎 '!G17</f>
        <v>81600</v>
      </c>
      <c r="Q19" s="1019"/>
      <c r="R19" s="1020"/>
      <c r="S19" s="1021"/>
    </row>
    <row r="20" spans="1:19" s="162" customFormat="1" ht="18" customHeight="1" x14ac:dyDescent="0.15">
      <c r="A20" s="161"/>
      <c r="B20" s="1062"/>
      <c r="C20" s="1059"/>
      <c r="D20" s="1075"/>
      <c r="E20" s="538" t="s">
        <v>105</v>
      </c>
      <c r="F20" s="286"/>
      <c r="G20" s="243"/>
      <c r="H20" s="261"/>
      <c r="I20" s="310"/>
      <c r="J20" s="251"/>
      <c r="K20" s="1026"/>
      <c r="L20" s="243" t="s">
        <v>171</v>
      </c>
      <c r="M20" s="261"/>
      <c r="N20" s="243" t="s">
        <v>529</v>
      </c>
      <c r="O20" s="265"/>
      <c r="P20" s="263">
        <f>+'８－３　シャイン（トンネル）算出基礎 '!G21</f>
        <v>16500</v>
      </c>
      <c r="Q20" s="1019"/>
      <c r="R20" s="1020"/>
      <c r="S20" s="1021"/>
    </row>
    <row r="21" spans="1:19" s="162" customFormat="1" ht="18" customHeight="1" x14ac:dyDescent="0.15">
      <c r="A21" s="161"/>
      <c r="B21" s="1062"/>
      <c r="C21" s="1059"/>
      <c r="D21" s="1075"/>
      <c r="E21" s="538" t="s">
        <v>106</v>
      </c>
      <c r="F21" s="286"/>
      <c r="G21" s="243"/>
      <c r="H21" s="261"/>
      <c r="I21" s="261"/>
      <c r="J21" s="251"/>
      <c r="K21" s="1026"/>
      <c r="L21" s="243" t="s">
        <v>172</v>
      </c>
      <c r="M21" s="261"/>
      <c r="N21" s="243"/>
      <c r="O21" s="263"/>
      <c r="P21" s="263">
        <f>+'８－３　シャイン（トンネル）算出基礎 '!G25</f>
        <v>0</v>
      </c>
      <c r="Q21" s="1019"/>
      <c r="R21" s="1020"/>
      <c r="S21" s="1021"/>
    </row>
    <row r="22" spans="1:19" s="162" customFormat="1" ht="18" customHeight="1" thickBot="1" x14ac:dyDescent="0.2">
      <c r="A22" s="161"/>
      <c r="B22" s="1062"/>
      <c r="C22" s="1059"/>
      <c r="D22" s="1075" t="s">
        <v>62</v>
      </c>
      <c r="E22" s="538" t="s">
        <v>63</v>
      </c>
      <c r="F22" s="286"/>
      <c r="G22" s="243"/>
      <c r="H22" s="261"/>
      <c r="I22" s="261"/>
      <c r="J22" s="251"/>
      <c r="K22" s="1026"/>
      <c r="L22" s="174" t="s">
        <v>28</v>
      </c>
      <c r="M22" s="173"/>
      <c r="N22" s="174"/>
      <c r="O22" s="174"/>
      <c r="P22" s="174">
        <f>SUM(P17:P21)</f>
        <v>970750</v>
      </c>
      <c r="Q22" s="1028"/>
      <c r="R22" s="1029"/>
      <c r="S22" s="1030"/>
    </row>
    <row r="23" spans="1:19" s="162" customFormat="1" ht="18" customHeight="1" thickTop="1" x14ac:dyDescent="0.15">
      <c r="A23" s="161"/>
      <c r="B23" s="1062"/>
      <c r="C23" s="1059"/>
      <c r="D23" s="1075"/>
      <c r="E23" s="538" t="s">
        <v>79</v>
      </c>
      <c r="F23" s="286"/>
      <c r="G23" s="243"/>
      <c r="H23" s="261"/>
      <c r="I23" s="261"/>
      <c r="J23" s="251"/>
      <c r="K23" s="1026"/>
      <c r="L23" s="243" t="s">
        <v>164</v>
      </c>
      <c r="M23" s="261"/>
      <c r="N23" s="262" t="s">
        <v>25</v>
      </c>
      <c r="O23" s="262" t="s">
        <v>23</v>
      </c>
      <c r="P23" s="262" t="s">
        <v>26</v>
      </c>
      <c r="Q23" s="1031" t="s">
        <v>27</v>
      </c>
      <c r="R23" s="1032"/>
      <c r="S23" s="1033"/>
    </row>
    <row r="24" spans="1:19" s="162" customFormat="1" ht="18" customHeight="1" x14ac:dyDescent="0.15">
      <c r="A24" s="161"/>
      <c r="B24" s="1062"/>
      <c r="C24" s="1059"/>
      <c r="D24" s="286" t="s">
        <v>64</v>
      </c>
      <c r="E24" s="295"/>
      <c r="F24" s="286">
        <v>150000</v>
      </c>
      <c r="G24" s="243"/>
      <c r="H24" s="261"/>
      <c r="I24" s="728"/>
      <c r="J24" s="251"/>
      <c r="K24" s="1026"/>
      <c r="L24" s="263" t="s">
        <v>29</v>
      </c>
      <c r="M24" s="261"/>
      <c r="N24" s="243" t="s">
        <v>535</v>
      </c>
      <c r="O24" s="263"/>
      <c r="P24" s="263">
        <f>+'８－３　シャイン（トンネル）算出基礎 '!G42</f>
        <v>193400</v>
      </c>
      <c r="Q24" s="1019"/>
      <c r="R24" s="1020"/>
      <c r="S24" s="1021"/>
    </row>
    <row r="25" spans="1:19" s="162" customFormat="1" ht="18" customHeight="1" x14ac:dyDescent="0.15">
      <c r="A25" s="161"/>
      <c r="B25" s="1062"/>
      <c r="C25" s="1059"/>
      <c r="D25" s="286" t="s">
        <v>166</v>
      </c>
      <c r="E25" s="295"/>
      <c r="F25" s="286">
        <f>SUM(F6:F24)/99</f>
        <v>77481.900072546952</v>
      </c>
      <c r="G25" s="301" t="s">
        <v>230</v>
      </c>
      <c r="H25" s="315">
        <v>0.01</v>
      </c>
      <c r="I25" s="531"/>
      <c r="J25" s="18"/>
      <c r="K25" s="1026"/>
      <c r="L25" s="263" t="s">
        <v>30</v>
      </c>
      <c r="M25" s="261"/>
      <c r="N25" s="243" t="s">
        <v>537</v>
      </c>
      <c r="O25" s="263"/>
      <c r="P25" s="263">
        <f>+'８－３　シャイン（トンネル）算出基礎 '!G53</f>
        <v>132684.44444444444</v>
      </c>
      <c r="Q25" s="1019"/>
      <c r="R25" s="1020"/>
      <c r="S25" s="1021"/>
    </row>
    <row r="26" spans="1:19" s="162" customFormat="1" ht="18" customHeight="1" x14ac:dyDescent="0.15">
      <c r="A26" s="161"/>
      <c r="B26" s="1062"/>
      <c r="C26" s="1060"/>
      <c r="D26" s="1081" t="s">
        <v>219</v>
      </c>
      <c r="E26" s="1082"/>
      <c r="F26" s="193">
        <f>SUM(F6:F25)</f>
        <v>7748190.0072546955</v>
      </c>
      <c r="G26" s="253"/>
      <c r="H26" s="531"/>
      <c r="I26" s="531"/>
      <c r="J26" s="532"/>
      <c r="K26" s="1026"/>
      <c r="L26" s="263" t="s">
        <v>31</v>
      </c>
      <c r="M26" s="261"/>
      <c r="N26" s="243" t="s">
        <v>529</v>
      </c>
      <c r="O26" s="263"/>
      <c r="P26" s="263">
        <f>+'８－３　シャイン（トンネル）算出基礎 '!G57</f>
        <v>41581.818181818184</v>
      </c>
      <c r="Q26" s="1019"/>
      <c r="R26" s="1020"/>
      <c r="S26" s="1021"/>
    </row>
    <row r="27" spans="1:19" s="162" customFormat="1" ht="18" customHeight="1" x14ac:dyDescent="0.15">
      <c r="A27" s="161"/>
      <c r="B27" s="1062"/>
      <c r="C27" s="1076" t="s">
        <v>198</v>
      </c>
      <c r="D27" s="937" t="s">
        <v>65</v>
      </c>
      <c r="E27" s="62" t="s">
        <v>3</v>
      </c>
      <c r="F27" s="167">
        <f>+P11*80</f>
        <v>1296000</v>
      </c>
      <c r="G27" s="274" t="s">
        <v>615</v>
      </c>
      <c r="H27" s="261"/>
      <c r="I27" s="172"/>
      <c r="J27" s="297"/>
      <c r="K27" s="1026"/>
      <c r="L27" s="263" t="s">
        <v>132</v>
      </c>
      <c r="M27" s="261"/>
      <c r="N27" s="243" t="s">
        <v>632</v>
      </c>
      <c r="O27" s="263"/>
      <c r="P27" s="263">
        <f>+'８－３　シャイン（トンネル）算出基礎 '!G62</f>
        <v>110550</v>
      </c>
      <c r="Q27" s="1019"/>
      <c r="R27" s="1020"/>
      <c r="S27" s="1021"/>
    </row>
    <row r="28" spans="1:19" s="162" customFormat="1" ht="18" customHeight="1" thickBot="1" x14ac:dyDescent="0.2">
      <c r="A28" s="161"/>
      <c r="B28" s="1062"/>
      <c r="C28" s="1077"/>
      <c r="D28" s="940"/>
      <c r="E28" s="62" t="s">
        <v>4</v>
      </c>
      <c r="F28" s="194">
        <f>+P11*18</f>
        <v>291600</v>
      </c>
      <c r="G28" s="274" t="s">
        <v>616</v>
      </c>
      <c r="H28" s="302"/>
      <c r="I28" s="302"/>
      <c r="J28" s="303"/>
      <c r="K28" s="1026"/>
      <c r="L28" s="174" t="s">
        <v>28</v>
      </c>
      <c r="M28" s="173"/>
      <c r="N28" s="174"/>
      <c r="O28" s="174"/>
      <c r="P28" s="174">
        <f>SUM(P24:P27)</f>
        <v>478216.26262626261</v>
      </c>
      <c r="Q28" s="1028"/>
      <c r="R28" s="1029"/>
      <c r="S28" s="1030"/>
    </row>
    <row r="29" spans="1:19" s="162" customFormat="1" ht="18" customHeight="1" thickTop="1" x14ac:dyDescent="0.15">
      <c r="A29" s="161"/>
      <c r="B29" s="1062"/>
      <c r="C29" s="1077"/>
      <c r="D29" s="938"/>
      <c r="E29" s="62" t="s">
        <v>8</v>
      </c>
      <c r="F29" s="167">
        <f>+R11*0.11</f>
        <v>2039796</v>
      </c>
      <c r="G29" s="274" t="s">
        <v>617</v>
      </c>
      <c r="H29" s="528"/>
      <c r="I29" s="302"/>
      <c r="J29" s="529"/>
      <c r="K29" s="1026"/>
      <c r="L29" s="243" t="s">
        <v>165</v>
      </c>
      <c r="M29" s="261"/>
      <c r="N29" s="262" t="s">
        <v>25</v>
      </c>
      <c r="O29" s="262" t="s">
        <v>23</v>
      </c>
      <c r="P29" s="262" t="s">
        <v>26</v>
      </c>
      <c r="Q29" s="1031" t="s">
        <v>27</v>
      </c>
      <c r="R29" s="1032"/>
      <c r="S29" s="1033"/>
    </row>
    <row r="30" spans="1:19" s="162" customFormat="1" ht="18" customHeight="1" x14ac:dyDescent="0.15">
      <c r="A30" s="161"/>
      <c r="B30" s="1062"/>
      <c r="C30" s="1077"/>
      <c r="D30" s="62" t="s">
        <v>66</v>
      </c>
      <c r="E30" s="63"/>
      <c r="F30" s="167"/>
      <c r="G30" s="274" t="s">
        <v>204</v>
      </c>
      <c r="H30" s="528"/>
      <c r="I30" s="302"/>
      <c r="J30" s="304"/>
      <c r="K30" s="1026"/>
      <c r="L30" s="263" t="s">
        <v>47</v>
      </c>
      <c r="M30" s="264"/>
      <c r="N30" s="243" t="s">
        <v>545</v>
      </c>
      <c r="O30" s="265">
        <v>123.2</v>
      </c>
      <c r="P30" s="263">
        <f>+'８－３　シャイン（トンネル）算出基礎 '!N11</f>
        <v>5544</v>
      </c>
      <c r="Q30" s="1042"/>
      <c r="R30" s="1043"/>
      <c r="S30" s="1044"/>
    </row>
    <row r="31" spans="1:19" s="162" customFormat="1" ht="18" customHeight="1" x14ac:dyDescent="0.15">
      <c r="A31" s="161"/>
      <c r="B31" s="1062"/>
      <c r="C31" s="1077"/>
      <c r="D31" s="953" t="s">
        <v>274</v>
      </c>
      <c r="E31" s="523" t="s">
        <v>108</v>
      </c>
      <c r="F31" s="194"/>
      <c r="G31" s="274" t="s">
        <v>204</v>
      </c>
      <c r="H31" s="305"/>
      <c r="I31" s="305"/>
      <c r="J31" s="306"/>
      <c r="K31" s="1026"/>
      <c r="L31" s="263" t="s">
        <v>46</v>
      </c>
      <c r="M31" s="264"/>
      <c r="N31" s="243" t="s">
        <v>547</v>
      </c>
      <c r="O31" s="265">
        <v>169.9</v>
      </c>
      <c r="P31" s="263">
        <f>+'８－３　シャイン（トンネル）算出基礎 '!N16</f>
        <v>15291</v>
      </c>
      <c r="Q31" s="1042"/>
      <c r="R31" s="1043"/>
      <c r="S31" s="1044"/>
    </row>
    <row r="32" spans="1:19" s="162" customFormat="1" ht="18" customHeight="1" x14ac:dyDescent="0.15">
      <c r="A32" s="161"/>
      <c r="B32" s="1062"/>
      <c r="C32" s="1077"/>
      <c r="D32" s="953"/>
      <c r="E32" s="523" t="s">
        <v>107</v>
      </c>
      <c r="F32" s="194"/>
      <c r="G32" s="274" t="s">
        <v>204</v>
      </c>
      <c r="H32" s="307"/>
      <c r="I32" s="307"/>
      <c r="J32" s="308"/>
      <c r="K32" s="1026"/>
      <c r="L32" s="263" t="s">
        <v>48</v>
      </c>
      <c r="M32" s="261"/>
      <c r="N32" s="265"/>
      <c r="O32" s="265"/>
      <c r="P32" s="263">
        <f>SUM(P30:P31)*R32</f>
        <v>6250.5</v>
      </c>
      <c r="Q32" s="527" t="s">
        <v>32</v>
      </c>
      <c r="R32" s="267">
        <v>0.3</v>
      </c>
      <c r="S32" s="178"/>
    </row>
    <row r="33" spans="1:23" ht="18" customHeight="1" x14ac:dyDescent="0.15">
      <c r="B33" s="1062"/>
      <c r="C33" s="1077"/>
      <c r="D33" s="62" t="s">
        <v>67</v>
      </c>
      <c r="E33" s="73"/>
      <c r="F33" s="194"/>
      <c r="G33" s="274" t="s">
        <v>204</v>
      </c>
      <c r="H33" s="309"/>
      <c r="I33" s="310"/>
      <c r="J33" s="304"/>
      <c r="K33" s="1026"/>
      <c r="L33" s="263" t="s">
        <v>49</v>
      </c>
      <c r="M33" s="264"/>
      <c r="N33" s="243" t="s">
        <v>549</v>
      </c>
      <c r="O33" s="265">
        <v>179.9</v>
      </c>
      <c r="P33" s="263">
        <f>+'８－３　シャイン（トンネル）算出基礎 '!N20</f>
        <v>1978.9</v>
      </c>
      <c r="Q33" s="1019"/>
      <c r="R33" s="1020"/>
      <c r="S33" s="1021"/>
    </row>
    <row r="34" spans="1:23" ht="18" customHeight="1" x14ac:dyDescent="0.15">
      <c r="B34" s="1062"/>
      <c r="C34" s="1077"/>
      <c r="D34" s="62" t="s">
        <v>80</v>
      </c>
      <c r="E34" s="73"/>
      <c r="F34" s="194"/>
      <c r="G34" s="274" t="s">
        <v>204</v>
      </c>
      <c r="H34" s="311"/>
      <c r="I34" s="312"/>
      <c r="J34" s="313"/>
      <c r="K34" s="1026"/>
      <c r="L34" s="263" t="s">
        <v>50</v>
      </c>
      <c r="M34" s="264"/>
      <c r="N34" s="243"/>
      <c r="O34" s="265"/>
      <c r="P34" s="263">
        <f>+'８－３　シャイン（トンネル）算出基礎 '!N24</f>
        <v>0</v>
      </c>
      <c r="Q34" s="1019"/>
      <c r="R34" s="1020"/>
      <c r="S34" s="1021"/>
    </row>
    <row r="35" spans="1:23" ht="18" customHeight="1" x14ac:dyDescent="0.15">
      <c r="B35" s="1062"/>
      <c r="C35" s="1077"/>
      <c r="D35" s="62" t="s">
        <v>111</v>
      </c>
      <c r="E35" s="63"/>
      <c r="F35" s="194">
        <f>+'８－３　シャイン（トンネル）算出基礎 '!V62</f>
        <v>91216.666666666672</v>
      </c>
      <c r="G35" s="1013"/>
      <c r="H35" s="1014"/>
      <c r="I35" s="1014"/>
      <c r="J35" s="1015"/>
      <c r="K35" s="1026"/>
      <c r="L35" s="263" t="s">
        <v>271</v>
      </c>
      <c r="M35" s="264"/>
      <c r="N35" s="243"/>
      <c r="O35" s="265"/>
      <c r="P35" s="263">
        <f>+'８－３　シャイン（トンネル）算出基礎 '!N28</f>
        <v>0</v>
      </c>
      <c r="Q35" s="1019"/>
      <c r="R35" s="1020"/>
      <c r="S35" s="1021"/>
    </row>
    <row r="36" spans="1:23" ht="18" customHeight="1" x14ac:dyDescent="0.15">
      <c r="B36" s="1062"/>
      <c r="C36" s="1077"/>
      <c r="D36" s="84" t="s">
        <v>81</v>
      </c>
      <c r="E36" s="85"/>
      <c r="F36" s="314"/>
      <c r="G36" s="243"/>
      <c r="H36" s="311"/>
      <c r="I36" s="312"/>
      <c r="J36" s="304"/>
      <c r="K36" s="1026"/>
      <c r="L36" s="263" t="s">
        <v>51</v>
      </c>
      <c r="M36" s="261"/>
      <c r="N36" s="243"/>
      <c r="O36" s="265"/>
      <c r="P36" s="263">
        <f>+'８－３　シャイン（トンネル）算出基礎 '!N33</f>
        <v>0</v>
      </c>
      <c r="Q36" s="1019"/>
      <c r="R36" s="1020"/>
      <c r="S36" s="1021"/>
    </row>
    <row r="37" spans="1:23" ht="18" customHeight="1" thickBot="1" x14ac:dyDescent="0.2">
      <c r="B37" s="1062"/>
      <c r="C37" s="1077"/>
      <c r="D37" s="62" t="s">
        <v>68</v>
      </c>
      <c r="E37" s="63"/>
      <c r="F37" s="194">
        <f>+'８－３　シャイン（トンネル）算出基礎 '!N62</f>
        <v>15672</v>
      </c>
      <c r="G37" s="1013"/>
      <c r="H37" s="1014"/>
      <c r="I37" s="1014"/>
      <c r="J37" s="1015"/>
      <c r="K37" s="1027"/>
      <c r="L37" s="186" t="s">
        <v>28</v>
      </c>
      <c r="M37" s="185"/>
      <c r="N37" s="186"/>
      <c r="O37" s="186"/>
      <c r="P37" s="186">
        <f>SUM(P30:P36)</f>
        <v>29064.400000000001</v>
      </c>
      <c r="Q37" s="1039"/>
      <c r="R37" s="1040"/>
      <c r="S37" s="1041"/>
    </row>
    <row r="38" spans="1:23" s="180" customFormat="1" ht="18" customHeight="1" x14ac:dyDescent="0.15">
      <c r="A38" s="161"/>
      <c r="B38" s="1062"/>
      <c r="C38" s="1077"/>
      <c r="D38" s="62" t="s">
        <v>0</v>
      </c>
      <c r="E38" s="73"/>
      <c r="F38" s="194"/>
      <c r="G38" s="17" t="s">
        <v>204</v>
      </c>
      <c r="H38" s="255"/>
      <c r="I38" s="256"/>
      <c r="J38" s="254"/>
    </row>
    <row r="39" spans="1:23" s="180" customFormat="1" ht="18" customHeight="1" thickBot="1" x14ac:dyDescent="0.2">
      <c r="A39" s="161"/>
      <c r="B39" s="1063"/>
      <c r="C39" s="1078"/>
      <c r="D39" s="1079" t="s">
        <v>218</v>
      </c>
      <c r="E39" s="1080"/>
      <c r="F39" s="245">
        <f>SUM(F27:F38)</f>
        <v>3734284.6666666665</v>
      </c>
      <c r="G39" s="246"/>
      <c r="H39" s="247"/>
      <c r="I39" s="248"/>
      <c r="J39" s="249"/>
      <c r="T39" s="181"/>
    </row>
    <row r="40" spans="1:23" s="180" customFormat="1" ht="18" customHeight="1" x14ac:dyDescent="0.15">
      <c r="A40" s="161"/>
      <c r="B40" s="1064" t="s">
        <v>222</v>
      </c>
      <c r="C40" s="1067" t="s">
        <v>70</v>
      </c>
      <c r="D40" s="240" t="s">
        <v>110</v>
      </c>
      <c r="E40" s="241"/>
      <c r="F40" s="242"/>
      <c r="G40" s="243"/>
      <c r="H40" s="244"/>
      <c r="I40" s="244"/>
      <c r="J40" s="257"/>
      <c r="T40" s="162"/>
      <c r="U40" s="162"/>
      <c r="V40" s="162"/>
      <c r="W40" s="162"/>
    </row>
    <row r="41" spans="1:23" s="180" customFormat="1" ht="18" customHeight="1" x14ac:dyDescent="0.15">
      <c r="A41" s="161"/>
      <c r="B41" s="1065"/>
      <c r="C41" s="1068"/>
      <c r="D41" s="62" t="s">
        <v>109</v>
      </c>
      <c r="E41" s="63"/>
      <c r="F41" s="234"/>
      <c r="G41" s="243"/>
      <c r="H41" s="187"/>
      <c r="I41" s="187"/>
      <c r="J41" s="258"/>
      <c r="T41" s="182"/>
      <c r="U41" s="183"/>
      <c r="V41" s="184"/>
      <c r="W41" s="182"/>
    </row>
    <row r="42" spans="1:23" s="180" customFormat="1" ht="18" customHeight="1" x14ac:dyDescent="0.15">
      <c r="A42" s="161"/>
      <c r="B42" s="1065"/>
      <c r="C42" s="1069"/>
      <c r="D42" s="84" t="s">
        <v>69</v>
      </c>
      <c r="E42" s="63"/>
      <c r="F42" s="235"/>
      <c r="G42" s="243"/>
      <c r="H42" s="187"/>
      <c r="I42" s="187"/>
      <c r="J42" s="258"/>
      <c r="T42" s="162"/>
      <c r="U42" s="162"/>
      <c r="V42" s="162"/>
      <c r="W42" s="162"/>
    </row>
    <row r="43" spans="1:23" s="180" customFormat="1" ht="18" customHeight="1" x14ac:dyDescent="0.15">
      <c r="B43" s="1065"/>
      <c r="C43" s="1070" t="s">
        <v>221</v>
      </c>
      <c r="D43" s="84" t="s">
        <v>275</v>
      </c>
      <c r="E43" s="85"/>
      <c r="F43" s="235"/>
      <c r="G43" s="243"/>
      <c r="H43" s="187"/>
      <c r="I43" s="187"/>
      <c r="J43" s="258"/>
      <c r="T43" s="163"/>
      <c r="U43" s="181"/>
      <c r="V43" s="162"/>
      <c r="W43" s="182"/>
    </row>
    <row r="44" spans="1:23" s="180" customFormat="1" ht="18" customHeight="1" x14ac:dyDescent="0.15">
      <c r="B44" s="1065"/>
      <c r="C44" s="1071"/>
      <c r="D44" s="86" t="s">
        <v>1</v>
      </c>
      <c r="E44" s="87"/>
      <c r="F44" s="235"/>
      <c r="G44" s="243"/>
      <c r="H44" s="187"/>
      <c r="I44" s="187"/>
      <c r="J44" s="258"/>
      <c r="T44" s="163"/>
      <c r="U44" s="181"/>
      <c r="V44" s="162"/>
      <c r="W44" s="182"/>
    </row>
    <row r="45" spans="1:23" s="180" customFormat="1" ht="18" customHeight="1" thickBot="1" x14ac:dyDescent="0.2">
      <c r="B45" s="1066"/>
      <c r="C45" s="1072" t="s">
        <v>83</v>
      </c>
      <c r="D45" s="1073"/>
      <c r="E45" s="1074"/>
      <c r="F45" s="236">
        <f>SUM(F40:F42)-SUM(F43:F44)</f>
        <v>0</v>
      </c>
      <c r="G45" s="188"/>
      <c r="H45" s="189"/>
      <c r="I45" s="189"/>
      <c r="J45" s="259"/>
      <c r="T45" s="162"/>
      <c r="U45" s="162"/>
      <c r="V45" s="183"/>
      <c r="W45" s="162"/>
    </row>
  </sheetData>
  <mergeCells count="58">
    <mergeCell ref="B3:E3"/>
    <mergeCell ref="K3:S3"/>
    <mergeCell ref="B4:C5"/>
    <mergeCell ref="R4:S4"/>
    <mergeCell ref="R5:S5"/>
    <mergeCell ref="R9:S9"/>
    <mergeCell ref="G10:J10"/>
    <mergeCell ref="R10:S10"/>
    <mergeCell ref="G11:J11"/>
    <mergeCell ref="R11:S11"/>
    <mergeCell ref="I13:J13"/>
    <mergeCell ref="Q13:S13"/>
    <mergeCell ref="I14:J14"/>
    <mergeCell ref="Q14:S14"/>
    <mergeCell ref="D15:D17"/>
    <mergeCell ref="Q15:S15"/>
    <mergeCell ref="Q16:S16"/>
    <mergeCell ref="Q17:S17"/>
    <mergeCell ref="K12:K37"/>
    <mergeCell ref="Q12:S12"/>
    <mergeCell ref="Q24:S24"/>
    <mergeCell ref="Q25:S25"/>
    <mergeCell ref="Q18:S18"/>
    <mergeCell ref="Q19:S19"/>
    <mergeCell ref="Q20:S20"/>
    <mergeCell ref="Q21:S21"/>
    <mergeCell ref="D22:D23"/>
    <mergeCell ref="Q22:S22"/>
    <mergeCell ref="Q23:S23"/>
    <mergeCell ref="Q26:S26"/>
    <mergeCell ref="C27:C39"/>
    <mergeCell ref="D27:D29"/>
    <mergeCell ref="Q27:S27"/>
    <mergeCell ref="Q28:S28"/>
    <mergeCell ref="Q29:S29"/>
    <mergeCell ref="Q30:S30"/>
    <mergeCell ref="D31:D32"/>
    <mergeCell ref="Q31:S31"/>
    <mergeCell ref="Q33:S33"/>
    <mergeCell ref="C6:C26"/>
    <mergeCell ref="R6:S6"/>
    <mergeCell ref="R7:S7"/>
    <mergeCell ref="Q36:S36"/>
    <mergeCell ref="G37:J37"/>
    <mergeCell ref="Q37:S37"/>
    <mergeCell ref="D39:E39"/>
    <mergeCell ref="B40:B45"/>
    <mergeCell ref="C40:C42"/>
    <mergeCell ref="C43:C44"/>
    <mergeCell ref="C45:E45"/>
    <mergeCell ref="B6:B39"/>
    <mergeCell ref="D26:E26"/>
    <mergeCell ref="D13:D14"/>
    <mergeCell ref="R8:S8"/>
    <mergeCell ref="Q34:S34"/>
    <mergeCell ref="D18:D21"/>
    <mergeCell ref="G35:J35"/>
    <mergeCell ref="Q35:S35"/>
  </mergeCells>
  <phoneticPr fontId="5"/>
  <pageMargins left="0.78740157480314965" right="0.78740157480314965" top="0.78740157480314965" bottom="0.78740157480314965" header="0.39370078740157483" footer="0.39370078740157483"/>
  <pageSetup paperSize="9" scale="65" orientation="landscape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view="pageBreakPreview" topLeftCell="B1" zoomScale="60" zoomScaleNormal="100" workbookViewId="0">
      <selection activeCell="G4" sqref="G4"/>
    </sheetView>
  </sheetViews>
  <sheetFormatPr defaultColWidth="10.875" defaultRowHeight="13.5" x14ac:dyDescent="0.15"/>
  <cols>
    <col min="1" max="1" width="1.625" style="161" customWidth="1"/>
    <col min="2" max="2" width="5.875" style="161" customWidth="1"/>
    <col min="3" max="3" width="10.625" style="161" customWidth="1"/>
    <col min="4" max="4" width="12.375" style="161" customWidth="1"/>
    <col min="5" max="5" width="14.625" style="161" customWidth="1"/>
    <col min="6" max="7" width="15.875" style="161" customWidth="1"/>
    <col min="8" max="8" width="10.875" style="161"/>
    <col min="9" max="9" width="11.375" style="161" bestFit="1" customWidth="1"/>
    <col min="10" max="10" width="13.375" style="161" customWidth="1"/>
    <col min="11" max="11" width="7.125" style="161" customWidth="1"/>
    <col min="12" max="12" width="15.375" style="161" customWidth="1"/>
    <col min="13" max="13" width="9.375" style="161" bestFit="1" customWidth="1"/>
    <col min="14" max="14" width="10.875" style="161"/>
    <col min="15" max="15" width="7.25" style="161" customWidth="1"/>
    <col min="16" max="16" width="9.625" style="161" customWidth="1"/>
    <col min="17" max="17" width="10.875" style="161" customWidth="1"/>
    <col min="18" max="18" width="7.5" style="161" customWidth="1"/>
    <col min="19" max="19" width="3.75" style="161" customWidth="1"/>
    <col min="20" max="16384" width="10.875" style="161"/>
  </cols>
  <sheetData>
    <row r="1" spans="2:19" s="162" customFormat="1" ht="9.9499999999999993" customHeight="1" x14ac:dyDescent="0.15"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</row>
    <row r="2" spans="2:19" s="162" customFormat="1" ht="24.95" customHeight="1" thickBot="1" x14ac:dyDescent="0.2">
      <c r="B2" s="3" t="s">
        <v>491</v>
      </c>
      <c r="H2" s="163" t="s">
        <v>264</v>
      </c>
      <c r="I2" s="3" t="s">
        <v>492</v>
      </c>
      <c r="K2" s="163" t="s">
        <v>265</v>
      </c>
      <c r="L2" s="3" t="s">
        <v>484</v>
      </c>
      <c r="N2" s="161"/>
      <c r="O2" s="161"/>
      <c r="Q2" s="4"/>
      <c r="R2" s="4"/>
    </row>
    <row r="3" spans="2:19" s="162" customFormat="1" ht="18" customHeight="1" x14ac:dyDescent="0.15">
      <c r="B3" s="1055" t="s">
        <v>19</v>
      </c>
      <c r="C3" s="1056"/>
      <c r="D3" s="1056"/>
      <c r="E3" s="1057"/>
      <c r="F3" s="192" t="s">
        <v>20</v>
      </c>
      <c r="G3" s="165"/>
      <c r="H3" s="166" t="s">
        <v>21</v>
      </c>
      <c r="I3" s="164"/>
      <c r="J3" s="164"/>
      <c r="K3" s="1045" t="s">
        <v>227</v>
      </c>
      <c r="L3" s="1046"/>
      <c r="M3" s="1046"/>
      <c r="N3" s="1046"/>
      <c r="O3" s="1046"/>
      <c r="P3" s="1046"/>
      <c r="Q3" s="1046"/>
      <c r="R3" s="1046"/>
      <c r="S3" s="1047"/>
    </row>
    <row r="4" spans="2:19" s="162" customFormat="1" ht="18" customHeight="1" x14ac:dyDescent="0.15">
      <c r="B4" s="1053" t="s">
        <v>22</v>
      </c>
      <c r="C4" s="1054"/>
      <c r="D4" s="274" t="s">
        <v>220</v>
      </c>
      <c r="E4" s="293"/>
      <c r="F4" s="286">
        <f>+R11</f>
        <v>8415000</v>
      </c>
      <c r="G4" s="274" t="s">
        <v>671</v>
      </c>
      <c r="H4" s="269"/>
      <c r="I4" s="269"/>
      <c r="J4" s="269"/>
      <c r="K4" s="282" t="s">
        <v>52</v>
      </c>
      <c r="L4" s="372" t="s">
        <v>268</v>
      </c>
      <c r="M4" s="284" t="s">
        <v>23</v>
      </c>
      <c r="N4" s="284" t="s">
        <v>22</v>
      </c>
      <c r="O4" s="284" t="s">
        <v>270</v>
      </c>
      <c r="P4" s="372" t="s">
        <v>269</v>
      </c>
      <c r="Q4" s="284" t="s">
        <v>23</v>
      </c>
      <c r="R4" s="1048" t="s">
        <v>22</v>
      </c>
      <c r="S4" s="1049"/>
    </row>
    <row r="5" spans="2:19" s="162" customFormat="1" ht="18" customHeight="1" x14ac:dyDescent="0.15">
      <c r="B5" s="1053"/>
      <c r="C5" s="1054"/>
      <c r="D5" s="274" t="s">
        <v>76</v>
      </c>
      <c r="E5" s="293"/>
      <c r="F5" s="286"/>
      <c r="G5" s="237" t="s">
        <v>196</v>
      </c>
      <c r="H5" s="294"/>
      <c r="I5" s="294"/>
      <c r="J5" s="294"/>
      <c r="K5" s="368" t="s">
        <v>619</v>
      </c>
      <c r="L5" s="286">
        <v>15300</v>
      </c>
      <c r="M5" s="286">
        <v>550</v>
      </c>
      <c r="N5" s="286">
        <f>L5*M5</f>
        <v>8415000</v>
      </c>
      <c r="O5" s="286"/>
      <c r="P5" s="286"/>
      <c r="Q5" s="286"/>
      <c r="R5" s="1022">
        <f>P5*Q5</f>
        <v>0</v>
      </c>
      <c r="S5" s="1015"/>
    </row>
    <row r="6" spans="2:19" s="162" customFormat="1" ht="18" customHeight="1" x14ac:dyDescent="0.15">
      <c r="B6" s="1061" t="s">
        <v>225</v>
      </c>
      <c r="C6" s="1058" t="s">
        <v>211</v>
      </c>
      <c r="D6" s="286" t="s">
        <v>56</v>
      </c>
      <c r="E6" s="295"/>
      <c r="F6" s="286">
        <f>+P13</f>
        <v>2393200</v>
      </c>
      <c r="G6" s="237" t="s">
        <v>195</v>
      </c>
      <c r="H6" s="294"/>
      <c r="I6" s="294"/>
      <c r="J6" s="294"/>
      <c r="K6" s="292"/>
      <c r="L6" s="289"/>
      <c r="M6" s="286"/>
      <c r="N6" s="286">
        <f>L6*M6</f>
        <v>0</v>
      </c>
      <c r="O6" s="286"/>
      <c r="P6" s="286"/>
      <c r="Q6" s="286"/>
      <c r="R6" s="1022">
        <f t="shared" ref="R6:R9" si="0">P6*Q6</f>
        <v>0</v>
      </c>
      <c r="S6" s="1015"/>
    </row>
    <row r="7" spans="2:19" s="162" customFormat="1" ht="18" customHeight="1" x14ac:dyDescent="0.15">
      <c r="B7" s="1062"/>
      <c r="C7" s="1059"/>
      <c r="D7" s="286" t="s">
        <v>57</v>
      </c>
      <c r="E7" s="295"/>
      <c r="F7" s="286">
        <f>P22</f>
        <v>1031300</v>
      </c>
      <c r="G7" s="274" t="s">
        <v>541</v>
      </c>
      <c r="H7" s="269"/>
      <c r="I7" s="269"/>
      <c r="J7" s="296"/>
      <c r="K7" s="290"/>
      <c r="L7" s="300"/>
      <c r="M7" s="286"/>
      <c r="N7" s="286">
        <f t="shared" ref="N7:N11" si="1">L7*M7</f>
        <v>0</v>
      </c>
      <c r="O7" s="286"/>
      <c r="P7" s="286"/>
      <c r="Q7" s="286"/>
      <c r="R7" s="1022">
        <f t="shared" si="0"/>
        <v>0</v>
      </c>
      <c r="S7" s="1015"/>
    </row>
    <row r="8" spans="2:19" s="162" customFormat="1" ht="18" customHeight="1" x14ac:dyDescent="0.15">
      <c r="B8" s="1062"/>
      <c r="C8" s="1059"/>
      <c r="D8" s="286" t="s">
        <v>58</v>
      </c>
      <c r="E8" s="295"/>
      <c r="F8" s="286">
        <f>P28</f>
        <v>392866.26262626261</v>
      </c>
      <c r="G8" s="243" t="s">
        <v>542</v>
      </c>
      <c r="H8" s="261"/>
      <c r="I8" s="261"/>
      <c r="J8" s="297"/>
      <c r="K8" s="288"/>
      <c r="L8" s="286"/>
      <c r="M8" s="286"/>
      <c r="N8" s="286">
        <f t="shared" si="1"/>
        <v>0</v>
      </c>
      <c r="O8" s="286"/>
      <c r="P8" s="286"/>
      <c r="Q8" s="286"/>
      <c r="R8" s="1022">
        <f t="shared" si="0"/>
        <v>0</v>
      </c>
      <c r="S8" s="1015"/>
    </row>
    <row r="9" spans="2:19" s="162" customFormat="1" ht="18" customHeight="1" x14ac:dyDescent="0.15">
      <c r="B9" s="1062"/>
      <c r="C9" s="1059"/>
      <c r="D9" s="286" t="s">
        <v>77</v>
      </c>
      <c r="E9" s="295"/>
      <c r="F9" s="286">
        <f>P37</f>
        <v>25340.15</v>
      </c>
      <c r="G9" s="243" t="s">
        <v>543</v>
      </c>
      <c r="H9" s="261"/>
      <c r="I9" s="261"/>
      <c r="J9" s="297"/>
      <c r="K9" s="288"/>
      <c r="L9" s="286"/>
      <c r="M9" s="286"/>
      <c r="N9" s="286">
        <f t="shared" si="1"/>
        <v>0</v>
      </c>
      <c r="O9" s="286"/>
      <c r="P9" s="286"/>
      <c r="Q9" s="286"/>
      <c r="R9" s="1022">
        <f t="shared" si="0"/>
        <v>0</v>
      </c>
      <c r="S9" s="1015"/>
    </row>
    <row r="10" spans="2:19" s="162" customFormat="1" ht="18" customHeight="1" x14ac:dyDescent="0.15">
      <c r="B10" s="1062"/>
      <c r="C10" s="1059"/>
      <c r="D10" s="286" t="s">
        <v>59</v>
      </c>
      <c r="E10" s="295"/>
      <c r="F10" s="286">
        <f>+'８－５　サニールージュ算出基礎'!V21</f>
        <v>386478</v>
      </c>
      <c r="G10" s="1013" t="s">
        <v>540</v>
      </c>
      <c r="H10" s="1014"/>
      <c r="I10" s="1014"/>
      <c r="J10" s="1015"/>
      <c r="K10" s="288"/>
      <c r="L10" s="286"/>
      <c r="M10" s="286"/>
      <c r="N10" s="286">
        <f t="shared" si="1"/>
        <v>0</v>
      </c>
      <c r="O10" s="286"/>
      <c r="P10" s="286"/>
      <c r="Q10" s="286"/>
      <c r="R10" s="1022"/>
      <c r="S10" s="1015"/>
    </row>
    <row r="11" spans="2:19" s="162" customFormat="1" ht="18" customHeight="1" thickBot="1" x14ac:dyDescent="0.2">
      <c r="B11" s="1062"/>
      <c r="C11" s="1059"/>
      <c r="D11" s="286" t="s">
        <v>6</v>
      </c>
      <c r="E11" s="295"/>
      <c r="F11" s="286">
        <f>+'８－５　サニールージュ算出基礎'!V38</f>
        <v>58079.714285714283</v>
      </c>
      <c r="G11" s="1013" t="s">
        <v>540</v>
      </c>
      <c r="H11" s="1014"/>
      <c r="I11" s="1014"/>
      <c r="J11" s="1015"/>
      <c r="K11" s="183"/>
      <c r="L11" s="168"/>
      <c r="M11" s="168"/>
      <c r="N11" s="167">
        <f t="shared" si="1"/>
        <v>0</v>
      </c>
      <c r="O11" s="169" t="s">
        <v>24</v>
      </c>
      <c r="P11" s="170">
        <f>SUM(L5:L11,P5:Q10)</f>
        <v>15300</v>
      </c>
      <c r="Q11" s="171">
        <f>R11/P11</f>
        <v>550</v>
      </c>
      <c r="R11" s="1034">
        <f>SUM(N5:N11,R5:S10)</f>
        <v>8415000</v>
      </c>
      <c r="S11" s="1035"/>
    </row>
    <row r="12" spans="2:19" s="162" customFormat="1" ht="18" customHeight="1" thickTop="1" x14ac:dyDescent="0.15">
      <c r="B12" s="1062"/>
      <c r="C12" s="1059"/>
      <c r="D12" s="286" t="s">
        <v>7</v>
      </c>
      <c r="E12" s="295"/>
      <c r="F12" s="286"/>
      <c r="G12" s="243" t="s">
        <v>196</v>
      </c>
      <c r="H12" s="261"/>
      <c r="I12" s="261"/>
      <c r="J12" s="297"/>
      <c r="K12" s="1025" t="s">
        <v>226</v>
      </c>
      <c r="L12" s="276" t="s">
        <v>162</v>
      </c>
      <c r="M12" s="280" t="s">
        <v>9</v>
      </c>
      <c r="N12" s="374" t="s">
        <v>267</v>
      </c>
      <c r="O12" s="279" t="s">
        <v>23</v>
      </c>
      <c r="P12" s="279" t="s">
        <v>26</v>
      </c>
      <c r="Q12" s="1036" t="s">
        <v>27</v>
      </c>
      <c r="R12" s="1037"/>
      <c r="S12" s="1038"/>
    </row>
    <row r="13" spans="2:19" s="162" customFormat="1" ht="18" customHeight="1" x14ac:dyDescent="0.15">
      <c r="B13" s="1062"/>
      <c r="C13" s="1059"/>
      <c r="D13" s="1050" t="s">
        <v>60</v>
      </c>
      <c r="E13" s="299" t="s">
        <v>191</v>
      </c>
      <c r="F13" s="286">
        <f>+'６-１　ピオーネトンネル被覆資本装備'!P15*H13</f>
        <v>23937.845622119821</v>
      </c>
      <c r="G13" s="243" t="s">
        <v>197</v>
      </c>
      <c r="H13" s="252">
        <v>0.01</v>
      </c>
      <c r="I13" s="1023" t="s">
        <v>203</v>
      </c>
      <c r="J13" s="1024"/>
      <c r="K13" s="1026"/>
      <c r="L13" s="298" t="s">
        <v>544</v>
      </c>
      <c r="M13" s="275" t="s">
        <v>154</v>
      </c>
      <c r="N13" s="196">
        <v>620</v>
      </c>
      <c r="O13" s="196">
        <v>3860</v>
      </c>
      <c r="P13" s="196">
        <f>N13*O13</f>
        <v>2393200</v>
      </c>
      <c r="Q13" s="1016"/>
      <c r="R13" s="1017"/>
      <c r="S13" s="1018"/>
    </row>
    <row r="14" spans="2:19" s="162" customFormat="1" ht="18" customHeight="1" x14ac:dyDescent="0.15">
      <c r="B14" s="1062"/>
      <c r="C14" s="1059"/>
      <c r="D14" s="1051"/>
      <c r="E14" s="299" t="s">
        <v>192</v>
      </c>
      <c r="F14" s="286">
        <f>+'６-１　ピオーネトンネル被覆資本装備'!P29*H14</f>
        <v>24318.261904761905</v>
      </c>
      <c r="G14" s="243" t="s">
        <v>197</v>
      </c>
      <c r="H14" s="252">
        <v>0.05</v>
      </c>
      <c r="I14" s="1023" t="s">
        <v>203</v>
      </c>
      <c r="J14" s="1024"/>
      <c r="K14" s="1026"/>
      <c r="L14" s="287"/>
      <c r="M14" s="275" t="s">
        <v>154</v>
      </c>
      <c r="N14" s="196"/>
      <c r="O14" s="196"/>
      <c r="P14" s="196">
        <f>N14*O14</f>
        <v>0</v>
      </c>
      <c r="Q14" s="1083"/>
      <c r="R14" s="1017"/>
      <c r="S14" s="1018"/>
    </row>
    <row r="15" spans="2:19" s="162" customFormat="1" ht="18" customHeight="1" thickBot="1" x14ac:dyDescent="0.2">
      <c r="B15" s="1062"/>
      <c r="C15" s="1059"/>
      <c r="D15" s="1050" t="s">
        <v>78</v>
      </c>
      <c r="E15" s="299" t="s">
        <v>191</v>
      </c>
      <c r="F15" s="286">
        <f>+'（参考）サニールージュトンネル被覆資本装備'!P15</f>
        <v>2192103.5738614802</v>
      </c>
      <c r="G15" s="243" t="s">
        <v>203</v>
      </c>
      <c r="H15" s="250"/>
      <c r="I15" s="250"/>
      <c r="J15" s="251"/>
      <c r="K15" s="1026"/>
      <c r="L15" s="174" t="s">
        <v>28</v>
      </c>
      <c r="M15" s="173"/>
      <c r="N15" s="174"/>
      <c r="O15" s="174"/>
      <c r="P15" s="174">
        <f>SUM(P12:P14)</f>
        <v>2393200</v>
      </c>
      <c r="Q15" s="1028"/>
      <c r="R15" s="1029"/>
      <c r="S15" s="1030"/>
    </row>
    <row r="16" spans="2:19" s="162" customFormat="1" ht="18" customHeight="1" thickTop="1" x14ac:dyDescent="0.15">
      <c r="B16" s="1062"/>
      <c r="C16" s="1059"/>
      <c r="D16" s="1052"/>
      <c r="E16" s="299" t="s">
        <v>192</v>
      </c>
      <c r="F16" s="286">
        <f>+'（参考）サニールージュトンネル被覆資本装備'!P58</f>
        <v>486364.27380952373</v>
      </c>
      <c r="G16" s="243" t="s">
        <v>203</v>
      </c>
      <c r="H16" s="250"/>
      <c r="I16" s="250"/>
      <c r="J16" s="251"/>
      <c r="K16" s="1026"/>
      <c r="L16" s="270" t="s">
        <v>163</v>
      </c>
      <c r="M16" s="271"/>
      <c r="N16" s="373" t="s">
        <v>267</v>
      </c>
      <c r="O16" s="272" t="s">
        <v>23</v>
      </c>
      <c r="P16" s="273" t="s">
        <v>26</v>
      </c>
      <c r="Q16" s="1031" t="s">
        <v>27</v>
      </c>
      <c r="R16" s="1032"/>
      <c r="S16" s="1033"/>
    </row>
    <row r="17" spans="1:19" s="162" customFormat="1" ht="18" customHeight="1" x14ac:dyDescent="0.15">
      <c r="B17" s="1062"/>
      <c r="C17" s="1059"/>
      <c r="D17" s="1051"/>
      <c r="E17" s="286" t="s">
        <v>61</v>
      </c>
      <c r="F17" s="286">
        <f>+'（参考）サニールージュトンネル被覆資本装備'!P63</f>
        <v>218025.93333333332</v>
      </c>
      <c r="G17" s="243" t="s">
        <v>203</v>
      </c>
      <c r="H17" s="250"/>
      <c r="I17" s="250"/>
      <c r="J17" s="251"/>
      <c r="K17" s="1026"/>
      <c r="L17" s="274" t="s">
        <v>170</v>
      </c>
      <c r="M17" s="275"/>
      <c r="N17" s="243" t="s">
        <v>530</v>
      </c>
      <c r="O17" s="265"/>
      <c r="P17" s="263">
        <f>+'８－５　サニールージュ算出基礎'!G7</f>
        <v>664800</v>
      </c>
      <c r="Q17" s="1019"/>
      <c r="R17" s="1020"/>
      <c r="S17" s="1021"/>
    </row>
    <row r="18" spans="1:19" s="162" customFormat="1" ht="18" customHeight="1" x14ac:dyDescent="0.15">
      <c r="A18" s="161"/>
      <c r="B18" s="1062"/>
      <c r="C18" s="1059"/>
      <c r="D18" s="1075" t="s">
        <v>273</v>
      </c>
      <c r="E18" s="300" t="s">
        <v>108</v>
      </c>
      <c r="F18" s="286"/>
      <c r="G18" s="243" t="s">
        <v>196</v>
      </c>
      <c r="H18" s="250"/>
      <c r="I18" s="250"/>
      <c r="J18" s="251"/>
      <c r="K18" s="1026"/>
      <c r="L18" s="274" t="s">
        <v>167</v>
      </c>
      <c r="M18" s="275"/>
      <c r="N18" s="243" t="s">
        <v>532</v>
      </c>
      <c r="O18" s="265"/>
      <c r="P18" s="263">
        <f>+'８－５　サニールージュ算出基礎'!G12</f>
        <v>268400</v>
      </c>
      <c r="Q18" s="1019"/>
      <c r="R18" s="1020"/>
      <c r="S18" s="1021"/>
    </row>
    <row r="19" spans="1:19" s="162" customFormat="1" ht="18" customHeight="1" x14ac:dyDescent="0.15">
      <c r="A19" s="161"/>
      <c r="B19" s="1062"/>
      <c r="C19" s="1059"/>
      <c r="D19" s="1075"/>
      <c r="E19" s="300" t="s">
        <v>104</v>
      </c>
      <c r="F19" s="286"/>
      <c r="G19" s="243" t="s">
        <v>196</v>
      </c>
      <c r="H19" s="250"/>
      <c r="I19" s="175" t="s">
        <v>207</v>
      </c>
      <c r="J19" s="251"/>
      <c r="K19" s="1026"/>
      <c r="L19" s="243" t="s">
        <v>168</v>
      </c>
      <c r="M19" s="261"/>
      <c r="N19" s="243" t="s">
        <v>534</v>
      </c>
      <c r="O19" s="265"/>
      <c r="P19" s="263">
        <f>+'８－５　サニールージュ算出基礎'!G17</f>
        <v>81600</v>
      </c>
      <c r="Q19" s="1019"/>
      <c r="R19" s="1020"/>
      <c r="S19" s="1021"/>
    </row>
    <row r="20" spans="1:19" s="162" customFormat="1" ht="18" customHeight="1" x14ac:dyDescent="0.15">
      <c r="A20" s="161"/>
      <c r="B20" s="1062"/>
      <c r="C20" s="1059"/>
      <c r="D20" s="1075"/>
      <c r="E20" s="300" t="s">
        <v>105</v>
      </c>
      <c r="F20" s="286"/>
      <c r="G20" s="243" t="s">
        <v>196</v>
      </c>
      <c r="H20" s="250"/>
      <c r="I20" s="175" t="s">
        <v>206</v>
      </c>
      <c r="J20" s="251"/>
      <c r="K20" s="1026"/>
      <c r="L20" s="243" t="s">
        <v>171</v>
      </c>
      <c r="M20" s="261"/>
      <c r="N20" s="243" t="s">
        <v>530</v>
      </c>
      <c r="O20" s="265"/>
      <c r="P20" s="263">
        <f>+'８－５　サニールージュ算出基礎'!G21</f>
        <v>16500</v>
      </c>
      <c r="Q20" s="1019"/>
      <c r="R20" s="1020"/>
      <c r="S20" s="1021"/>
    </row>
    <row r="21" spans="1:19" s="162" customFormat="1" ht="18" customHeight="1" x14ac:dyDescent="0.15">
      <c r="A21" s="161"/>
      <c r="B21" s="1062"/>
      <c r="C21" s="1059"/>
      <c r="D21" s="1075"/>
      <c r="E21" s="300" t="s">
        <v>106</v>
      </c>
      <c r="F21" s="286"/>
      <c r="G21" s="243" t="s">
        <v>196</v>
      </c>
      <c r="H21" s="250"/>
      <c r="I21" s="250"/>
      <c r="J21" s="251"/>
      <c r="K21" s="1026"/>
      <c r="L21" s="243" t="s">
        <v>172</v>
      </c>
      <c r="M21" s="261"/>
      <c r="N21" s="243"/>
      <c r="O21" s="263"/>
      <c r="P21" s="263"/>
      <c r="Q21" s="1019"/>
      <c r="R21" s="1020"/>
      <c r="S21" s="1021"/>
    </row>
    <row r="22" spans="1:19" s="162" customFormat="1" ht="18" customHeight="1" thickBot="1" x14ac:dyDescent="0.2">
      <c r="A22" s="161"/>
      <c r="B22" s="1062"/>
      <c r="C22" s="1059"/>
      <c r="D22" s="1075" t="s">
        <v>62</v>
      </c>
      <c r="E22" s="300" t="s">
        <v>63</v>
      </c>
      <c r="F22" s="286"/>
      <c r="G22" s="243" t="s">
        <v>196</v>
      </c>
      <c r="H22" s="250"/>
      <c r="I22" s="250"/>
      <c r="J22" s="251"/>
      <c r="K22" s="1026"/>
      <c r="L22" s="174" t="s">
        <v>28</v>
      </c>
      <c r="M22" s="173"/>
      <c r="N22" s="174"/>
      <c r="O22" s="174"/>
      <c r="P22" s="174">
        <f>SUM(P17:P21)</f>
        <v>1031300</v>
      </c>
      <c r="Q22" s="1028"/>
      <c r="R22" s="1029"/>
      <c r="S22" s="1030"/>
    </row>
    <row r="23" spans="1:19" s="162" customFormat="1" ht="18" customHeight="1" thickTop="1" x14ac:dyDescent="0.15">
      <c r="A23" s="161"/>
      <c r="B23" s="1062"/>
      <c r="C23" s="1059"/>
      <c r="D23" s="1075"/>
      <c r="E23" s="300" t="s">
        <v>79</v>
      </c>
      <c r="F23" s="286"/>
      <c r="G23" s="243" t="s">
        <v>196</v>
      </c>
      <c r="H23" s="250"/>
      <c r="I23" s="250"/>
      <c r="J23" s="251"/>
      <c r="K23" s="1026"/>
      <c r="L23" s="243" t="s">
        <v>164</v>
      </c>
      <c r="M23" s="261"/>
      <c r="N23" s="262" t="s">
        <v>25</v>
      </c>
      <c r="O23" s="262" t="s">
        <v>23</v>
      </c>
      <c r="P23" s="262" t="s">
        <v>26</v>
      </c>
      <c r="Q23" s="1031" t="s">
        <v>27</v>
      </c>
      <c r="R23" s="1032"/>
      <c r="S23" s="1033"/>
    </row>
    <row r="24" spans="1:19" s="162" customFormat="1" ht="18" customHeight="1" x14ac:dyDescent="0.15">
      <c r="A24" s="161"/>
      <c r="B24" s="1062"/>
      <c r="C24" s="1059"/>
      <c r="D24" s="286" t="s">
        <v>64</v>
      </c>
      <c r="E24" s="295"/>
      <c r="F24" s="286"/>
      <c r="G24" s="243" t="s">
        <v>196</v>
      </c>
      <c r="H24" s="250"/>
      <c r="I24" s="260" t="s">
        <v>205</v>
      </c>
      <c r="J24" s="251"/>
      <c r="K24" s="1026"/>
      <c r="L24" s="263" t="s">
        <v>29</v>
      </c>
      <c r="M24" s="261"/>
      <c r="N24" s="243" t="s">
        <v>536</v>
      </c>
      <c r="O24" s="263"/>
      <c r="P24" s="263">
        <f>+'８－５　サニールージュ算出基礎'!G42</f>
        <v>193400</v>
      </c>
      <c r="Q24" s="1019"/>
      <c r="R24" s="1020"/>
      <c r="S24" s="1021"/>
    </row>
    <row r="25" spans="1:19" s="162" customFormat="1" ht="18" customHeight="1" x14ac:dyDescent="0.15">
      <c r="A25" s="161"/>
      <c r="B25" s="1062"/>
      <c r="C25" s="1059"/>
      <c r="D25" s="286" t="s">
        <v>166</v>
      </c>
      <c r="E25" s="295"/>
      <c r="F25" s="286">
        <f>SUM(F6:F24)/99</f>
        <v>73050.646620638334</v>
      </c>
      <c r="G25" s="301" t="s">
        <v>230</v>
      </c>
      <c r="H25" s="315">
        <v>0.01</v>
      </c>
      <c r="I25" s="176"/>
      <c r="J25" s="18"/>
      <c r="K25" s="1026"/>
      <c r="L25" s="263" t="s">
        <v>30</v>
      </c>
      <c r="M25" s="261"/>
      <c r="N25" s="243" t="s">
        <v>538</v>
      </c>
      <c r="O25" s="263"/>
      <c r="P25" s="263">
        <f>+'８－５　サニールージュ算出基礎'!G53</f>
        <v>132684.44444444444</v>
      </c>
      <c r="Q25" s="1019"/>
      <c r="R25" s="1020"/>
      <c r="S25" s="1021"/>
    </row>
    <row r="26" spans="1:19" s="162" customFormat="1" ht="18" customHeight="1" x14ac:dyDescent="0.15">
      <c r="A26" s="161"/>
      <c r="B26" s="1062"/>
      <c r="C26" s="1060"/>
      <c r="D26" s="1081" t="s">
        <v>219</v>
      </c>
      <c r="E26" s="1082"/>
      <c r="F26" s="193">
        <f>SUM(F6:F25)</f>
        <v>7305064.6620638343</v>
      </c>
      <c r="G26" s="253"/>
      <c r="H26" s="176"/>
      <c r="I26" s="176"/>
      <c r="J26" s="179"/>
      <c r="K26" s="1026"/>
      <c r="L26" s="263" t="s">
        <v>31</v>
      </c>
      <c r="M26" s="261"/>
      <c r="N26" s="243" t="s">
        <v>530</v>
      </c>
      <c r="O26" s="263"/>
      <c r="P26" s="263">
        <f>+'８－５　サニールージュ算出基礎'!G57</f>
        <v>41581.818181818184</v>
      </c>
      <c r="Q26" s="1019"/>
      <c r="R26" s="1020"/>
      <c r="S26" s="1021"/>
    </row>
    <row r="27" spans="1:19" s="162" customFormat="1" ht="18" customHeight="1" x14ac:dyDescent="0.15">
      <c r="A27" s="161"/>
      <c r="B27" s="1062"/>
      <c r="C27" s="1076" t="s">
        <v>198</v>
      </c>
      <c r="D27" s="937" t="s">
        <v>65</v>
      </c>
      <c r="E27" s="62" t="s">
        <v>3</v>
      </c>
      <c r="F27" s="167">
        <f>+P11*80</f>
        <v>1224000</v>
      </c>
      <c r="G27" s="274" t="s">
        <v>615</v>
      </c>
      <c r="H27" s="261"/>
      <c r="I27" s="172"/>
      <c r="J27" s="297"/>
      <c r="K27" s="1026"/>
      <c r="L27" s="263" t="s">
        <v>132</v>
      </c>
      <c r="M27" s="261"/>
      <c r="N27" s="243" t="s">
        <v>539</v>
      </c>
      <c r="O27" s="263"/>
      <c r="P27" s="263">
        <f>+'８－５　サニールージュ算出基礎'!G61</f>
        <v>25200</v>
      </c>
      <c r="Q27" s="1019"/>
      <c r="R27" s="1020"/>
      <c r="S27" s="1021"/>
    </row>
    <row r="28" spans="1:19" s="162" customFormat="1" ht="18" customHeight="1" thickBot="1" x14ac:dyDescent="0.2">
      <c r="A28" s="161"/>
      <c r="B28" s="1062"/>
      <c r="C28" s="1077"/>
      <c r="D28" s="940"/>
      <c r="E28" s="62" t="s">
        <v>4</v>
      </c>
      <c r="F28" s="194">
        <f>+P11*18</f>
        <v>275400</v>
      </c>
      <c r="G28" s="274" t="s">
        <v>616</v>
      </c>
      <c r="H28" s="302"/>
      <c r="I28" s="302"/>
      <c r="J28" s="303"/>
      <c r="K28" s="1026"/>
      <c r="L28" s="174" t="s">
        <v>28</v>
      </c>
      <c r="M28" s="173"/>
      <c r="N28" s="174"/>
      <c r="O28" s="174"/>
      <c r="P28" s="174">
        <f>SUM(P24:P27)</f>
        <v>392866.26262626261</v>
      </c>
      <c r="Q28" s="1028"/>
      <c r="R28" s="1029"/>
      <c r="S28" s="1030"/>
    </row>
    <row r="29" spans="1:19" s="162" customFormat="1" ht="18" customHeight="1" thickTop="1" x14ac:dyDescent="0.15">
      <c r="A29" s="161"/>
      <c r="B29" s="1062"/>
      <c r="C29" s="1077"/>
      <c r="D29" s="938"/>
      <c r="E29" s="62" t="s">
        <v>8</v>
      </c>
      <c r="F29" s="167">
        <f>+R11*0.11</f>
        <v>925650</v>
      </c>
      <c r="G29" s="274" t="s">
        <v>617</v>
      </c>
      <c r="H29" s="269"/>
      <c r="I29" s="302"/>
      <c r="J29" s="296"/>
      <c r="K29" s="1026"/>
      <c r="L29" s="243" t="s">
        <v>165</v>
      </c>
      <c r="M29" s="261"/>
      <c r="N29" s="262" t="s">
        <v>25</v>
      </c>
      <c r="O29" s="262" t="s">
        <v>23</v>
      </c>
      <c r="P29" s="262" t="s">
        <v>26</v>
      </c>
      <c r="Q29" s="1031" t="s">
        <v>27</v>
      </c>
      <c r="R29" s="1032"/>
      <c r="S29" s="1033"/>
    </row>
    <row r="30" spans="1:19" s="162" customFormat="1" ht="18" customHeight="1" x14ac:dyDescent="0.15">
      <c r="A30" s="161"/>
      <c r="B30" s="1062"/>
      <c r="C30" s="1077"/>
      <c r="D30" s="62" t="s">
        <v>66</v>
      </c>
      <c r="E30" s="63"/>
      <c r="F30" s="167"/>
      <c r="G30" s="274" t="s">
        <v>204</v>
      </c>
      <c r="H30" s="269"/>
      <c r="I30" s="302"/>
      <c r="J30" s="304"/>
      <c r="K30" s="1026"/>
      <c r="L30" s="263" t="s">
        <v>47</v>
      </c>
      <c r="M30" s="264"/>
      <c r="N30" s="243" t="s">
        <v>545</v>
      </c>
      <c r="O30" s="265">
        <f>+'８－１　ピオーネ（トンネル）算出基礎'!M6</f>
        <v>123.2</v>
      </c>
      <c r="P30" s="263">
        <f>+'８－５　サニールージュ算出基礎'!N11</f>
        <v>3811.5</v>
      </c>
      <c r="Q30" s="1042"/>
      <c r="R30" s="1043"/>
      <c r="S30" s="1044"/>
    </row>
    <row r="31" spans="1:19" s="162" customFormat="1" ht="18" customHeight="1" x14ac:dyDescent="0.15">
      <c r="A31" s="161"/>
      <c r="B31" s="1062"/>
      <c r="C31" s="1077"/>
      <c r="D31" s="953" t="s">
        <v>274</v>
      </c>
      <c r="E31" s="72" t="s">
        <v>108</v>
      </c>
      <c r="F31" s="194"/>
      <c r="G31" s="274" t="s">
        <v>204</v>
      </c>
      <c r="H31" s="305"/>
      <c r="I31" s="305"/>
      <c r="J31" s="306"/>
      <c r="K31" s="1026"/>
      <c r="L31" s="263" t="s">
        <v>46</v>
      </c>
      <c r="M31" s="264"/>
      <c r="N31" s="243" t="s">
        <v>547</v>
      </c>
      <c r="O31" s="265">
        <f>+'８－１　ピオーネ（トンネル）算出基礎'!M12</f>
        <v>169.9</v>
      </c>
      <c r="P31" s="263">
        <f>+'８－５　サニールージュ算出基礎'!N16</f>
        <v>14256</v>
      </c>
      <c r="Q31" s="1042"/>
      <c r="R31" s="1043"/>
      <c r="S31" s="1044"/>
    </row>
    <row r="32" spans="1:19" s="162" customFormat="1" ht="18" customHeight="1" x14ac:dyDescent="0.15">
      <c r="A32" s="161"/>
      <c r="B32" s="1062"/>
      <c r="C32" s="1077"/>
      <c r="D32" s="953"/>
      <c r="E32" s="72" t="s">
        <v>107</v>
      </c>
      <c r="F32" s="194"/>
      <c r="G32" s="274" t="s">
        <v>204</v>
      </c>
      <c r="H32" s="307"/>
      <c r="I32" s="307"/>
      <c r="J32" s="308"/>
      <c r="K32" s="1026"/>
      <c r="L32" s="263" t="s">
        <v>48</v>
      </c>
      <c r="M32" s="261"/>
      <c r="N32" s="265"/>
      <c r="O32" s="265"/>
      <c r="P32" s="263">
        <f>SUM(P30:P31)*R32</f>
        <v>5420.25</v>
      </c>
      <c r="Q32" s="268" t="s">
        <v>32</v>
      </c>
      <c r="R32" s="267">
        <v>0.3</v>
      </c>
      <c r="S32" s="178"/>
    </row>
    <row r="33" spans="1:23" ht="18" customHeight="1" x14ac:dyDescent="0.15">
      <c r="B33" s="1062"/>
      <c r="C33" s="1077"/>
      <c r="D33" s="62" t="s">
        <v>67</v>
      </c>
      <c r="E33" s="73"/>
      <c r="F33" s="194"/>
      <c r="G33" s="274" t="s">
        <v>204</v>
      </c>
      <c r="H33" s="309"/>
      <c r="I33" s="310"/>
      <c r="J33" s="304"/>
      <c r="K33" s="1026"/>
      <c r="L33" s="263" t="s">
        <v>49</v>
      </c>
      <c r="M33" s="264"/>
      <c r="N33" s="243" t="s">
        <v>549</v>
      </c>
      <c r="O33" s="265">
        <f>+'８－１　ピオーネ（トンネル）算出基礎'!M17</f>
        <v>179.9</v>
      </c>
      <c r="P33" s="263">
        <f>+'８－５　サニールージュ算出基礎'!N20</f>
        <v>1852.4</v>
      </c>
      <c r="Q33" s="1019"/>
      <c r="R33" s="1020"/>
      <c r="S33" s="1021"/>
    </row>
    <row r="34" spans="1:23" ht="18" customHeight="1" x14ac:dyDescent="0.15">
      <c r="B34" s="1062"/>
      <c r="C34" s="1077"/>
      <c r="D34" s="62" t="s">
        <v>80</v>
      </c>
      <c r="E34" s="73"/>
      <c r="F34" s="194"/>
      <c r="G34" s="274" t="s">
        <v>204</v>
      </c>
      <c r="H34" s="311"/>
      <c r="I34" s="312"/>
      <c r="J34" s="313"/>
      <c r="K34" s="1026"/>
      <c r="L34" s="263" t="s">
        <v>50</v>
      </c>
      <c r="M34" s="264"/>
      <c r="N34" s="243"/>
      <c r="O34" s="265"/>
      <c r="P34" s="263">
        <f>+'８－５　サニールージュ算出基礎'!N24</f>
        <v>0</v>
      </c>
      <c r="Q34" s="1019"/>
      <c r="R34" s="1020"/>
      <c r="S34" s="1021"/>
    </row>
    <row r="35" spans="1:23" ht="18" customHeight="1" x14ac:dyDescent="0.15">
      <c r="B35" s="1062"/>
      <c r="C35" s="1077"/>
      <c r="D35" s="62" t="s">
        <v>111</v>
      </c>
      <c r="E35" s="63"/>
      <c r="F35" s="194">
        <f>+'８－５　サニールージュ算出基礎'!V61</f>
        <v>91216.666666666672</v>
      </c>
      <c r="G35" s="1013" t="s">
        <v>540</v>
      </c>
      <c r="H35" s="1014"/>
      <c r="I35" s="1014"/>
      <c r="J35" s="1015"/>
      <c r="K35" s="1026"/>
      <c r="L35" s="263" t="s">
        <v>271</v>
      </c>
      <c r="M35" s="264"/>
      <c r="N35" s="243"/>
      <c r="O35" s="265"/>
      <c r="P35" s="263">
        <f>+'８－５　サニールージュ算出基礎'!N28</f>
        <v>0</v>
      </c>
      <c r="Q35" s="1019"/>
      <c r="R35" s="1020"/>
      <c r="S35" s="1021"/>
    </row>
    <row r="36" spans="1:23" ht="18" customHeight="1" x14ac:dyDescent="0.15">
      <c r="B36" s="1062"/>
      <c r="C36" s="1077"/>
      <c r="D36" s="84" t="s">
        <v>81</v>
      </c>
      <c r="E36" s="85"/>
      <c r="F36" s="314"/>
      <c r="G36" s="243" t="s">
        <v>196</v>
      </c>
      <c r="H36" s="311"/>
      <c r="I36" s="312"/>
      <c r="J36" s="304"/>
      <c r="K36" s="1026"/>
      <c r="L36" s="263" t="s">
        <v>51</v>
      </c>
      <c r="M36" s="261"/>
      <c r="N36" s="243"/>
      <c r="O36" s="265"/>
      <c r="P36" s="263">
        <f>+'８－５　サニールージュ算出基礎'!N33</f>
        <v>0</v>
      </c>
      <c r="Q36" s="1019"/>
      <c r="R36" s="1020"/>
      <c r="S36" s="1021"/>
    </row>
    <row r="37" spans="1:23" ht="18" customHeight="1" thickBot="1" x14ac:dyDescent="0.2">
      <c r="B37" s="1062"/>
      <c r="C37" s="1077"/>
      <c r="D37" s="62" t="s">
        <v>68</v>
      </c>
      <c r="E37" s="63"/>
      <c r="F37" s="194">
        <f>+'８－５　サニールージュ算出基礎'!N61</f>
        <v>33573.333333333336</v>
      </c>
      <c r="G37" s="1013" t="s">
        <v>540</v>
      </c>
      <c r="H37" s="1014"/>
      <c r="I37" s="1014"/>
      <c r="J37" s="1015"/>
      <c r="K37" s="1027"/>
      <c r="L37" s="186" t="s">
        <v>28</v>
      </c>
      <c r="M37" s="185"/>
      <c r="N37" s="186"/>
      <c r="O37" s="186"/>
      <c r="P37" s="186">
        <f>SUM(P30:P36)</f>
        <v>25340.15</v>
      </c>
      <c r="Q37" s="1039"/>
      <c r="R37" s="1040"/>
      <c r="S37" s="1041"/>
    </row>
    <row r="38" spans="1:23" s="180" customFormat="1" ht="18" customHeight="1" x14ac:dyDescent="0.15">
      <c r="A38" s="161"/>
      <c r="B38" s="1062"/>
      <c r="C38" s="1077"/>
      <c r="D38" s="62" t="s">
        <v>0</v>
      </c>
      <c r="E38" s="73"/>
      <c r="F38" s="194"/>
      <c r="G38" s="17" t="s">
        <v>204</v>
      </c>
      <c r="H38" s="255"/>
      <c r="I38" s="256"/>
      <c r="J38" s="254"/>
    </row>
    <row r="39" spans="1:23" s="180" customFormat="1" ht="18" customHeight="1" thickBot="1" x14ac:dyDescent="0.2">
      <c r="A39" s="161"/>
      <c r="B39" s="1063"/>
      <c r="C39" s="1078"/>
      <c r="D39" s="1079" t="s">
        <v>218</v>
      </c>
      <c r="E39" s="1080"/>
      <c r="F39" s="245">
        <f>SUM(F27:F38)</f>
        <v>2549840</v>
      </c>
      <c r="G39" s="246"/>
      <c r="H39" s="247"/>
      <c r="I39" s="248"/>
      <c r="J39" s="249"/>
      <c r="T39" s="181"/>
    </row>
    <row r="40" spans="1:23" s="180" customFormat="1" ht="18" customHeight="1" x14ac:dyDescent="0.15">
      <c r="A40" s="161"/>
      <c r="B40" s="1064" t="s">
        <v>222</v>
      </c>
      <c r="C40" s="1067" t="s">
        <v>70</v>
      </c>
      <c r="D40" s="240" t="s">
        <v>110</v>
      </c>
      <c r="E40" s="241"/>
      <c r="F40" s="242"/>
      <c r="G40" s="243" t="s">
        <v>196</v>
      </c>
      <c r="H40" s="244"/>
      <c r="I40" s="244"/>
      <c r="J40" s="257"/>
      <c r="T40" s="162"/>
      <c r="U40" s="162"/>
      <c r="V40" s="162"/>
      <c r="W40" s="162"/>
    </row>
    <row r="41" spans="1:23" s="180" customFormat="1" ht="18" customHeight="1" x14ac:dyDescent="0.15">
      <c r="A41" s="161"/>
      <c r="B41" s="1065"/>
      <c r="C41" s="1068"/>
      <c r="D41" s="62" t="s">
        <v>109</v>
      </c>
      <c r="E41" s="63"/>
      <c r="F41" s="234"/>
      <c r="G41" s="243" t="s">
        <v>196</v>
      </c>
      <c r="H41" s="187"/>
      <c r="I41" s="187"/>
      <c r="J41" s="258"/>
      <c r="T41" s="182"/>
      <c r="U41" s="183"/>
      <c r="V41" s="184"/>
      <c r="W41" s="182"/>
    </row>
    <row r="42" spans="1:23" s="180" customFormat="1" ht="18" customHeight="1" x14ac:dyDescent="0.15">
      <c r="A42" s="161"/>
      <c r="B42" s="1065"/>
      <c r="C42" s="1069"/>
      <c r="D42" s="84" t="s">
        <v>69</v>
      </c>
      <c r="E42" s="63"/>
      <c r="F42" s="235"/>
      <c r="G42" s="243" t="s">
        <v>196</v>
      </c>
      <c r="H42" s="187"/>
      <c r="I42" s="187"/>
      <c r="J42" s="258"/>
      <c r="T42" s="162"/>
      <c r="U42" s="162"/>
      <c r="V42" s="162"/>
      <c r="W42" s="162"/>
    </row>
    <row r="43" spans="1:23" s="180" customFormat="1" ht="18" customHeight="1" x14ac:dyDescent="0.15">
      <c r="B43" s="1065"/>
      <c r="C43" s="1070" t="s">
        <v>221</v>
      </c>
      <c r="D43" s="84" t="s">
        <v>275</v>
      </c>
      <c r="E43" s="85"/>
      <c r="F43" s="235"/>
      <c r="G43" s="243" t="s">
        <v>196</v>
      </c>
      <c r="H43" s="187"/>
      <c r="I43" s="187"/>
      <c r="J43" s="258"/>
      <c r="T43" s="163"/>
      <c r="U43" s="181"/>
      <c r="V43" s="162"/>
      <c r="W43" s="182"/>
    </row>
    <row r="44" spans="1:23" s="180" customFormat="1" ht="18" customHeight="1" x14ac:dyDescent="0.15">
      <c r="B44" s="1065"/>
      <c r="C44" s="1071"/>
      <c r="D44" s="86" t="s">
        <v>1</v>
      </c>
      <c r="E44" s="87"/>
      <c r="F44" s="235"/>
      <c r="G44" s="243" t="s">
        <v>196</v>
      </c>
      <c r="H44" s="187"/>
      <c r="I44" s="187"/>
      <c r="J44" s="258"/>
      <c r="T44" s="163"/>
      <c r="U44" s="181"/>
      <c r="V44" s="162"/>
      <c r="W44" s="182"/>
    </row>
    <row r="45" spans="1:23" s="180" customFormat="1" ht="18" customHeight="1" thickBot="1" x14ac:dyDescent="0.2">
      <c r="B45" s="1066"/>
      <c r="C45" s="1072" t="s">
        <v>83</v>
      </c>
      <c r="D45" s="1073"/>
      <c r="E45" s="1074"/>
      <c r="F45" s="236">
        <f>SUM(F40:F42)-SUM(F43:F44)</f>
        <v>0</v>
      </c>
      <c r="G45" s="188"/>
      <c r="H45" s="189"/>
      <c r="I45" s="189"/>
      <c r="J45" s="259"/>
      <c r="T45" s="162"/>
      <c r="U45" s="162"/>
      <c r="V45" s="183"/>
      <c r="W45" s="162"/>
    </row>
  </sheetData>
  <mergeCells count="58">
    <mergeCell ref="B3:E3"/>
    <mergeCell ref="K3:S3"/>
    <mergeCell ref="B4:C5"/>
    <mergeCell ref="R4:S4"/>
    <mergeCell ref="R5:S5"/>
    <mergeCell ref="Q33:S33"/>
    <mergeCell ref="Q36:S36"/>
    <mergeCell ref="R9:S9"/>
    <mergeCell ref="G10:J10"/>
    <mergeCell ref="R10:S10"/>
    <mergeCell ref="G11:J11"/>
    <mergeCell ref="R11:S11"/>
    <mergeCell ref="I13:J13"/>
    <mergeCell ref="Q13:S13"/>
    <mergeCell ref="I14:J14"/>
    <mergeCell ref="Q14:S14"/>
    <mergeCell ref="Q22:S22"/>
    <mergeCell ref="Q23:S23"/>
    <mergeCell ref="G35:J35"/>
    <mergeCell ref="K12:K37"/>
    <mergeCell ref="Q25:S25"/>
    <mergeCell ref="Q29:S29"/>
    <mergeCell ref="Q30:S30"/>
    <mergeCell ref="D31:D32"/>
    <mergeCell ref="Q31:S31"/>
    <mergeCell ref="Q15:S15"/>
    <mergeCell ref="Q16:S16"/>
    <mergeCell ref="Q17:S17"/>
    <mergeCell ref="Q12:S12"/>
    <mergeCell ref="Q24:S24"/>
    <mergeCell ref="Q19:S19"/>
    <mergeCell ref="Q20:S20"/>
    <mergeCell ref="Q21:S21"/>
    <mergeCell ref="B40:B45"/>
    <mergeCell ref="C40:C42"/>
    <mergeCell ref="C43:C44"/>
    <mergeCell ref="C45:E45"/>
    <mergeCell ref="C6:C26"/>
    <mergeCell ref="D18:D21"/>
    <mergeCell ref="D13:D14"/>
    <mergeCell ref="D15:D17"/>
    <mergeCell ref="D22:D23"/>
    <mergeCell ref="G37:J37"/>
    <mergeCell ref="B6:B39"/>
    <mergeCell ref="D26:E26"/>
    <mergeCell ref="Q26:S26"/>
    <mergeCell ref="C27:C39"/>
    <mergeCell ref="D27:D29"/>
    <mergeCell ref="Q27:S27"/>
    <mergeCell ref="Q28:S28"/>
    <mergeCell ref="Q37:S37"/>
    <mergeCell ref="D39:E39"/>
    <mergeCell ref="R6:S6"/>
    <mergeCell ref="R7:S7"/>
    <mergeCell ref="R8:S8"/>
    <mergeCell ref="Q34:S34"/>
    <mergeCell ref="Q18:S18"/>
    <mergeCell ref="Q35:S35"/>
  </mergeCells>
  <phoneticPr fontId="5"/>
  <pageMargins left="0.78740157480314965" right="0.78740157480314965" top="0.78740157480314965" bottom="0.78740157480314965" header="0.39370078740157483" footer="0.39370078740157483"/>
  <pageSetup paperSize="9" scale="65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Z195"/>
  <sheetViews>
    <sheetView view="pageBreakPreview" zoomScale="80" zoomScaleNormal="100" zoomScaleSheetLayoutView="80" workbookViewId="0">
      <selection activeCell="Q14" sqref="Q14"/>
    </sheetView>
  </sheetViews>
  <sheetFormatPr defaultRowHeight="13.5" x14ac:dyDescent="0.15"/>
  <cols>
    <col min="1" max="1" width="1.625" style="93" customWidth="1"/>
    <col min="2" max="2" width="3.625" style="93" customWidth="1"/>
    <col min="3" max="3" width="15.625" style="93" customWidth="1"/>
    <col min="4" max="7" width="8.625" style="93" customWidth="1"/>
    <col min="8" max="8" width="1.625" style="225" customWidth="1"/>
    <col min="9" max="9" width="3.625" style="93" customWidth="1"/>
    <col min="10" max="10" width="15.625" style="93" customWidth="1"/>
    <col min="11" max="14" width="8.625" style="93" customWidth="1"/>
    <col min="15" max="15" width="3.5" style="93" customWidth="1"/>
    <col min="16" max="16" width="15.625" style="190" customWidth="1"/>
    <col min="17" max="17" width="8.625" style="93" customWidth="1"/>
    <col min="18" max="18" width="8.625" style="94" customWidth="1"/>
    <col min="19" max="21" width="8.625" style="93" customWidth="1"/>
    <col min="22" max="22" width="10.625" style="94" customWidth="1"/>
    <col min="23" max="262" width="9" style="93"/>
    <col min="263" max="263" width="1.375" style="93" customWidth="1"/>
    <col min="264" max="264" width="3.5" style="93" customWidth="1"/>
    <col min="265" max="265" width="22.125" style="93" customWidth="1"/>
    <col min="266" max="266" width="9.75" style="93" customWidth="1"/>
    <col min="267" max="267" width="7.375" style="93" customWidth="1"/>
    <col min="268" max="268" width="9" style="93"/>
    <col min="269" max="269" width="9.25" style="93" customWidth="1"/>
    <col min="270" max="270" width="3.5" style="93" customWidth="1"/>
    <col min="271" max="272" width="12.625" style="93" customWidth="1"/>
    <col min="273" max="273" width="9" style="93"/>
    <col min="274" max="274" width="7.75" style="93" customWidth="1"/>
    <col min="275" max="275" width="13.125" style="93" customWidth="1"/>
    <col min="276" max="276" width="6.125" style="93" customWidth="1"/>
    <col min="277" max="277" width="9.75" style="93" customWidth="1"/>
    <col min="278" max="278" width="1.375" style="93" customWidth="1"/>
    <col min="279" max="518" width="9" style="93"/>
    <col min="519" max="519" width="1.375" style="93" customWidth="1"/>
    <col min="520" max="520" width="3.5" style="93" customWidth="1"/>
    <col min="521" max="521" width="22.125" style="93" customWidth="1"/>
    <col min="522" max="522" width="9.75" style="93" customWidth="1"/>
    <col min="523" max="523" width="7.375" style="93" customWidth="1"/>
    <col min="524" max="524" width="9" style="93"/>
    <col min="525" max="525" width="9.25" style="93" customWidth="1"/>
    <col min="526" max="526" width="3.5" style="93" customWidth="1"/>
    <col min="527" max="528" width="12.625" style="93" customWidth="1"/>
    <col min="529" max="529" width="9" style="93"/>
    <col min="530" max="530" width="7.75" style="93" customWidth="1"/>
    <col min="531" max="531" width="13.125" style="93" customWidth="1"/>
    <col min="532" max="532" width="6.125" style="93" customWidth="1"/>
    <col min="533" max="533" width="9.75" style="93" customWidth="1"/>
    <col min="534" max="534" width="1.375" style="93" customWidth="1"/>
    <col min="535" max="774" width="9" style="93"/>
    <col min="775" max="775" width="1.375" style="93" customWidth="1"/>
    <col min="776" max="776" width="3.5" style="93" customWidth="1"/>
    <col min="777" max="777" width="22.125" style="93" customWidth="1"/>
    <col min="778" max="778" width="9.75" style="93" customWidth="1"/>
    <col min="779" max="779" width="7.375" style="93" customWidth="1"/>
    <col min="780" max="780" width="9" style="93"/>
    <col min="781" max="781" width="9.25" style="93" customWidth="1"/>
    <col min="782" max="782" width="3.5" style="93" customWidth="1"/>
    <col min="783" max="784" width="12.625" style="93" customWidth="1"/>
    <col min="785" max="785" width="9" style="93"/>
    <col min="786" max="786" width="7.75" style="93" customWidth="1"/>
    <col min="787" max="787" width="13.125" style="93" customWidth="1"/>
    <col min="788" max="788" width="6.125" style="93" customWidth="1"/>
    <col min="789" max="789" width="9.75" style="93" customWidth="1"/>
    <col min="790" max="790" width="1.375" style="93" customWidth="1"/>
    <col min="791" max="1030" width="9" style="93"/>
    <col min="1031" max="1031" width="1.375" style="93" customWidth="1"/>
    <col min="1032" max="1032" width="3.5" style="93" customWidth="1"/>
    <col min="1033" max="1033" width="22.125" style="93" customWidth="1"/>
    <col min="1034" max="1034" width="9.75" style="93" customWidth="1"/>
    <col min="1035" max="1035" width="7.375" style="93" customWidth="1"/>
    <col min="1036" max="1036" width="9" style="93"/>
    <col min="1037" max="1037" width="9.25" style="93" customWidth="1"/>
    <col min="1038" max="1038" width="3.5" style="93" customWidth="1"/>
    <col min="1039" max="1040" width="12.625" style="93" customWidth="1"/>
    <col min="1041" max="1041" width="9" style="93"/>
    <col min="1042" max="1042" width="7.75" style="93" customWidth="1"/>
    <col min="1043" max="1043" width="13.125" style="93" customWidth="1"/>
    <col min="1044" max="1044" width="6.125" style="93" customWidth="1"/>
    <col min="1045" max="1045" width="9.75" style="93" customWidth="1"/>
    <col min="1046" max="1046" width="1.375" style="93" customWidth="1"/>
    <col min="1047" max="1286" width="9" style="93"/>
    <col min="1287" max="1287" width="1.375" style="93" customWidth="1"/>
    <col min="1288" max="1288" width="3.5" style="93" customWidth="1"/>
    <col min="1289" max="1289" width="22.125" style="93" customWidth="1"/>
    <col min="1290" max="1290" width="9.75" style="93" customWidth="1"/>
    <col min="1291" max="1291" width="7.375" style="93" customWidth="1"/>
    <col min="1292" max="1292" width="9" style="93"/>
    <col min="1293" max="1293" width="9.25" style="93" customWidth="1"/>
    <col min="1294" max="1294" width="3.5" style="93" customWidth="1"/>
    <col min="1295" max="1296" width="12.625" style="93" customWidth="1"/>
    <col min="1297" max="1297" width="9" style="93"/>
    <col min="1298" max="1298" width="7.75" style="93" customWidth="1"/>
    <col min="1299" max="1299" width="13.125" style="93" customWidth="1"/>
    <col min="1300" max="1300" width="6.125" style="93" customWidth="1"/>
    <col min="1301" max="1301" width="9.75" style="93" customWidth="1"/>
    <col min="1302" max="1302" width="1.375" style="93" customWidth="1"/>
    <col min="1303" max="1542" width="9" style="93"/>
    <col min="1543" max="1543" width="1.375" style="93" customWidth="1"/>
    <col min="1544" max="1544" width="3.5" style="93" customWidth="1"/>
    <col min="1545" max="1545" width="22.125" style="93" customWidth="1"/>
    <col min="1546" max="1546" width="9.75" style="93" customWidth="1"/>
    <col min="1547" max="1547" width="7.375" style="93" customWidth="1"/>
    <col min="1548" max="1548" width="9" style="93"/>
    <col min="1549" max="1549" width="9.25" style="93" customWidth="1"/>
    <col min="1550" max="1550" width="3.5" style="93" customWidth="1"/>
    <col min="1551" max="1552" width="12.625" style="93" customWidth="1"/>
    <col min="1553" max="1553" width="9" style="93"/>
    <col min="1554" max="1554" width="7.75" style="93" customWidth="1"/>
    <col min="1555" max="1555" width="13.125" style="93" customWidth="1"/>
    <col min="1556" max="1556" width="6.125" style="93" customWidth="1"/>
    <col min="1557" max="1557" width="9.75" style="93" customWidth="1"/>
    <col min="1558" max="1558" width="1.375" style="93" customWidth="1"/>
    <col min="1559" max="1798" width="9" style="93"/>
    <col min="1799" max="1799" width="1.375" style="93" customWidth="1"/>
    <col min="1800" max="1800" width="3.5" style="93" customWidth="1"/>
    <col min="1801" max="1801" width="22.125" style="93" customWidth="1"/>
    <col min="1802" max="1802" width="9.75" style="93" customWidth="1"/>
    <col min="1803" max="1803" width="7.375" style="93" customWidth="1"/>
    <col min="1804" max="1804" width="9" style="93"/>
    <col min="1805" max="1805" width="9.25" style="93" customWidth="1"/>
    <col min="1806" max="1806" width="3.5" style="93" customWidth="1"/>
    <col min="1807" max="1808" width="12.625" style="93" customWidth="1"/>
    <col min="1809" max="1809" width="9" style="93"/>
    <col min="1810" max="1810" width="7.75" style="93" customWidth="1"/>
    <col min="1811" max="1811" width="13.125" style="93" customWidth="1"/>
    <col min="1812" max="1812" width="6.125" style="93" customWidth="1"/>
    <col min="1813" max="1813" width="9.75" style="93" customWidth="1"/>
    <col min="1814" max="1814" width="1.375" style="93" customWidth="1"/>
    <col min="1815" max="2054" width="9" style="93"/>
    <col min="2055" max="2055" width="1.375" style="93" customWidth="1"/>
    <col min="2056" max="2056" width="3.5" style="93" customWidth="1"/>
    <col min="2057" max="2057" width="22.125" style="93" customWidth="1"/>
    <col min="2058" max="2058" width="9.75" style="93" customWidth="1"/>
    <col min="2059" max="2059" width="7.375" style="93" customWidth="1"/>
    <col min="2060" max="2060" width="9" style="93"/>
    <col min="2061" max="2061" width="9.25" style="93" customWidth="1"/>
    <col min="2062" max="2062" width="3.5" style="93" customWidth="1"/>
    <col min="2063" max="2064" width="12.625" style="93" customWidth="1"/>
    <col min="2065" max="2065" width="9" style="93"/>
    <col min="2066" max="2066" width="7.75" style="93" customWidth="1"/>
    <col min="2067" max="2067" width="13.125" style="93" customWidth="1"/>
    <col min="2068" max="2068" width="6.125" style="93" customWidth="1"/>
    <col min="2069" max="2069" width="9.75" style="93" customWidth="1"/>
    <col min="2070" max="2070" width="1.375" style="93" customWidth="1"/>
    <col min="2071" max="2310" width="9" style="93"/>
    <col min="2311" max="2311" width="1.375" style="93" customWidth="1"/>
    <col min="2312" max="2312" width="3.5" style="93" customWidth="1"/>
    <col min="2313" max="2313" width="22.125" style="93" customWidth="1"/>
    <col min="2314" max="2314" width="9.75" style="93" customWidth="1"/>
    <col min="2315" max="2315" width="7.375" style="93" customWidth="1"/>
    <col min="2316" max="2316" width="9" style="93"/>
    <col min="2317" max="2317" width="9.25" style="93" customWidth="1"/>
    <col min="2318" max="2318" width="3.5" style="93" customWidth="1"/>
    <col min="2319" max="2320" width="12.625" style="93" customWidth="1"/>
    <col min="2321" max="2321" width="9" style="93"/>
    <col min="2322" max="2322" width="7.75" style="93" customWidth="1"/>
    <col min="2323" max="2323" width="13.125" style="93" customWidth="1"/>
    <col min="2324" max="2324" width="6.125" style="93" customWidth="1"/>
    <col min="2325" max="2325" width="9.75" style="93" customWidth="1"/>
    <col min="2326" max="2326" width="1.375" style="93" customWidth="1"/>
    <col min="2327" max="2566" width="9" style="93"/>
    <col min="2567" max="2567" width="1.375" style="93" customWidth="1"/>
    <col min="2568" max="2568" width="3.5" style="93" customWidth="1"/>
    <col min="2569" max="2569" width="22.125" style="93" customWidth="1"/>
    <col min="2570" max="2570" width="9.75" style="93" customWidth="1"/>
    <col min="2571" max="2571" width="7.375" style="93" customWidth="1"/>
    <col min="2572" max="2572" width="9" style="93"/>
    <col min="2573" max="2573" width="9.25" style="93" customWidth="1"/>
    <col min="2574" max="2574" width="3.5" style="93" customWidth="1"/>
    <col min="2575" max="2576" width="12.625" style="93" customWidth="1"/>
    <col min="2577" max="2577" width="9" style="93"/>
    <col min="2578" max="2578" width="7.75" style="93" customWidth="1"/>
    <col min="2579" max="2579" width="13.125" style="93" customWidth="1"/>
    <col min="2580" max="2580" width="6.125" style="93" customWidth="1"/>
    <col min="2581" max="2581" width="9.75" style="93" customWidth="1"/>
    <col min="2582" max="2582" width="1.375" style="93" customWidth="1"/>
    <col min="2583" max="2822" width="9" style="93"/>
    <col min="2823" max="2823" width="1.375" style="93" customWidth="1"/>
    <col min="2824" max="2824" width="3.5" style="93" customWidth="1"/>
    <col min="2825" max="2825" width="22.125" style="93" customWidth="1"/>
    <col min="2826" max="2826" width="9.75" style="93" customWidth="1"/>
    <col min="2827" max="2827" width="7.375" style="93" customWidth="1"/>
    <col min="2828" max="2828" width="9" style="93"/>
    <col min="2829" max="2829" width="9.25" style="93" customWidth="1"/>
    <col min="2830" max="2830" width="3.5" style="93" customWidth="1"/>
    <col min="2831" max="2832" width="12.625" style="93" customWidth="1"/>
    <col min="2833" max="2833" width="9" style="93"/>
    <col min="2834" max="2834" width="7.75" style="93" customWidth="1"/>
    <col min="2835" max="2835" width="13.125" style="93" customWidth="1"/>
    <col min="2836" max="2836" width="6.125" style="93" customWidth="1"/>
    <col min="2837" max="2837" width="9.75" style="93" customWidth="1"/>
    <col min="2838" max="2838" width="1.375" style="93" customWidth="1"/>
    <col min="2839" max="3078" width="9" style="93"/>
    <col min="3079" max="3079" width="1.375" style="93" customWidth="1"/>
    <col min="3080" max="3080" width="3.5" style="93" customWidth="1"/>
    <col min="3081" max="3081" width="22.125" style="93" customWidth="1"/>
    <col min="3082" max="3082" width="9.75" style="93" customWidth="1"/>
    <col min="3083" max="3083" width="7.375" style="93" customWidth="1"/>
    <col min="3084" max="3084" width="9" style="93"/>
    <col min="3085" max="3085" width="9.25" style="93" customWidth="1"/>
    <col min="3086" max="3086" width="3.5" style="93" customWidth="1"/>
    <col min="3087" max="3088" width="12.625" style="93" customWidth="1"/>
    <col min="3089" max="3089" width="9" style="93"/>
    <col min="3090" max="3090" width="7.75" style="93" customWidth="1"/>
    <col min="3091" max="3091" width="13.125" style="93" customWidth="1"/>
    <col min="3092" max="3092" width="6.125" style="93" customWidth="1"/>
    <col min="3093" max="3093" width="9.75" style="93" customWidth="1"/>
    <col min="3094" max="3094" width="1.375" style="93" customWidth="1"/>
    <col min="3095" max="3334" width="9" style="93"/>
    <col min="3335" max="3335" width="1.375" style="93" customWidth="1"/>
    <col min="3336" max="3336" width="3.5" style="93" customWidth="1"/>
    <col min="3337" max="3337" width="22.125" style="93" customWidth="1"/>
    <col min="3338" max="3338" width="9.75" style="93" customWidth="1"/>
    <col min="3339" max="3339" width="7.375" style="93" customWidth="1"/>
    <col min="3340" max="3340" width="9" style="93"/>
    <col min="3341" max="3341" width="9.25" style="93" customWidth="1"/>
    <col min="3342" max="3342" width="3.5" style="93" customWidth="1"/>
    <col min="3343" max="3344" width="12.625" style="93" customWidth="1"/>
    <col min="3345" max="3345" width="9" style="93"/>
    <col min="3346" max="3346" width="7.75" style="93" customWidth="1"/>
    <col min="3347" max="3347" width="13.125" style="93" customWidth="1"/>
    <col min="3348" max="3348" width="6.125" style="93" customWidth="1"/>
    <col min="3349" max="3349" width="9.75" style="93" customWidth="1"/>
    <col min="3350" max="3350" width="1.375" style="93" customWidth="1"/>
    <col min="3351" max="3590" width="9" style="93"/>
    <col min="3591" max="3591" width="1.375" style="93" customWidth="1"/>
    <col min="3592" max="3592" width="3.5" style="93" customWidth="1"/>
    <col min="3593" max="3593" width="22.125" style="93" customWidth="1"/>
    <col min="3594" max="3594" width="9.75" style="93" customWidth="1"/>
    <col min="3595" max="3595" width="7.375" style="93" customWidth="1"/>
    <col min="3596" max="3596" width="9" style="93"/>
    <col min="3597" max="3597" width="9.25" style="93" customWidth="1"/>
    <col min="3598" max="3598" width="3.5" style="93" customWidth="1"/>
    <col min="3599" max="3600" width="12.625" style="93" customWidth="1"/>
    <col min="3601" max="3601" width="9" style="93"/>
    <col min="3602" max="3602" width="7.75" style="93" customWidth="1"/>
    <col min="3603" max="3603" width="13.125" style="93" customWidth="1"/>
    <col min="3604" max="3604" width="6.125" style="93" customWidth="1"/>
    <col min="3605" max="3605" width="9.75" style="93" customWidth="1"/>
    <col min="3606" max="3606" width="1.375" style="93" customWidth="1"/>
    <col min="3607" max="3846" width="9" style="93"/>
    <col min="3847" max="3847" width="1.375" style="93" customWidth="1"/>
    <col min="3848" max="3848" width="3.5" style="93" customWidth="1"/>
    <col min="3849" max="3849" width="22.125" style="93" customWidth="1"/>
    <col min="3850" max="3850" width="9.75" style="93" customWidth="1"/>
    <col min="3851" max="3851" width="7.375" style="93" customWidth="1"/>
    <col min="3852" max="3852" width="9" style="93"/>
    <col min="3853" max="3853" width="9.25" style="93" customWidth="1"/>
    <col min="3854" max="3854" width="3.5" style="93" customWidth="1"/>
    <col min="3855" max="3856" width="12.625" style="93" customWidth="1"/>
    <col min="3857" max="3857" width="9" style="93"/>
    <col min="3858" max="3858" width="7.75" style="93" customWidth="1"/>
    <col min="3859" max="3859" width="13.125" style="93" customWidth="1"/>
    <col min="3860" max="3860" width="6.125" style="93" customWidth="1"/>
    <col min="3861" max="3861" width="9.75" style="93" customWidth="1"/>
    <col min="3862" max="3862" width="1.375" style="93" customWidth="1"/>
    <col min="3863" max="4102" width="9" style="93"/>
    <col min="4103" max="4103" width="1.375" style="93" customWidth="1"/>
    <col min="4104" max="4104" width="3.5" style="93" customWidth="1"/>
    <col min="4105" max="4105" width="22.125" style="93" customWidth="1"/>
    <col min="4106" max="4106" width="9.75" style="93" customWidth="1"/>
    <col min="4107" max="4107" width="7.375" style="93" customWidth="1"/>
    <col min="4108" max="4108" width="9" style="93"/>
    <col min="4109" max="4109" width="9.25" style="93" customWidth="1"/>
    <col min="4110" max="4110" width="3.5" style="93" customWidth="1"/>
    <col min="4111" max="4112" width="12.625" style="93" customWidth="1"/>
    <col min="4113" max="4113" width="9" style="93"/>
    <col min="4114" max="4114" width="7.75" style="93" customWidth="1"/>
    <col min="4115" max="4115" width="13.125" style="93" customWidth="1"/>
    <col min="4116" max="4116" width="6.125" style="93" customWidth="1"/>
    <col min="4117" max="4117" width="9.75" style="93" customWidth="1"/>
    <col min="4118" max="4118" width="1.375" style="93" customWidth="1"/>
    <col min="4119" max="4358" width="9" style="93"/>
    <col min="4359" max="4359" width="1.375" style="93" customWidth="1"/>
    <col min="4360" max="4360" width="3.5" style="93" customWidth="1"/>
    <col min="4361" max="4361" width="22.125" style="93" customWidth="1"/>
    <col min="4362" max="4362" width="9.75" style="93" customWidth="1"/>
    <col min="4363" max="4363" width="7.375" style="93" customWidth="1"/>
    <col min="4364" max="4364" width="9" style="93"/>
    <col min="4365" max="4365" width="9.25" style="93" customWidth="1"/>
    <col min="4366" max="4366" width="3.5" style="93" customWidth="1"/>
    <col min="4367" max="4368" width="12.625" style="93" customWidth="1"/>
    <col min="4369" max="4369" width="9" style="93"/>
    <col min="4370" max="4370" width="7.75" style="93" customWidth="1"/>
    <col min="4371" max="4371" width="13.125" style="93" customWidth="1"/>
    <col min="4372" max="4372" width="6.125" style="93" customWidth="1"/>
    <col min="4373" max="4373" width="9.75" style="93" customWidth="1"/>
    <col min="4374" max="4374" width="1.375" style="93" customWidth="1"/>
    <col min="4375" max="4614" width="9" style="93"/>
    <col min="4615" max="4615" width="1.375" style="93" customWidth="1"/>
    <col min="4616" max="4616" width="3.5" style="93" customWidth="1"/>
    <col min="4617" max="4617" width="22.125" style="93" customWidth="1"/>
    <col min="4618" max="4618" width="9.75" style="93" customWidth="1"/>
    <col min="4619" max="4619" width="7.375" style="93" customWidth="1"/>
    <col min="4620" max="4620" width="9" style="93"/>
    <col min="4621" max="4621" width="9.25" style="93" customWidth="1"/>
    <col min="4622" max="4622" width="3.5" style="93" customWidth="1"/>
    <col min="4623" max="4624" width="12.625" style="93" customWidth="1"/>
    <col min="4625" max="4625" width="9" style="93"/>
    <col min="4626" max="4626" width="7.75" style="93" customWidth="1"/>
    <col min="4627" max="4627" width="13.125" style="93" customWidth="1"/>
    <col min="4628" max="4628" width="6.125" style="93" customWidth="1"/>
    <col min="4629" max="4629" width="9.75" style="93" customWidth="1"/>
    <col min="4630" max="4630" width="1.375" style="93" customWidth="1"/>
    <col min="4631" max="4870" width="9" style="93"/>
    <col min="4871" max="4871" width="1.375" style="93" customWidth="1"/>
    <col min="4872" max="4872" width="3.5" style="93" customWidth="1"/>
    <col min="4873" max="4873" width="22.125" style="93" customWidth="1"/>
    <col min="4874" max="4874" width="9.75" style="93" customWidth="1"/>
    <col min="4875" max="4875" width="7.375" style="93" customWidth="1"/>
    <col min="4876" max="4876" width="9" style="93"/>
    <col min="4877" max="4877" width="9.25" style="93" customWidth="1"/>
    <col min="4878" max="4878" width="3.5" style="93" customWidth="1"/>
    <col min="4879" max="4880" width="12.625" style="93" customWidth="1"/>
    <col min="4881" max="4881" width="9" style="93"/>
    <col min="4882" max="4882" width="7.75" style="93" customWidth="1"/>
    <col min="4883" max="4883" width="13.125" style="93" customWidth="1"/>
    <col min="4884" max="4884" width="6.125" style="93" customWidth="1"/>
    <col min="4885" max="4885" width="9.75" style="93" customWidth="1"/>
    <col min="4886" max="4886" width="1.375" style="93" customWidth="1"/>
    <col min="4887" max="5126" width="9" style="93"/>
    <col min="5127" max="5127" width="1.375" style="93" customWidth="1"/>
    <col min="5128" max="5128" width="3.5" style="93" customWidth="1"/>
    <col min="5129" max="5129" width="22.125" style="93" customWidth="1"/>
    <col min="5130" max="5130" width="9.75" style="93" customWidth="1"/>
    <col min="5131" max="5131" width="7.375" style="93" customWidth="1"/>
    <col min="5132" max="5132" width="9" style="93"/>
    <col min="5133" max="5133" width="9.25" style="93" customWidth="1"/>
    <col min="5134" max="5134" width="3.5" style="93" customWidth="1"/>
    <col min="5135" max="5136" width="12.625" style="93" customWidth="1"/>
    <col min="5137" max="5137" width="9" style="93"/>
    <col min="5138" max="5138" width="7.75" style="93" customWidth="1"/>
    <col min="5139" max="5139" width="13.125" style="93" customWidth="1"/>
    <col min="5140" max="5140" width="6.125" style="93" customWidth="1"/>
    <col min="5141" max="5141" width="9.75" style="93" customWidth="1"/>
    <col min="5142" max="5142" width="1.375" style="93" customWidth="1"/>
    <col min="5143" max="5382" width="9" style="93"/>
    <col min="5383" max="5383" width="1.375" style="93" customWidth="1"/>
    <col min="5384" max="5384" width="3.5" style="93" customWidth="1"/>
    <col min="5385" max="5385" width="22.125" style="93" customWidth="1"/>
    <col min="5386" max="5386" width="9.75" style="93" customWidth="1"/>
    <col min="5387" max="5387" width="7.375" style="93" customWidth="1"/>
    <col min="5388" max="5388" width="9" style="93"/>
    <col min="5389" max="5389" width="9.25" style="93" customWidth="1"/>
    <col min="5390" max="5390" width="3.5" style="93" customWidth="1"/>
    <col min="5391" max="5392" width="12.625" style="93" customWidth="1"/>
    <col min="5393" max="5393" width="9" style="93"/>
    <col min="5394" max="5394" width="7.75" style="93" customWidth="1"/>
    <col min="5395" max="5395" width="13.125" style="93" customWidth="1"/>
    <col min="5396" max="5396" width="6.125" style="93" customWidth="1"/>
    <col min="5397" max="5397" width="9.75" style="93" customWidth="1"/>
    <col min="5398" max="5398" width="1.375" style="93" customWidth="1"/>
    <col min="5399" max="5638" width="9" style="93"/>
    <col min="5639" max="5639" width="1.375" style="93" customWidth="1"/>
    <col min="5640" max="5640" width="3.5" style="93" customWidth="1"/>
    <col min="5641" max="5641" width="22.125" style="93" customWidth="1"/>
    <col min="5642" max="5642" width="9.75" style="93" customWidth="1"/>
    <col min="5643" max="5643" width="7.375" style="93" customWidth="1"/>
    <col min="5644" max="5644" width="9" style="93"/>
    <col min="5645" max="5645" width="9.25" style="93" customWidth="1"/>
    <col min="5646" max="5646" width="3.5" style="93" customWidth="1"/>
    <col min="5647" max="5648" width="12.625" style="93" customWidth="1"/>
    <col min="5649" max="5649" width="9" style="93"/>
    <col min="5650" max="5650" width="7.75" style="93" customWidth="1"/>
    <col min="5651" max="5651" width="13.125" style="93" customWidth="1"/>
    <col min="5652" max="5652" width="6.125" style="93" customWidth="1"/>
    <col min="5653" max="5653" width="9.75" style="93" customWidth="1"/>
    <col min="5654" max="5654" width="1.375" style="93" customWidth="1"/>
    <col min="5655" max="5894" width="9" style="93"/>
    <col min="5895" max="5895" width="1.375" style="93" customWidth="1"/>
    <col min="5896" max="5896" width="3.5" style="93" customWidth="1"/>
    <col min="5897" max="5897" width="22.125" style="93" customWidth="1"/>
    <col min="5898" max="5898" width="9.75" style="93" customWidth="1"/>
    <col min="5899" max="5899" width="7.375" style="93" customWidth="1"/>
    <col min="5900" max="5900" width="9" style="93"/>
    <col min="5901" max="5901" width="9.25" style="93" customWidth="1"/>
    <col min="5902" max="5902" width="3.5" style="93" customWidth="1"/>
    <col min="5903" max="5904" width="12.625" style="93" customWidth="1"/>
    <col min="5905" max="5905" width="9" style="93"/>
    <col min="5906" max="5906" width="7.75" style="93" customWidth="1"/>
    <col min="5907" max="5907" width="13.125" style="93" customWidth="1"/>
    <col min="5908" max="5908" width="6.125" style="93" customWidth="1"/>
    <col min="5909" max="5909" width="9.75" style="93" customWidth="1"/>
    <col min="5910" max="5910" width="1.375" style="93" customWidth="1"/>
    <col min="5911" max="6150" width="9" style="93"/>
    <col min="6151" max="6151" width="1.375" style="93" customWidth="1"/>
    <col min="6152" max="6152" width="3.5" style="93" customWidth="1"/>
    <col min="6153" max="6153" width="22.125" style="93" customWidth="1"/>
    <col min="6154" max="6154" width="9.75" style="93" customWidth="1"/>
    <col min="6155" max="6155" width="7.375" style="93" customWidth="1"/>
    <col min="6156" max="6156" width="9" style="93"/>
    <col min="6157" max="6157" width="9.25" style="93" customWidth="1"/>
    <col min="6158" max="6158" width="3.5" style="93" customWidth="1"/>
    <col min="6159" max="6160" width="12.625" style="93" customWidth="1"/>
    <col min="6161" max="6161" width="9" style="93"/>
    <col min="6162" max="6162" width="7.75" style="93" customWidth="1"/>
    <col min="6163" max="6163" width="13.125" style="93" customWidth="1"/>
    <col min="6164" max="6164" width="6.125" style="93" customWidth="1"/>
    <col min="6165" max="6165" width="9.75" style="93" customWidth="1"/>
    <col min="6166" max="6166" width="1.375" style="93" customWidth="1"/>
    <col min="6167" max="6406" width="9" style="93"/>
    <col min="6407" max="6407" width="1.375" style="93" customWidth="1"/>
    <col min="6408" max="6408" width="3.5" style="93" customWidth="1"/>
    <col min="6409" max="6409" width="22.125" style="93" customWidth="1"/>
    <col min="6410" max="6410" width="9.75" style="93" customWidth="1"/>
    <col min="6411" max="6411" width="7.375" style="93" customWidth="1"/>
    <col min="6412" max="6412" width="9" style="93"/>
    <col min="6413" max="6413" width="9.25" style="93" customWidth="1"/>
    <col min="6414" max="6414" width="3.5" style="93" customWidth="1"/>
    <col min="6415" max="6416" width="12.625" style="93" customWidth="1"/>
    <col min="6417" max="6417" width="9" style="93"/>
    <col min="6418" max="6418" width="7.75" style="93" customWidth="1"/>
    <col min="6419" max="6419" width="13.125" style="93" customWidth="1"/>
    <col min="6420" max="6420" width="6.125" style="93" customWidth="1"/>
    <col min="6421" max="6421" width="9.75" style="93" customWidth="1"/>
    <col min="6422" max="6422" width="1.375" style="93" customWidth="1"/>
    <col min="6423" max="6662" width="9" style="93"/>
    <col min="6663" max="6663" width="1.375" style="93" customWidth="1"/>
    <col min="6664" max="6664" width="3.5" style="93" customWidth="1"/>
    <col min="6665" max="6665" width="22.125" style="93" customWidth="1"/>
    <col min="6666" max="6666" width="9.75" style="93" customWidth="1"/>
    <col min="6667" max="6667" width="7.375" style="93" customWidth="1"/>
    <col min="6668" max="6668" width="9" style="93"/>
    <col min="6669" max="6669" width="9.25" style="93" customWidth="1"/>
    <col min="6670" max="6670" width="3.5" style="93" customWidth="1"/>
    <col min="6671" max="6672" width="12.625" style="93" customWidth="1"/>
    <col min="6673" max="6673" width="9" style="93"/>
    <col min="6674" max="6674" width="7.75" style="93" customWidth="1"/>
    <col min="6675" max="6675" width="13.125" style="93" customWidth="1"/>
    <col min="6676" max="6676" width="6.125" style="93" customWidth="1"/>
    <col min="6677" max="6677" width="9.75" style="93" customWidth="1"/>
    <col min="6678" max="6678" width="1.375" style="93" customWidth="1"/>
    <col min="6679" max="6918" width="9" style="93"/>
    <col min="6919" max="6919" width="1.375" style="93" customWidth="1"/>
    <col min="6920" max="6920" width="3.5" style="93" customWidth="1"/>
    <col min="6921" max="6921" width="22.125" style="93" customWidth="1"/>
    <col min="6922" max="6922" width="9.75" style="93" customWidth="1"/>
    <col min="6923" max="6923" width="7.375" style="93" customWidth="1"/>
    <col min="6924" max="6924" width="9" style="93"/>
    <col min="6925" max="6925" width="9.25" style="93" customWidth="1"/>
    <col min="6926" max="6926" width="3.5" style="93" customWidth="1"/>
    <col min="6927" max="6928" width="12.625" style="93" customWidth="1"/>
    <col min="6929" max="6929" width="9" style="93"/>
    <col min="6930" max="6930" width="7.75" style="93" customWidth="1"/>
    <col min="6931" max="6931" width="13.125" style="93" customWidth="1"/>
    <col min="6932" max="6932" width="6.125" style="93" customWidth="1"/>
    <col min="6933" max="6933" width="9.75" style="93" customWidth="1"/>
    <col min="6934" max="6934" width="1.375" style="93" customWidth="1"/>
    <col min="6935" max="7174" width="9" style="93"/>
    <col min="7175" max="7175" width="1.375" style="93" customWidth="1"/>
    <col min="7176" max="7176" width="3.5" style="93" customWidth="1"/>
    <col min="7177" max="7177" width="22.125" style="93" customWidth="1"/>
    <col min="7178" max="7178" width="9.75" style="93" customWidth="1"/>
    <col min="7179" max="7179" width="7.375" style="93" customWidth="1"/>
    <col min="7180" max="7180" width="9" style="93"/>
    <col min="7181" max="7181" width="9.25" style="93" customWidth="1"/>
    <col min="7182" max="7182" width="3.5" style="93" customWidth="1"/>
    <col min="7183" max="7184" width="12.625" style="93" customWidth="1"/>
    <col min="7185" max="7185" width="9" style="93"/>
    <col min="7186" max="7186" width="7.75" style="93" customWidth="1"/>
    <col min="7187" max="7187" width="13.125" style="93" customWidth="1"/>
    <col min="7188" max="7188" width="6.125" style="93" customWidth="1"/>
    <col min="7189" max="7189" width="9.75" style="93" customWidth="1"/>
    <col min="7190" max="7190" width="1.375" style="93" customWidth="1"/>
    <col min="7191" max="7430" width="9" style="93"/>
    <col min="7431" max="7431" width="1.375" style="93" customWidth="1"/>
    <col min="7432" max="7432" width="3.5" style="93" customWidth="1"/>
    <col min="7433" max="7433" width="22.125" style="93" customWidth="1"/>
    <col min="7434" max="7434" width="9.75" style="93" customWidth="1"/>
    <col min="7435" max="7435" width="7.375" style="93" customWidth="1"/>
    <col min="7436" max="7436" width="9" style="93"/>
    <col min="7437" max="7437" width="9.25" style="93" customWidth="1"/>
    <col min="7438" max="7438" width="3.5" style="93" customWidth="1"/>
    <col min="7439" max="7440" width="12.625" style="93" customWidth="1"/>
    <col min="7441" max="7441" width="9" style="93"/>
    <col min="7442" max="7442" width="7.75" style="93" customWidth="1"/>
    <col min="7443" max="7443" width="13.125" style="93" customWidth="1"/>
    <col min="7444" max="7444" width="6.125" style="93" customWidth="1"/>
    <col min="7445" max="7445" width="9.75" style="93" customWidth="1"/>
    <col min="7446" max="7446" width="1.375" style="93" customWidth="1"/>
    <col min="7447" max="7686" width="9" style="93"/>
    <col min="7687" max="7687" width="1.375" style="93" customWidth="1"/>
    <col min="7688" max="7688" width="3.5" style="93" customWidth="1"/>
    <col min="7689" max="7689" width="22.125" style="93" customWidth="1"/>
    <col min="7690" max="7690" width="9.75" style="93" customWidth="1"/>
    <col min="7691" max="7691" width="7.375" style="93" customWidth="1"/>
    <col min="7692" max="7692" width="9" style="93"/>
    <col min="7693" max="7693" width="9.25" style="93" customWidth="1"/>
    <col min="7694" max="7694" width="3.5" style="93" customWidth="1"/>
    <col min="7695" max="7696" width="12.625" style="93" customWidth="1"/>
    <col min="7697" max="7697" width="9" style="93"/>
    <col min="7698" max="7698" width="7.75" style="93" customWidth="1"/>
    <col min="7699" max="7699" width="13.125" style="93" customWidth="1"/>
    <col min="7700" max="7700" width="6.125" style="93" customWidth="1"/>
    <col min="7701" max="7701" width="9.75" style="93" customWidth="1"/>
    <col min="7702" max="7702" width="1.375" style="93" customWidth="1"/>
    <col min="7703" max="7942" width="9" style="93"/>
    <col min="7943" max="7943" width="1.375" style="93" customWidth="1"/>
    <col min="7944" max="7944" width="3.5" style="93" customWidth="1"/>
    <col min="7945" max="7945" width="22.125" style="93" customWidth="1"/>
    <col min="7946" max="7946" width="9.75" style="93" customWidth="1"/>
    <col min="7947" max="7947" width="7.375" style="93" customWidth="1"/>
    <col min="7948" max="7948" width="9" style="93"/>
    <col min="7949" max="7949" width="9.25" style="93" customWidth="1"/>
    <col min="7950" max="7950" width="3.5" style="93" customWidth="1"/>
    <col min="7951" max="7952" width="12.625" style="93" customWidth="1"/>
    <col min="7953" max="7953" width="9" style="93"/>
    <col min="7954" max="7954" width="7.75" style="93" customWidth="1"/>
    <col min="7955" max="7955" width="13.125" style="93" customWidth="1"/>
    <col min="7956" max="7956" width="6.125" style="93" customWidth="1"/>
    <col min="7957" max="7957" width="9.75" style="93" customWidth="1"/>
    <col min="7958" max="7958" width="1.375" style="93" customWidth="1"/>
    <col min="7959" max="8198" width="9" style="93"/>
    <col min="8199" max="8199" width="1.375" style="93" customWidth="1"/>
    <col min="8200" max="8200" width="3.5" style="93" customWidth="1"/>
    <col min="8201" max="8201" width="22.125" style="93" customWidth="1"/>
    <col min="8202" max="8202" width="9.75" style="93" customWidth="1"/>
    <col min="8203" max="8203" width="7.375" style="93" customWidth="1"/>
    <col min="8204" max="8204" width="9" style="93"/>
    <col min="8205" max="8205" width="9.25" style="93" customWidth="1"/>
    <col min="8206" max="8206" width="3.5" style="93" customWidth="1"/>
    <col min="8207" max="8208" width="12.625" style="93" customWidth="1"/>
    <col min="8209" max="8209" width="9" style="93"/>
    <col min="8210" max="8210" width="7.75" style="93" customWidth="1"/>
    <col min="8211" max="8211" width="13.125" style="93" customWidth="1"/>
    <col min="8212" max="8212" width="6.125" style="93" customWidth="1"/>
    <col min="8213" max="8213" width="9.75" style="93" customWidth="1"/>
    <col min="8214" max="8214" width="1.375" style="93" customWidth="1"/>
    <col min="8215" max="8454" width="9" style="93"/>
    <col min="8455" max="8455" width="1.375" style="93" customWidth="1"/>
    <col min="8456" max="8456" width="3.5" style="93" customWidth="1"/>
    <col min="8457" max="8457" width="22.125" style="93" customWidth="1"/>
    <col min="8458" max="8458" width="9.75" style="93" customWidth="1"/>
    <col min="8459" max="8459" width="7.375" style="93" customWidth="1"/>
    <col min="8460" max="8460" width="9" style="93"/>
    <col min="8461" max="8461" width="9.25" style="93" customWidth="1"/>
    <col min="8462" max="8462" width="3.5" style="93" customWidth="1"/>
    <col min="8463" max="8464" width="12.625" style="93" customWidth="1"/>
    <col min="8465" max="8465" width="9" style="93"/>
    <col min="8466" max="8466" width="7.75" style="93" customWidth="1"/>
    <col min="8467" max="8467" width="13.125" style="93" customWidth="1"/>
    <col min="8468" max="8468" width="6.125" style="93" customWidth="1"/>
    <col min="8469" max="8469" width="9.75" style="93" customWidth="1"/>
    <col min="8470" max="8470" width="1.375" style="93" customWidth="1"/>
    <col min="8471" max="8710" width="9" style="93"/>
    <col min="8711" max="8711" width="1.375" style="93" customWidth="1"/>
    <col min="8712" max="8712" width="3.5" style="93" customWidth="1"/>
    <col min="8713" max="8713" width="22.125" style="93" customWidth="1"/>
    <col min="8714" max="8714" width="9.75" style="93" customWidth="1"/>
    <col min="8715" max="8715" width="7.375" style="93" customWidth="1"/>
    <col min="8716" max="8716" width="9" style="93"/>
    <col min="8717" max="8717" width="9.25" style="93" customWidth="1"/>
    <col min="8718" max="8718" width="3.5" style="93" customWidth="1"/>
    <col min="8719" max="8720" width="12.625" style="93" customWidth="1"/>
    <col min="8721" max="8721" width="9" style="93"/>
    <col min="8722" max="8722" width="7.75" style="93" customWidth="1"/>
    <col min="8723" max="8723" width="13.125" style="93" customWidth="1"/>
    <col min="8724" max="8724" width="6.125" style="93" customWidth="1"/>
    <col min="8725" max="8725" width="9.75" style="93" customWidth="1"/>
    <col min="8726" max="8726" width="1.375" style="93" customWidth="1"/>
    <col min="8727" max="8966" width="9" style="93"/>
    <col min="8967" max="8967" width="1.375" style="93" customWidth="1"/>
    <col min="8968" max="8968" width="3.5" style="93" customWidth="1"/>
    <col min="8969" max="8969" width="22.125" style="93" customWidth="1"/>
    <col min="8970" max="8970" width="9.75" style="93" customWidth="1"/>
    <col min="8971" max="8971" width="7.375" style="93" customWidth="1"/>
    <col min="8972" max="8972" width="9" style="93"/>
    <col min="8973" max="8973" width="9.25" style="93" customWidth="1"/>
    <col min="8974" max="8974" width="3.5" style="93" customWidth="1"/>
    <col min="8975" max="8976" width="12.625" style="93" customWidth="1"/>
    <col min="8977" max="8977" width="9" style="93"/>
    <col min="8978" max="8978" width="7.75" style="93" customWidth="1"/>
    <col min="8979" max="8979" width="13.125" style="93" customWidth="1"/>
    <col min="8980" max="8980" width="6.125" style="93" customWidth="1"/>
    <col min="8981" max="8981" width="9.75" style="93" customWidth="1"/>
    <col min="8982" max="8982" width="1.375" style="93" customWidth="1"/>
    <col min="8983" max="9222" width="9" style="93"/>
    <col min="9223" max="9223" width="1.375" style="93" customWidth="1"/>
    <col min="9224" max="9224" width="3.5" style="93" customWidth="1"/>
    <col min="9225" max="9225" width="22.125" style="93" customWidth="1"/>
    <col min="9226" max="9226" width="9.75" style="93" customWidth="1"/>
    <col min="9227" max="9227" width="7.375" style="93" customWidth="1"/>
    <col min="9228" max="9228" width="9" style="93"/>
    <col min="9229" max="9229" width="9.25" style="93" customWidth="1"/>
    <col min="9230" max="9230" width="3.5" style="93" customWidth="1"/>
    <col min="9231" max="9232" width="12.625" style="93" customWidth="1"/>
    <col min="9233" max="9233" width="9" style="93"/>
    <col min="9234" max="9234" width="7.75" style="93" customWidth="1"/>
    <col min="9235" max="9235" width="13.125" style="93" customWidth="1"/>
    <col min="9236" max="9236" width="6.125" style="93" customWidth="1"/>
    <col min="9237" max="9237" width="9.75" style="93" customWidth="1"/>
    <col min="9238" max="9238" width="1.375" style="93" customWidth="1"/>
    <col min="9239" max="9478" width="9" style="93"/>
    <col min="9479" max="9479" width="1.375" style="93" customWidth="1"/>
    <col min="9480" max="9480" width="3.5" style="93" customWidth="1"/>
    <col min="9481" max="9481" width="22.125" style="93" customWidth="1"/>
    <col min="9482" max="9482" width="9.75" style="93" customWidth="1"/>
    <col min="9483" max="9483" width="7.375" style="93" customWidth="1"/>
    <col min="9484" max="9484" width="9" style="93"/>
    <col min="9485" max="9485" width="9.25" style="93" customWidth="1"/>
    <col min="9486" max="9486" width="3.5" style="93" customWidth="1"/>
    <col min="9487" max="9488" width="12.625" style="93" customWidth="1"/>
    <col min="9489" max="9489" width="9" style="93"/>
    <col min="9490" max="9490" width="7.75" style="93" customWidth="1"/>
    <col min="9491" max="9491" width="13.125" style="93" customWidth="1"/>
    <col min="9492" max="9492" width="6.125" style="93" customWidth="1"/>
    <col min="9493" max="9493" width="9.75" style="93" customWidth="1"/>
    <col min="9494" max="9494" width="1.375" style="93" customWidth="1"/>
    <col min="9495" max="9734" width="9" style="93"/>
    <col min="9735" max="9735" width="1.375" style="93" customWidth="1"/>
    <col min="9736" max="9736" width="3.5" style="93" customWidth="1"/>
    <col min="9737" max="9737" width="22.125" style="93" customWidth="1"/>
    <col min="9738" max="9738" width="9.75" style="93" customWidth="1"/>
    <col min="9739" max="9739" width="7.375" style="93" customWidth="1"/>
    <col min="9740" max="9740" width="9" style="93"/>
    <col min="9741" max="9741" width="9.25" style="93" customWidth="1"/>
    <col min="9742" max="9742" width="3.5" style="93" customWidth="1"/>
    <col min="9743" max="9744" width="12.625" style="93" customWidth="1"/>
    <col min="9745" max="9745" width="9" style="93"/>
    <col min="9746" max="9746" width="7.75" style="93" customWidth="1"/>
    <col min="9747" max="9747" width="13.125" style="93" customWidth="1"/>
    <col min="9748" max="9748" width="6.125" style="93" customWidth="1"/>
    <col min="9749" max="9749" width="9.75" style="93" customWidth="1"/>
    <col min="9750" max="9750" width="1.375" style="93" customWidth="1"/>
    <col min="9751" max="9990" width="9" style="93"/>
    <col min="9991" max="9991" width="1.375" style="93" customWidth="1"/>
    <col min="9992" max="9992" width="3.5" style="93" customWidth="1"/>
    <col min="9993" max="9993" width="22.125" style="93" customWidth="1"/>
    <col min="9994" max="9994" width="9.75" style="93" customWidth="1"/>
    <col min="9995" max="9995" width="7.375" style="93" customWidth="1"/>
    <col min="9996" max="9996" width="9" style="93"/>
    <col min="9997" max="9997" width="9.25" style="93" customWidth="1"/>
    <col min="9998" max="9998" width="3.5" style="93" customWidth="1"/>
    <col min="9999" max="10000" width="12.625" style="93" customWidth="1"/>
    <col min="10001" max="10001" width="9" style="93"/>
    <col min="10002" max="10002" width="7.75" style="93" customWidth="1"/>
    <col min="10003" max="10003" width="13.125" style="93" customWidth="1"/>
    <col min="10004" max="10004" width="6.125" style="93" customWidth="1"/>
    <col min="10005" max="10005" width="9.75" style="93" customWidth="1"/>
    <col min="10006" max="10006" width="1.375" style="93" customWidth="1"/>
    <col min="10007" max="10246" width="9" style="93"/>
    <col min="10247" max="10247" width="1.375" style="93" customWidth="1"/>
    <col min="10248" max="10248" width="3.5" style="93" customWidth="1"/>
    <col min="10249" max="10249" width="22.125" style="93" customWidth="1"/>
    <col min="10250" max="10250" width="9.75" style="93" customWidth="1"/>
    <col min="10251" max="10251" width="7.375" style="93" customWidth="1"/>
    <col min="10252" max="10252" width="9" style="93"/>
    <col min="10253" max="10253" width="9.25" style="93" customWidth="1"/>
    <col min="10254" max="10254" width="3.5" style="93" customWidth="1"/>
    <col min="10255" max="10256" width="12.625" style="93" customWidth="1"/>
    <col min="10257" max="10257" width="9" style="93"/>
    <col min="10258" max="10258" width="7.75" style="93" customWidth="1"/>
    <col min="10259" max="10259" width="13.125" style="93" customWidth="1"/>
    <col min="10260" max="10260" width="6.125" style="93" customWidth="1"/>
    <col min="10261" max="10261" width="9.75" style="93" customWidth="1"/>
    <col min="10262" max="10262" width="1.375" style="93" customWidth="1"/>
    <col min="10263" max="10502" width="9" style="93"/>
    <col min="10503" max="10503" width="1.375" style="93" customWidth="1"/>
    <col min="10504" max="10504" width="3.5" style="93" customWidth="1"/>
    <col min="10505" max="10505" width="22.125" style="93" customWidth="1"/>
    <col min="10506" max="10506" width="9.75" style="93" customWidth="1"/>
    <col min="10507" max="10507" width="7.375" style="93" customWidth="1"/>
    <col min="10508" max="10508" width="9" style="93"/>
    <col min="10509" max="10509" width="9.25" style="93" customWidth="1"/>
    <col min="10510" max="10510" width="3.5" style="93" customWidth="1"/>
    <col min="10511" max="10512" width="12.625" style="93" customWidth="1"/>
    <col min="10513" max="10513" width="9" style="93"/>
    <col min="10514" max="10514" width="7.75" style="93" customWidth="1"/>
    <col min="10515" max="10515" width="13.125" style="93" customWidth="1"/>
    <col min="10516" max="10516" width="6.125" style="93" customWidth="1"/>
    <col min="10517" max="10517" width="9.75" style="93" customWidth="1"/>
    <col min="10518" max="10518" width="1.375" style="93" customWidth="1"/>
    <col min="10519" max="10758" width="9" style="93"/>
    <col min="10759" max="10759" width="1.375" style="93" customWidth="1"/>
    <col min="10760" max="10760" width="3.5" style="93" customWidth="1"/>
    <col min="10761" max="10761" width="22.125" style="93" customWidth="1"/>
    <col min="10762" max="10762" width="9.75" style="93" customWidth="1"/>
    <col min="10763" max="10763" width="7.375" style="93" customWidth="1"/>
    <col min="10764" max="10764" width="9" style="93"/>
    <col min="10765" max="10765" width="9.25" style="93" customWidth="1"/>
    <col min="10766" max="10766" width="3.5" style="93" customWidth="1"/>
    <col min="10767" max="10768" width="12.625" style="93" customWidth="1"/>
    <col min="10769" max="10769" width="9" style="93"/>
    <col min="10770" max="10770" width="7.75" style="93" customWidth="1"/>
    <col min="10771" max="10771" width="13.125" style="93" customWidth="1"/>
    <col min="10772" max="10772" width="6.125" style="93" customWidth="1"/>
    <col min="10773" max="10773" width="9.75" style="93" customWidth="1"/>
    <col min="10774" max="10774" width="1.375" style="93" customWidth="1"/>
    <col min="10775" max="11014" width="9" style="93"/>
    <col min="11015" max="11015" width="1.375" style="93" customWidth="1"/>
    <col min="11016" max="11016" width="3.5" style="93" customWidth="1"/>
    <col min="11017" max="11017" width="22.125" style="93" customWidth="1"/>
    <col min="11018" max="11018" width="9.75" style="93" customWidth="1"/>
    <col min="11019" max="11019" width="7.375" style="93" customWidth="1"/>
    <col min="11020" max="11020" width="9" style="93"/>
    <col min="11021" max="11021" width="9.25" style="93" customWidth="1"/>
    <col min="11022" max="11022" width="3.5" style="93" customWidth="1"/>
    <col min="11023" max="11024" width="12.625" style="93" customWidth="1"/>
    <col min="11025" max="11025" width="9" style="93"/>
    <col min="11026" max="11026" width="7.75" style="93" customWidth="1"/>
    <col min="11027" max="11027" width="13.125" style="93" customWidth="1"/>
    <col min="11028" max="11028" width="6.125" style="93" customWidth="1"/>
    <col min="11029" max="11029" width="9.75" style="93" customWidth="1"/>
    <col min="11030" max="11030" width="1.375" style="93" customWidth="1"/>
    <col min="11031" max="11270" width="9" style="93"/>
    <col min="11271" max="11271" width="1.375" style="93" customWidth="1"/>
    <col min="11272" max="11272" width="3.5" style="93" customWidth="1"/>
    <col min="11273" max="11273" width="22.125" style="93" customWidth="1"/>
    <col min="11274" max="11274" width="9.75" style="93" customWidth="1"/>
    <col min="11275" max="11275" width="7.375" style="93" customWidth="1"/>
    <col min="11276" max="11276" width="9" style="93"/>
    <col min="11277" max="11277" width="9.25" style="93" customWidth="1"/>
    <col min="11278" max="11278" width="3.5" style="93" customWidth="1"/>
    <col min="11279" max="11280" width="12.625" style="93" customWidth="1"/>
    <col min="11281" max="11281" width="9" style="93"/>
    <col min="11282" max="11282" width="7.75" style="93" customWidth="1"/>
    <col min="11283" max="11283" width="13.125" style="93" customWidth="1"/>
    <col min="11284" max="11284" width="6.125" style="93" customWidth="1"/>
    <col min="11285" max="11285" width="9.75" style="93" customWidth="1"/>
    <col min="11286" max="11286" width="1.375" style="93" customWidth="1"/>
    <col min="11287" max="11526" width="9" style="93"/>
    <col min="11527" max="11527" width="1.375" style="93" customWidth="1"/>
    <col min="11528" max="11528" width="3.5" style="93" customWidth="1"/>
    <col min="11529" max="11529" width="22.125" style="93" customWidth="1"/>
    <col min="11530" max="11530" width="9.75" style="93" customWidth="1"/>
    <col min="11531" max="11531" width="7.375" style="93" customWidth="1"/>
    <col min="11532" max="11532" width="9" style="93"/>
    <col min="11533" max="11533" width="9.25" style="93" customWidth="1"/>
    <col min="11534" max="11534" width="3.5" style="93" customWidth="1"/>
    <col min="11535" max="11536" width="12.625" style="93" customWidth="1"/>
    <col min="11537" max="11537" width="9" style="93"/>
    <col min="11538" max="11538" width="7.75" style="93" customWidth="1"/>
    <col min="11539" max="11539" width="13.125" style="93" customWidth="1"/>
    <col min="11540" max="11540" width="6.125" style="93" customWidth="1"/>
    <col min="11541" max="11541" width="9.75" style="93" customWidth="1"/>
    <col min="11542" max="11542" width="1.375" style="93" customWidth="1"/>
    <col min="11543" max="11782" width="9" style="93"/>
    <col min="11783" max="11783" width="1.375" style="93" customWidth="1"/>
    <col min="11784" max="11784" width="3.5" style="93" customWidth="1"/>
    <col min="11785" max="11785" width="22.125" style="93" customWidth="1"/>
    <col min="11786" max="11786" width="9.75" style="93" customWidth="1"/>
    <col min="11787" max="11787" width="7.375" style="93" customWidth="1"/>
    <col min="11788" max="11788" width="9" style="93"/>
    <col min="11789" max="11789" width="9.25" style="93" customWidth="1"/>
    <col min="11790" max="11790" width="3.5" style="93" customWidth="1"/>
    <col min="11791" max="11792" width="12.625" style="93" customWidth="1"/>
    <col min="11793" max="11793" width="9" style="93"/>
    <col min="11794" max="11794" width="7.75" style="93" customWidth="1"/>
    <col min="11795" max="11795" width="13.125" style="93" customWidth="1"/>
    <col min="11796" max="11796" width="6.125" style="93" customWidth="1"/>
    <col min="11797" max="11797" width="9.75" style="93" customWidth="1"/>
    <col min="11798" max="11798" width="1.375" style="93" customWidth="1"/>
    <col min="11799" max="12038" width="9" style="93"/>
    <col min="12039" max="12039" width="1.375" style="93" customWidth="1"/>
    <col min="12040" max="12040" width="3.5" style="93" customWidth="1"/>
    <col min="12041" max="12041" width="22.125" style="93" customWidth="1"/>
    <col min="12042" max="12042" width="9.75" style="93" customWidth="1"/>
    <col min="12043" max="12043" width="7.375" style="93" customWidth="1"/>
    <col min="12044" max="12044" width="9" style="93"/>
    <col min="12045" max="12045" width="9.25" style="93" customWidth="1"/>
    <col min="12046" max="12046" width="3.5" style="93" customWidth="1"/>
    <col min="12047" max="12048" width="12.625" style="93" customWidth="1"/>
    <col min="12049" max="12049" width="9" style="93"/>
    <col min="12050" max="12050" width="7.75" style="93" customWidth="1"/>
    <col min="12051" max="12051" width="13.125" style="93" customWidth="1"/>
    <col min="12052" max="12052" width="6.125" style="93" customWidth="1"/>
    <col min="12053" max="12053" width="9.75" style="93" customWidth="1"/>
    <col min="12054" max="12054" width="1.375" style="93" customWidth="1"/>
    <col min="12055" max="12294" width="9" style="93"/>
    <col min="12295" max="12295" width="1.375" style="93" customWidth="1"/>
    <col min="12296" max="12296" width="3.5" style="93" customWidth="1"/>
    <col min="12297" max="12297" width="22.125" style="93" customWidth="1"/>
    <col min="12298" max="12298" width="9.75" style="93" customWidth="1"/>
    <col min="12299" max="12299" width="7.375" style="93" customWidth="1"/>
    <col min="12300" max="12300" width="9" style="93"/>
    <col min="12301" max="12301" width="9.25" style="93" customWidth="1"/>
    <col min="12302" max="12302" width="3.5" style="93" customWidth="1"/>
    <col min="12303" max="12304" width="12.625" style="93" customWidth="1"/>
    <col min="12305" max="12305" width="9" style="93"/>
    <col min="12306" max="12306" width="7.75" style="93" customWidth="1"/>
    <col min="12307" max="12307" width="13.125" style="93" customWidth="1"/>
    <col min="12308" max="12308" width="6.125" style="93" customWidth="1"/>
    <col min="12309" max="12309" width="9.75" style="93" customWidth="1"/>
    <col min="12310" max="12310" width="1.375" style="93" customWidth="1"/>
    <col min="12311" max="12550" width="9" style="93"/>
    <col min="12551" max="12551" width="1.375" style="93" customWidth="1"/>
    <col min="12552" max="12552" width="3.5" style="93" customWidth="1"/>
    <col min="12553" max="12553" width="22.125" style="93" customWidth="1"/>
    <col min="12554" max="12554" width="9.75" style="93" customWidth="1"/>
    <col min="12555" max="12555" width="7.375" style="93" customWidth="1"/>
    <col min="12556" max="12556" width="9" style="93"/>
    <col min="12557" max="12557" width="9.25" style="93" customWidth="1"/>
    <col min="12558" max="12558" width="3.5" style="93" customWidth="1"/>
    <col min="12559" max="12560" width="12.625" style="93" customWidth="1"/>
    <col min="12561" max="12561" width="9" style="93"/>
    <col min="12562" max="12562" width="7.75" style="93" customWidth="1"/>
    <col min="12563" max="12563" width="13.125" style="93" customWidth="1"/>
    <col min="12564" max="12564" width="6.125" style="93" customWidth="1"/>
    <col min="12565" max="12565" width="9.75" style="93" customWidth="1"/>
    <col min="12566" max="12566" width="1.375" style="93" customWidth="1"/>
    <col min="12567" max="12806" width="9" style="93"/>
    <col min="12807" max="12807" width="1.375" style="93" customWidth="1"/>
    <col min="12808" max="12808" width="3.5" style="93" customWidth="1"/>
    <col min="12809" max="12809" width="22.125" style="93" customWidth="1"/>
    <col min="12810" max="12810" width="9.75" style="93" customWidth="1"/>
    <col min="12811" max="12811" width="7.375" style="93" customWidth="1"/>
    <col min="12812" max="12812" width="9" style="93"/>
    <col min="12813" max="12813" width="9.25" style="93" customWidth="1"/>
    <col min="12814" max="12814" width="3.5" style="93" customWidth="1"/>
    <col min="12815" max="12816" width="12.625" style="93" customWidth="1"/>
    <col min="12817" max="12817" width="9" style="93"/>
    <col min="12818" max="12818" width="7.75" style="93" customWidth="1"/>
    <col min="12819" max="12819" width="13.125" style="93" customWidth="1"/>
    <col min="12820" max="12820" width="6.125" style="93" customWidth="1"/>
    <col min="12821" max="12821" width="9.75" style="93" customWidth="1"/>
    <col min="12822" max="12822" width="1.375" style="93" customWidth="1"/>
    <col min="12823" max="13062" width="9" style="93"/>
    <col min="13063" max="13063" width="1.375" style="93" customWidth="1"/>
    <col min="13064" max="13064" width="3.5" style="93" customWidth="1"/>
    <col min="13065" max="13065" width="22.125" style="93" customWidth="1"/>
    <col min="13066" max="13066" width="9.75" style="93" customWidth="1"/>
    <col min="13067" max="13067" width="7.375" style="93" customWidth="1"/>
    <col min="13068" max="13068" width="9" style="93"/>
    <col min="13069" max="13069" width="9.25" style="93" customWidth="1"/>
    <col min="13070" max="13070" width="3.5" style="93" customWidth="1"/>
    <col min="13071" max="13072" width="12.625" style="93" customWidth="1"/>
    <col min="13073" max="13073" width="9" style="93"/>
    <col min="13074" max="13074" width="7.75" style="93" customWidth="1"/>
    <col min="13075" max="13075" width="13.125" style="93" customWidth="1"/>
    <col min="13076" max="13076" width="6.125" style="93" customWidth="1"/>
    <col min="13077" max="13077" width="9.75" style="93" customWidth="1"/>
    <col min="13078" max="13078" width="1.375" style="93" customWidth="1"/>
    <col min="13079" max="13318" width="9" style="93"/>
    <col min="13319" max="13319" width="1.375" style="93" customWidth="1"/>
    <col min="13320" max="13320" width="3.5" style="93" customWidth="1"/>
    <col min="13321" max="13321" width="22.125" style="93" customWidth="1"/>
    <col min="13322" max="13322" width="9.75" style="93" customWidth="1"/>
    <col min="13323" max="13323" width="7.375" style="93" customWidth="1"/>
    <col min="13324" max="13324" width="9" style="93"/>
    <col min="13325" max="13325" width="9.25" style="93" customWidth="1"/>
    <col min="13326" max="13326" width="3.5" style="93" customWidth="1"/>
    <col min="13327" max="13328" width="12.625" style="93" customWidth="1"/>
    <col min="13329" max="13329" width="9" style="93"/>
    <col min="13330" max="13330" width="7.75" style="93" customWidth="1"/>
    <col min="13331" max="13331" width="13.125" style="93" customWidth="1"/>
    <col min="13332" max="13332" width="6.125" style="93" customWidth="1"/>
    <col min="13333" max="13333" width="9.75" style="93" customWidth="1"/>
    <col min="13334" max="13334" width="1.375" style="93" customWidth="1"/>
    <col min="13335" max="13574" width="9" style="93"/>
    <col min="13575" max="13575" width="1.375" style="93" customWidth="1"/>
    <col min="13576" max="13576" width="3.5" style="93" customWidth="1"/>
    <col min="13577" max="13577" width="22.125" style="93" customWidth="1"/>
    <col min="13578" max="13578" width="9.75" style="93" customWidth="1"/>
    <col min="13579" max="13579" width="7.375" style="93" customWidth="1"/>
    <col min="13580" max="13580" width="9" style="93"/>
    <col min="13581" max="13581" width="9.25" style="93" customWidth="1"/>
    <col min="13582" max="13582" width="3.5" style="93" customWidth="1"/>
    <col min="13583" max="13584" width="12.625" style="93" customWidth="1"/>
    <col min="13585" max="13585" width="9" style="93"/>
    <col min="13586" max="13586" width="7.75" style="93" customWidth="1"/>
    <col min="13587" max="13587" width="13.125" style="93" customWidth="1"/>
    <col min="13588" max="13588" width="6.125" style="93" customWidth="1"/>
    <col min="13589" max="13589" width="9.75" style="93" customWidth="1"/>
    <col min="13590" max="13590" width="1.375" style="93" customWidth="1"/>
    <col min="13591" max="13830" width="9" style="93"/>
    <col min="13831" max="13831" width="1.375" style="93" customWidth="1"/>
    <col min="13832" max="13832" width="3.5" style="93" customWidth="1"/>
    <col min="13833" max="13833" width="22.125" style="93" customWidth="1"/>
    <col min="13834" max="13834" width="9.75" style="93" customWidth="1"/>
    <col min="13835" max="13835" width="7.375" style="93" customWidth="1"/>
    <col min="13836" max="13836" width="9" style="93"/>
    <col min="13837" max="13837" width="9.25" style="93" customWidth="1"/>
    <col min="13838" max="13838" width="3.5" style="93" customWidth="1"/>
    <col min="13839" max="13840" width="12.625" style="93" customWidth="1"/>
    <col min="13841" max="13841" width="9" style="93"/>
    <col min="13842" max="13842" width="7.75" style="93" customWidth="1"/>
    <col min="13843" max="13843" width="13.125" style="93" customWidth="1"/>
    <col min="13844" max="13844" width="6.125" style="93" customWidth="1"/>
    <col min="13845" max="13845" width="9.75" style="93" customWidth="1"/>
    <col min="13846" max="13846" width="1.375" style="93" customWidth="1"/>
    <col min="13847" max="14086" width="9" style="93"/>
    <col min="14087" max="14087" width="1.375" style="93" customWidth="1"/>
    <col min="14088" max="14088" width="3.5" style="93" customWidth="1"/>
    <col min="14089" max="14089" width="22.125" style="93" customWidth="1"/>
    <col min="14090" max="14090" width="9.75" style="93" customWidth="1"/>
    <col min="14091" max="14091" width="7.375" style="93" customWidth="1"/>
    <col min="14092" max="14092" width="9" style="93"/>
    <col min="14093" max="14093" width="9.25" style="93" customWidth="1"/>
    <col min="14094" max="14094" width="3.5" style="93" customWidth="1"/>
    <col min="14095" max="14096" width="12.625" style="93" customWidth="1"/>
    <col min="14097" max="14097" width="9" style="93"/>
    <col min="14098" max="14098" width="7.75" style="93" customWidth="1"/>
    <col min="14099" max="14099" width="13.125" style="93" customWidth="1"/>
    <col min="14100" max="14100" width="6.125" style="93" customWidth="1"/>
    <col min="14101" max="14101" width="9.75" style="93" customWidth="1"/>
    <col min="14102" max="14102" width="1.375" style="93" customWidth="1"/>
    <col min="14103" max="14342" width="9" style="93"/>
    <col min="14343" max="14343" width="1.375" style="93" customWidth="1"/>
    <col min="14344" max="14344" width="3.5" style="93" customWidth="1"/>
    <col min="14345" max="14345" width="22.125" style="93" customWidth="1"/>
    <col min="14346" max="14346" width="9.75" style="93" customWidth="1"/>
    <col min="14347" max="14347" width="7.375" style="93" customWidth="1"/>
    <col min="14348" max="14348" width="9" style="93"/>
    <col min="14349" max="14349" width="9.25" style="93" customWidth="1"/>
    <col min="14350" max="14350" width="3.5" style="93" customWidth="1"/>
    <col min="14351" max="14352" width="12.625" style="93" customWidth="1"/>
    <col min="14353" max="14353" width="9" style="93"/>
    <col min="14354" max="14354" width="7.75" style="93" customWidth="1"/>
    <col min="14355" max="14355" width="13.125" style="93" customWidth="1"/>
    <col min="14356" max="14356" width="6.125" style="93" customWidth="1"/>
    <col min="14357" max="14357" width="9.75" style="93" customWidth="1"/>
    <col min="14358" max="14358" width="1.375" style="93" customWidth="1"/>
    <col min="14359" max="14598" width="9" style="93"/>
    <col min="14599" max="14599" width="1.375" style="93" customWidth="1"/>
    <col min="14600" max="14600" width="3.5" style="93" customWidth="1"/>
    <col min="14601" max="14601" width="22.125" style="93" customWidth="1"/>
    <col min="14602" max="14602" width="9.75" style="93" customWidth="1"/>
    <col min="14603" max="14603" width="7.375" style="93" customWidth="1"/>
    <col min="14604" max="14604" width="9" style="93"/>
    <col min="14605" max="14605" width="9.25" style="93" customWidth="1"/>
    <col min="14606" max="14606" width="3.5" style="93" customWidth="1"/>
    <col min="14607" max="14608" width="12.625" style="93" customWidth="1"/>
    <col min="14609" max="14609" width="9" style="93"/>
    <col min="14610" max="14610" width="7.75" style="93" customWidth="1"/>
    <col min="14611" max="14611" width="13.125" style="93" customWidth="1"/>
    <col min="14612" max="14612" width="6.125" style="93" customWidth="1"/>
    <col min="14613" max="14613" width="9.75" style="93" customWidth="1"/>
    <col min="14614" max="14614" width="1.375" style="93" customWidth="1"/>
    <col min="14615" max="14854" width="9" style="93"/>
    <col min="14855" max="14855" width="1.375" style="93" customWidth="1"/>
    <col min="14856" max="14856" width="3.5" style="93" customWidth="1"/>
    <col min="14857" max="14857" width="22.125" style="93" customWidth="1"/>
    <col min="14858" max="14858" width="9.75" style="93" customWidth="1"/>
    <col min="14859" max="14859" width="7.375" style="93" customWidth="1"/>
    <col min="14860" max="14860" width="9" style="93"/>
    <col min="14861" max="14861" width="9.25" style="93" customWidth="1"/>
    <col min="14862" max="14862" width="3.5" style="93" customWidth="1"/>
    <col min="14863" max="14864" width="12.625" style="93" customWidth="1"/>
    <col min="14865" max="14865" width="9" style="93"/>
    <col min="14866" max="14866" width="7.75" style="93" customWidth="1"/>
    <col min="14867" max="14867" width="13.125" style="93" customWidth="1"/>
    <col min="14868" max="14868" width="6.125" style="93" customWidth="1"/>
    <col min="14869" max="14869" width="9.75" style="93" customWidth="1"/>
    <col min="14870" max="14870" width="1.375" style="93" customWidth="1"/>
    <col min="14871" max="15110" width="9" style="93"/>
    <col min="15111" max="15111" width="1.375" style="93" customWidth="1"/>
    <col min="15112" max="15112" width="3.5" style="93" customWidth="1"/>
    <col min="15113" max="15113" width="22.125" style="93" customWidth="1"/>
    <col min="15114" max="15114" width="9.75" style="93" customWidth="1"/>
    <col min="15115" max="15115" width="7.375" style="93" customWidth="1"/>
    <col min="15116" max="15116" width="9" style="93"/>
    <col min="15117" max="15117" width="9.25" style="93" customWidth="1"/>
    <col min="15118" max="15118" width="3.5" style="93" customWidth="1"/>
    <col min="15119" max="15120" width="12.625" style="93" customWidth="1"/>
    <col min="15121" max="15121" width="9" style="93"/>
    <col min="15122" max="15122" width="7.75" style="93" customWidth="1"/>
    <col min="15123" max="15123" width="13.125" style="93" customWidth="1"/>
    <col min="15124" max="15124" width="6.125" style="93" customWidth="1"/>
    <col min="15125" max="15125" width="9.75" style="93" customWidth="1"/>
    <col min="15126" max="15126" width="1.375" style="93" customWidth="1"/>
    <col min="15127" max="15366" width="9" style="93"/>
    <col min="15367" max="15367" width="1.375" style="93" customWidth="1"/>
    <col min="15368" max="15368" width="3.5" style="93" customWidth="1"/>
    <col min="15369" max="15369" width="22.125" style="93" customWidth="1"/>
    <col min="15370" max="15370" width="9.75" style="93" customWidth="1"/>
    <col min="15371" max="15371" width="7.375" style="93" customWidth="1"/>
    <col min="15372" max="15372" width="9" style="93"/>
    <col min="15373" max="15373" width="9.25" style="93" customWidth="1"/>
    <col min="15374" max="15374" width="3.5" style="93" customWidth="1"/>
    <col min="15375" max="15376" width="12.625" style="93" customWidth="1"/>
    <col min="15377" max="15377" width="9" style="93"/>
    <col min="15378" max="15378" width="7.75" style="93" customWidth="1"/>
    <col min="15379" max="15379" width="13.125" style="93" customWidth="1"/>
    <col min="15380" max="15380" width="6.125" style="93" customWidth="1"/>
    <col min="15381" max="15381" width="9.75" style="93" customWidth="1"/>
    <col min="15382" max="15382" width="1.375" style="93" customWidth="1"/>
    <col min="15383" max="15622" width="9" style="93"/>
    <col min="15623" max="15623" width="1.375" style="93" customWidth="1"/>
    <col min="15624" max="15624" width="3.5" style="93" customWidth="1"/>
    <col min="15625" max="15625" width="22.125" style="93" customWidth="1"/>
    <col min="15626" max="15626" width="9.75" style="93" customWidth="1"/>
    <col min="15627" max="15627" width="7.375" style="93" customWidth="1"/>
    <col min="15628" max="15628" width="9" style="93"/>
    <col min="15629" max="15629" width="9.25" style="93" customWidth="1"/>
    <col min="15630" max="15630" width="3.5" style="93" customWidth="1"/>
    <col min="15631" max="15632" width="12.625" style="93" customWidth="1"/>
    <col min="15633" max="15633" width="9" style="93"/>
    <col min="15634" max="15634" width="7.75" style="93" customWidth="1"/>
    <col min="15635" max="15635" width="13.125" style="93" customWidth="1"/>
    <col min="15636" max="15636" width="6.125" style="93" customWidth="1"/>
    <col min="15637" max="15637" width="9.75" style="93" customWidth="1"/>
    <col min="15638" max="15638" width="1.375" style="93" customWidth="1"/>
    <col min="15639" max="15878" width="9" style="93"/>
    <col min="15879" max="15879" width="1.375" style="93" customWidth="1"/>
    <col min="15880" max="15880" width="3.5" style="93" customWidth="1"/>
    <col min="15881" max="15881" width="22.125" style="93" customWidth="1"/>
    <col min="15882" max="15882" width="9.75" style="93" customWidth="1"/>
    <col min="15883" max="15883" width="7.375" style="93" customWidth="1"/>
    <col min="15884" max="15884" width="9" style="93"/>
    <col min="15885" max="15885" width="9.25" style="93" customWidth="1"/>
    <col min="15886" max="15886" width="3.5" style="93" customWidth="1"/>
    <col min="15887" max="15888" width="12.625" style="93" customWidth="1"/>
    <col min="15889" max="15889" width="9" style="93"/>
    <col min="15890" max="15890" width="7.75" style="93" customWidth="1"/>
    <col min="15891" max="15891" width="13.125" style="93" customWidth="1"/>
    <col min="15892" max="15892" width="6.125" style="93" customWidth="1"/>
    <col min="15893" max="15893" width="9.75" style="93" customWidth="1"/>
    <col min="15894" max="15894" width="1.375" style="93" customWidth="1"/>
    <col min="15895" max="16134" width="9" style="93"/>
    <col min="16135" max="16135" width="1.375" style="93" customWidth="1"/>
    <col min="16136" max="16136" width="3.5" style="93" customWidth="1"/>
    <col min="16137" max="16137" width="22.125" style="93" customWidth="1"/>
    <col min="16138" max="16138" width="9.75" style="93" customWidth="1"/>
    <col min="16139" max="16139" width="7.375" style="93" customWidth="1"/>
    <col min="16140" max="16140" width="9" style="93"/>
    <col min="16141" max="16141" width="9.25" style="93" customWidth="1"/>
    <col min="16142" max="16142" width="3.5" style="93" customWidth="1"/>
    <col min="16143" max="16144" width="12.625" style="93" customWidth="1"/>
    <col min="16145" max="16145" width="9" style="93"/>
    <col min="16146" max="16146" width="7.75" style="93" customWidth="1"/>
    <col min="16147" max="16147" width="13.125" style="93" customWidth="1"/>
    <col min="16148" max="16148" width="6.125" style="93" customWidth="1"/>
    <col min="16149" max="16149" width="9.75" style="93" customWidth="1"/>
    <col min="16150" max="16150" width="1.375" style="93" customWidth="1"/>
    <col min="16151" max="16384" width="9" style="93"/>
  </cols>
  <sheetData>
    <row r="1" spans="2:26" ht="9.9499999999999993" customHeight="1" x14ac:dyDescent="0.15"/>
    <row r="2" spans="2:26" ht="24.95" customHeight="1" x14ac:dyDescent="0.15">
      <c r="B2" s="1" t="s">
        <v>556</v>
      </c>
      <c r="C2" s="95"/>
      <c r="D2" s="13"/>
      <c r="E2" s="13"/>
      <c r="F2" s="95"/>
      <c r="G2" s="162"/>
      <c r="H2" s="172"/>
      <c r="I2" s="162"/>
      <c r="J2" s="162"/>
      <c r="K2" s="162"/>
      <c r="L2" s="162"/>
      <c r="M2" s="162"/>
      <c r="N2" s="162"/>
      <c r="O2" s="13"/>
    </row>
    <row r="3" spans="2:26" ht="15" customHeight="1" thickBot="1" x14ac:dyDescent="0.2">
      <c r="B3" s="93" t="s">
        <v>223</v>
      </c>
      <c r="I3" s="13" t="s">
        <v>224</v>
      </c>
      <c r="P3" s="93" t="s">
        <v>249</v>
      </c>
    </row>
    <row r="4" spans="2:26" ht="15" customHeight="1" x14ac:dyDescent="0.15">
      <c r="B4" s="337" t="s">
        <v>74</v>
      </c>
      <c r="C4" s="211" t="s">
        <v>176</v>
      </c>
      <c r="D4" s="211" t="s">
        <v>134</v>
      </c>
      <c r="E4" s="211" t="s">
        <v>135</v>
      </c>
      <c r="F4" s="211" t="s">
        <v>23</v>
      </c>
      <c r="G4" s="199" t="s">
        <v>136</v>
      </c>
      <c r="H4" s="212"/>
      <c r="I4" s="1118" t="s">
        <v>74</v>
      </c>
      <c r="J4" s="1114" t="s">
        <v>180</v>
      </c>
      <c r="K4" s="217" t="s">
        <v>177</v>
      </c>
      <c r="L4" s="217" t="s">
        <v>137</v>
      </c>
      <c r="M4" s="1114" t="s">
        <v>23</v>
      </c>
      <c r="N4" s="1116" t="s">
        <v>136</v>
      </c>
      <c r="O4" s="239"/>
      <c r="P4" s="338" t="s">
        <v>183</v>
      </c>
      <c r="Q4" s="339" t="s">
        <v>184</v>
      </c>
      <c r="R4" s="339" t="s">
        <v>185</v>
      </c>
      <c r="S4" s="339" t="s">
        <v>186</v>
      </c>
      <c r="T4" s="1120" t="s">
        <v>187</v>
      </c>
      <c r="U4" s="1057"/>
      <c r="V4" s="340" t="s">
        <v>188</v>
      </c>
      <c r="W4" s="93" t="s">
        <v>342</v>
      </c>
      <c r="X4" s="93" t="s">
        <v>343</v>
      </c>
    </row>
    <row r="5" spans="2:26" ht="15" customHeight="1" x14ac:dyDescent="0.15">
      <c r="B5" s="987" t="s">
        <v>170</v>
      </c>
      <c r="C5" s="92" t="str">
        <f>+肥料算出基礎!A4</f>
        <v>樹皮堆肥</v>
      </c>
      <c r="D5" s="92">
        <f>+肥料算出基礎!C4*10/1000</f>
        <v>30</v>
      </c>
      <c r="E5" s="103" t="s">
        <v>557</v>
      </c>
      <c r="F5" s="92">
        <f>+肥料算出基礎!K4/肥料算出基礎!J4*1000</f>
        <v>22160</v>
      </c>
      <c r="G5" s="200">
        <f t="shared" ref="G5:G6" si="0">D5*F5</f>
        <v>664800</v>
      </c>
      <c r="H5" s="213"/>
      <c r="I5" s="1119"/>
      <c r="J5" s="1115"/>
      <c r="K5" s="219" t="s">
        <v>139</v>
      </c>
      <c r="L5" s="393" t="s">
        <v>284</v>
      </c>
      <c r="M5" s="1115"/>
      <c r="N5" s="1117"/>
      <c r="O5" s="239"/>
      <c r="P5" s="341" t="s">
        <v>347</v>
      </c>
      <c r="Q5" s="197">
        <v>30</v>
      </c>
      <c r="R5" s="233" t="s">
        <v>352</v>
      </c>
      <c r="S5" s="197">
        <f>ROUNDDOWN(W5*1.1,-1)</f>
        <v>2290</v>
      </c>
      <c r="T5" s="1112">
        <v>5</v>
      </c>
      <c r="U5" s="1113"/>
      <c r="V5" s="228">
        <f>Q5*S5/T5</f>
        <v>13740</v>
      </c>
      <c r="W5" s="93">
        <v>2088</v>
      </c>
      <c r="X5" s="93">
        <v>500</v>
      </c>
      <c r="Y5" s="93" t="s">
        <v>54</v>
      </c>
    </row>
    <row r="6" spans="2:26" ht="15" customHeight="1" x14ac:dyDescent="0.15">
      <c r="B6" s="988"/>
      <c r="C6" s="92"/>
      <c r="D6" s="92"/>
      <c r="E6" s="103"/>
      <c r="F6" s="92"/>
      <c r="G6" s="201">
        <f t="shared" si="0"/>
        <v>0</v>
      </c>
      <c r="H6" s="213"/>
      <c r="I6" s="1089" t="s">
        <v>179</v>
      </c>
      <c r="J6" s="92" t="s">
        <v>558</v>
      </c>
      <c r="K6" s="220">
        <v>54</v>
      </c>
      <c r="L6" s="220">
        <v>6</v>
      </c>
      <c r="M6" s="220">
        <v>123.2</v>
      </c>
      <c r="N6" s="201">
        <f>K6*L6*M6</f>
        <v>39916.800000000003</v>
      </c>
      <c r="O6" s="239"/>
      <c r="P6" s="341" t="s">
        <v>601</v>
      </c>
      <c r="Q6" s="579">
        <v>10</v>
      </c>
      <c r="R6" s="578" t="s">
        <v>352</v>
      </c>
      <c r="S6" s="197">
        <f>+W6</f>
        <v>207100</v>
      </c>
      <c r="T6" s="1112">
        <v>2</v>
      </c>
      <c r="U6" s="1113"/>
      <c r="V6" s="228">
        <f t="shared" ref="V6:V9" si="1">Q6*S6/T6</f>
        <v>1035500</v>
      </c>
      <c r="W6" s="93">
        <v>207100</v>
      </c>
      <c r="X6" s="93">
        <v>1900</v>
      </c>
      <c r="Y6" s="93" t="s">
        <v>600</v>
      </c>
      <c r="Z6" s="93" t="s">
        <v>603</v>
      </c>
    </row>
    <row r="7" spans="2:26" ht="15" customHeight="1" thickBot="1" x14ac:dyDescent="0.2">
      <c r="B7" s="1085"/>
      <c r="C7" s="202" t="s">
        <v>140</v>
      </c>
      <c r="D7" s="202"/>
      <c r="E7" s="202"/>
      <c r="F7" s="202"/>
      <c r="G7" s="203">
        <f>SUM(G5:G6)</f>
        <v>664800</v>
      </c>
      <c r="H7" s="213"/>
      <c r="I7" s="988"/>
      <c r="J7" s="92" t="s">
        <v>559</v>
      </c>
      <c r="K7" s="220">
        <v>6</v>
      </c>
      <c r="L7" s="220">
        <v>3</v>
      </c>
      <c r="M7" s="220">
        <v>123.2</v>
      </c>
      <c r="N7" s="201">
        <f t="shared" ref="N7:N9" si="2">K7*L7*M7</f>
        <v>2217.6</v>
      </c>
      <c r="O7" s="239"/>
      <c r="P7" s="341" t="s">
        <v>602</v>
      </c>
      <c r="Q7" s="579">
        <v>10</v>
      </c>
      <c r="R7" s="578" t="s">
        <v>352</v>
      </c>
      <c r="S7" s="197">
        <f>+W7</f>
        <v>172900</v>
      </c>
      <c r="T7" s="1112">
        <v>2</v>
      </c>
      <c r="U7" s="1113"/>
      <c r="V7" s="228">
        <f t="shared" si="1"/>
        <v>864500</v>
      </c>
      <c r="W7" s="93">
        <v>172900</v>
      </c>
      <c r="X7" s="93">
        <v>1900</v>
      </c>
      <c r="Y7" s="93" t="s">
        <v>600</v>
      </c>
      <c r="Z7" s="93" t="s">
        <v>604</v>
      </c>
    </row>
    <row r="8" spans="2:26" ht="15" customHeight="1" thickTop="1" x14ac:dyDescent="0.15">
      <c r="B8" s="1084" t="s">
        <v>167</v>
      </c>
      <c r="C8" s="92" t="str">
        <f>+肥料算出基礎!A7</f>
        <v>苦土セルカ2号（粉）</v>
      </c>
      <c r="D8" s="133">
        <f>+肥料算出基礎!C5*10/肥料算出基礎!J5</f>
        <v>7.5</v>
      </c>
      <c r="E8" s="103" t="s">
        <v>138</v>
      </c>
      <c r="F8" s="92">
        <f>+肥料算出基礎!K5</f>
        <v>3200</v>
      </c>
      <c r="G8" s="201">
        <f>D8*F8</f>
        <v>24000</v>
      </c>
      <c r="H8" s="213"/>
      <c r="I8" s="988"/>
      <c r="J8" s="92" t="s">
        <v>560</v>
      </c>
      <c r="K8" s="220">
        <v>6</v>
      </c>
      <c r="L8" s="220">
        <v>3</v>
      </c>
      <c r="M8" s="220">
        <v>123.2</v>
      </c>
      <c r="N8" s="201">
        <f t="shared" si="2"/>
        <v>2217.6</v>
      </c>
      <c r="O8" s="239"/>
      <c r="P8" s="341" t="s">
        <v>350</v>
      </c>
      <c r="Q8" s="197">
        <v>3</v>
      </c>
      <c r="R8" s="233" t="s">
        <v>341</v>
      </c>
      <c r="S8" s="197">
        <f t="shared" ref="S8:S9" si="3">ROUNDDOWN(W8*1.1,-1)</f>
        <v>1180</v>
      </c>
      <c r="T8" s="1112">
        <v>1</v>
      </c>
      <c r="U8" s="1113"/>
      <c r="V8" s="228">
        <f t="shared" si="1"/>
        <v>3540</v>
      </c>
      <c r="W8" s="93">
        <v>1080</v>
      </c>
      <c r="X8" s="93">
        <v>10</v>
      </c>
      <c r="Y8" s="93" t="s">
        <v>345</v>
      </c>
    </row>
    <row r="9" spans="2:26" ht="15" customHeight="1" x14ac:dyDescent="0.15">
      <c r="B9" s="988"/>
      <c r="C9" s="92" t="str">
        <f>+肥料算出基礎!A8</f>
        <v>FTE199</v>
      </c>
      <c r="D9" s="92">
        <f>+肥料算出基礎!C8*10/肥料算出基礎!J8</f>
        <v>20</v>
      </c>
      <c r="E9" s="103" t="s">
        <v>138</v>
      </c>
      <c r="F9" s="92">
        <f>+肥料算出基礎!K8</f>
        <v>730</v>
      </c>
      <c r="G9" s="201">
        <f>D9*F9</f>
        <v>14600</v>
      </c>
      <c r="H9" s="213"/>
      <c r="I9" s="988"/>
      <c r="J9" s="92"/>
      <c r="K9" s="220"/>
      <c r="L9" s="220"/>
      <c r="M9" s="220"/>
      <c r="N9" s="201">
        <f t="shared" si="2"/>
        <v>0</v>
      </c>
      <c r="O9" s="239"/>
      <c r="P9" s="341" t="s">
        <v>351</v>
      </c>
      <c r="Q9" s="197">
        <v>333</v>
      </c>
      <c r="R9" s="233" t="s">
        <v>341</v>
      </c>
      <c r="S9" s="197">
        <f t="shared" si="3"/>
        <v>370</v>
      </c>
      <c r="T9" s="1112">
        <v>1</v>
      </c>
      <c r="U9" s="1113"/>
      <c r="V9" s="228">
        <f t="shared" si="1"/>
        <v>123210</v>
      </c>
      <c r="W9" s="93">
        <v>337</v>
      </c>
      <c r="X9" s="93">
        <v>100</v>
      </c>
      <c r="Y9" s="93" t="s">
        <v>346</v>
      </c>
    </row>
    <row r="10" spans="2:26" ht="15" customHeight="1" x14ac:dyDescent="0.15">
      <c r="B10" s="988"/>
      <c r="C10" s="556" t="str">
        <f>+肥料算出基礎!A10</f>
        <v>粒状チャンスＳ</v>
      </c>
      <c r="D10" s="556">
        <f>+肥料算出基礎!C10*10/肥料算出基礎!J10</f>
        <v>20</v>
      </c>
      <c r="E10" s="571" t="s">
        <v>138</v>
      </c>
      <c r="F10" s="556">
        <f>+肥料算出基礎!K10</f>
        <v>4930</v>
      </c>
      <c r="G10" s="557">
        <f>D10*F10</f>
        <v>98600</v>
      </c>
      <c r="H10" s="213"/>
      <c r="I10" s="988"/>
      <c r="J10" s="558"/>
      <c r="K10" s="559"/>
      <c r="L10" s="559"/>
      <c r="M10" s="559"/>
      <c r="N10" s="560"/>
      <c r="O10" s="239"/>
      <c r="P10" s="341" t="s">
        <v>588</v>
      </c>
      <c r="Q10" s="197">
        <v>17.3</v>
      </c>
      <c r="R10" s="578" t="s">
        <v>352</v>
      </c>
      <c r="S10" s="197">
        <f t="shared" ref="S10" si="4">ROUNDDOWN(W10*1.1,-1)</f>
        <v>6220</v>
      </c>
      <c r="T10" s="1112">
        <v>5</v>
      </c>
      <c r="U10" s="1113"/>
      <c r="V10" s="228">
        <f t="shared" ref="V10" si="5">Q10*S10/T10</f>
        <v>21521.200000000001</v>
      </c>
      <c r="W10" s="93">
        <v>5657</v>
      </c>
      <c r="X10" s="93" t="s">
        <v>589</v>
      </c>
    </row>
    <row r="11" spans="2:26" ht="15" customHeight="1" thickBot="1" x14ac:dyDescent="0.2">
      <c r="B11" s="988"/>
      <c r="C11" s="92" t="str">
        <f>+肥料算出基礎!A9</f>
        <v>シンボル</v>
      </c>
      <c r="D11" s="92">
        <f>+肥料算出基礎!C9*10/肥料算出基礎!J9</f>
        <v>20</v>
      </c>
      <c r="E11" s="103" t="s">
        <v>138</v>
      </c>
      <c r="F11" s="92">
        <f>+肥料算出基礎!K9</f>
        <v>4410</v>
      </c>
      <c r="G11" s="201">
        <f>D11*F11</f>
        <v>88200</v>
      </c>
      <c r="H11" s="213"/>
      <c r="I11" s="1085"/>
      <c r="J11" s="342" t="s">
        <v>253</v>
      </c>
      <c r="K11" s="221">
        <f t="shared" ref="K11:L11" si="6">SUM(K6:K9)</f>
        <v>66</v>
      </c>
      <c r="L11" s="221">
        <f t="shared" si="6"/>
        <v>12</v>
      </c>
      <c r="M11" s="221"/>
      <c r="N11" s="216">
        <f>SUM(N6:N9)</f>
        <v>44352</v>
      </c>
      <c r="O11" s="239"/>
      <c r="P11" s="341"/>
      <c r="Q11" s="197"/>
      <c r="R11" s="233"/>
      <c r="S11" s="197"/>
      <c r="T11" s="1112"/>
      <c r="U11" s="1113"/>
      <c r="V11" s="228"/>
    </row>
    <row r="12" spans="2:26" ht="15" customHeight="1" thickTop="1" thickBot="1" x14ac:dyDescent="0.2">
      <c r="B12" s="1085"/>
      <c r="C12" s="204" t="s">
        <v>141</v>
      </c>
      <c r="D12" s="205"/>
      <c r="E12" s="205"/>
      <c r="F12" s="205"/>
      <c r="G12" s="206">
        <f>SUM(G8:G11)</f>
        <v>225400</v>
      </c>
      <c r="H12" s="213"/>
      <c r="I12" s="1084" t="s">
        <v>254</v>
      </c>
      <c r="J12" s="92" t="s">
        <v>440</v>
      </c>
      <c r="K12" s="220">
        <v>25</v>
      </c>
      <c r="L12" s="220">
        <v>1</v>
      </c>
      <c r="M12" s="220">
        <v>169.9</v>
      </c>
      <c r="N12" s="201">
        <f>K12*L12*M12</f>
        <v>4247.5</v>
      </c>
      <c r="O12" s="239"/>
      <c r="P12" s="341"/>
      <c r="Q12" s="197"/>
      <c r="R12" s="233"/>
      <c r="S12" s="197"/>
      <c r="T12" s="1112"/>
      <c r="U12" s="1113"/>
      <c r="V12" s="228"/>
    </row>
    <row r="13" spans="2:26" ht="15" customHeight="1" thickTop="1" x14ac:dyDescent="0.15">
      <c r="B13" s="1084" t="s">
        <v>168</v>
      </c>
      <c r="C13" s="92" t="str">
        <f>+肥料算出基礎!A5</f>
        <v>硝酸入り化成肥料S604</v>
      </c>
      <c r="D13" s="92">
        <f>+肥料算出基礎!C5*10/肥料算出基礎!J5</f>
        <v>7.5</v>
      </c>
      <c r="E13" s="103" t="s">
        <v>138</v>
      </c>
      <c r="F13" s="92">
        <f>+肥料算出基礎!K5</f>
        <v>3200</v>
      </c>
      <c r="G13" s="201">
        <f>D13*F13</f>
        <v>24000</v>
      </c>
      <c r="H13" s="213"/>
      <c r="I13" s="988"/>
      <c r="J13" s="92" t="s">
        <v>441</v>
      </c>
      <c r="K13" s="220">
        <v>10</v>
      </c>
      <c r="L13" s="220">
        <v>1</v>
      </c>
      <c r="M13" s="220">
        <v>169.9</v>
      </c>
      <c r="N13" s="201">
        <f t="shared" ref="N13:N15" si="7">K13*L13*M13</f>
        <v>1699</v>
      </c>
      <c r="O13" s="239"/>
      <c r="P13" s="341"/>
      <c r="Q13" s="197"/>
      <c r="R13" s="233"/>
      <c r="S13" s="197"/>
      <c r="T13" s="1112"/>
      <c r="U13" s="1113"/>
      <c r="V13" s="228"/>
    </row>
    <row r="14" spans="2:26" ht="15" customHeight="1" x14ac:dyDescent="0.15">
      <c r="B14" s="988"/>
      <c r="C14" s="92" t="str">
        <f>+肥料算出基礎!A6</f>
        <v>ぶどう複合</v>
      </c>
      <c r="D14" s="92">
        <f>+肥料算出基礎!C6*10/肥料算出基礎!J6</f>
        <v>20</v>
      </c>
      <c r="E14" s="103" t="s">
        <v>138</v>
      </c>
      <c r="F14" s="92">
        <f>+肥料算出基礎!K6</f>
        <v>2880</v>
      </c>
      <c r="G14" s="201">
        <f>D14*F14</f>
        <v>57600</v>
      </c>
      <c r="H14" s="213"/>
      <c r="I14" s="988"/>
      <c r="J14" s="92" t="s">
        <v>442</v>
      </c>
      <c r="K14" s="220">
        <v>5</v>
      </c>
      <c r="L14" s="220">
        <v>1</v>
      </c>
      <c r="M14" s="220">
        <v>169.9</v>
      </c>
      <c r="N14" s="201">
        <f t="shared" si="7"/>
        <v>849.5</v>
      </c>
      <c r="O14" s="239"/>
      <c r="P14" s="341"/>
      <c r="Q14" s="197"/>
      <c r="R14" s="233"/>
      <c r="S14" s="197"/>
      <c r="T14" s="1112"/>
      <c r="U14" s="1113"/>
      <c r="V14" s="228"/>
    </row>
    <row r="15" spans="2:26" ht="15" customHeight="1" x14ac:dyDescent="0.15">
      <c r="B15" s="988"/>
      <c r="C15" s="92"/>
      <c r="D15" s="92"/>
      <c r="E15" s="103"/>
      <c r="F15" s="92"/>
      <c r="G15" s="201">
        <f>D15*F15</f>
        <v>0</v>
      </c>
      <c r="H15" s="213"/>
      <c r="I15" s="988"/>
      <c r="J15" s="92" t="s">
        <v>446</v>
      </c>
      <c r="K15" s="220">
        <v>50</v>
      </c>
      <c r="L15" s="220">
        <v>1</v>
      </c>
      <c r="M15" s="220">
        <v>169.9</v>
      </c>
      <c r="N15" s="201">
        <f t="shared" si="7"/>
        <v>8495</v>
      </c>
      <c r="O15" s="239"/>
      <c r="P15" s="341"/>
      <c r="Q15" s="197"/>
      <c r="R15" s="233"/>
      <c r="S15" s="197"/>
      <c r="T15" s="1112"/>
      <c r="U15" s="1113"/>
      <c r="V15" s="228"/>
    </row>
    <row r="16" spans="2:26" ht="15" customHeight="1" thickBot="1" x14ac:dyDescent="0.2">
      <c r="B16" s="988"/>
      <c r="C16" s="92"/>
      <c r="D16" s="92"/>
      <c r="E16" s="92"/>
      <c r="F16" s="92"/>
      <c r="G16" s="201">
        <f t="shared" ref="G16" si="8">D16*F16</f>
        <v>0</v>
      </c>
      <c r="H16" s="213"/>
      <c r="I16" s="1085"/>
      <c r="J16" s="342" t="s">
        <v>141</v>
      </c>
      <c r="K16" s="221">
        <f t="shared" ref="K16" si="9">SUM(K12:K15)</f>
        <v>90</v>
      </c>
      <c r="L16" s="221">
        <f t="shared" ref="L16" si="10">SUM(L12:L15)</f>
        <v>4</v>
      </c>
      <c r="M16" s="221"/>
      <c r="N16" s="216">
        <f>SUM(N12:N15)</f>
        <v>15291</v>
      </c>
      <c r="O16" s="239"/>
      <c r="P16" s="341"/>
      <c r="Q16" s="197"/>
      <c r="R16" s="233"/>
      <c r="S16" s="197"/>
      <c r="T16" s="1112"/>
      <c r="U16" s="1113"/>
      <c r="V16" s="228"/>
    </row>
    <row r="17" spans="2:25" ht="15" customHeight="1" thickTop="1" thickBot="1" x14ac:dyDescent="0.2">
      <c r="B17" s="1085"/>
      <c r="C17" s="204" t="s">
        <v>141</v>
      </c>
      <c r="D17" s="205"/>
      <c r="E17" s="205"/>
      <c r="F17" s="205"/>
      <c r="G17" s="206">
        <f>SUM(G13:G16)</f>
        <v>81600</v>
      </c>
      <c r="H17" s="213"/>
      <c r="I17" s="1084" t="s">
        <v>181</v>
      </c>
      <c r="J17" s="92" t="s">
        <v>444</v>
      </c>
      <c r="K17" s="220">
        <v>22</v>
      </c>
      <c r="L17" s="220">
        <v>0.5</v>
      </c>
      <c r="M17" s="220">
        <v>179.9</v>
      </c>
      <c r="N17" s="201">
        <f>K17*L17*M17</f>
        <v>1978.9</v>
      </c>
      <c r="O17" s="239"/>
      <c r="P17" s="341"/>
      <c r="Q17" s="197"/>
      <c r="R17" s="375"/>
      <c r="S17" s="197"/>
      <c r="T17" s="1112"/>
      <c r="U17" s="1113"/>
      <c r="V17" s="228"/>
    </row>
    <row r="18" spans="2:25" ht="15" customHeight="1" thickTop="1" x14ac:dyDescent="0.15">
      <c r="B18" s="1084" t="s">
        <v>171</v>
      </c>
      <c r="C18" s="92" t="str">
        <f>+肥料算出基礎!A11</f>
        <v>メリット青</v>
      </c>
      <c r="D18" s="92">
        <f>+肥料算出基礎!C11*10/肥料算出基礎!J11</f>
        <v>2</v>
      </c>
      <c r="E18" s="103" t="s">
        <v>142</v>
      </c>
      <c r="F18" s="92">
        <f>+肥料算出基礎!K11</f>
        <v>8250</v>
      </c>
      <c r="G18" s="201">
        <f t="shared" ref="G18" si="11">D18*F18</f>
        <v>16500</v>
      </c>
      <c r="H18" s="213"/>
      <c r="I18" s="988"/>
      <c r="J18" s="92"/>
      <c r="K18" s="220"/>
      <c r="L18" s="220"/>
      <c r="M18" s="220"/>
      <c r="N18" s="201">
        <f t="shared" ref="N18:N19" si="12">K18*L18*M18</f>
        <v>0</v>
      </c>
      <c r="O18" s="239"/>
      <c r="P18" s="341"/>
      <c r="Q18" s="197"/>
      <c r="R18" s="375"/>
      <c r="S18" s="197"/>
      <c r="T18" s="1112"/>
      <c r="U18" s="1113"/>
      <c r="V18" s="228"/>
    </row>
    <row r="19" spans="2:25" ht="15" customHeight="1" x14ac:dyDescent="0.15">
      <c r="B19" s="988"/>
      <c r="C19" s="92"/>
      <c r="D19" s="92"/>
      <c r="E19" s="103"/>
      <c r="F19" s="92"/>
      <c r="G19" s="201">
        <f>D19*F19</f>
        <v>0</v>
      </c>
      <c r="H19" s="213"/>
      <c r="I19" s="988"/>
      <c r="J19" s="92"/>
      <c r="K19" s="220"/>
      <c r="L19" s="220"/>
      <c r="M19" s="220"/>
      <c r="N19" s="201">
        <f t="shared" si="12"/>
        <v>0</v>
      </c>
      <c r="O19" s="239"/>
      <c r="P19" s="341"/>
      <c r="Q19" s="197"/>
      <c r="R19" s="233"/>
      <c r="S19" s="197"/>
      <c r="T19" s="1112"/>
      <c r="U19" s="1113"/>
      <c r="V19" s="228"/>
    </row>
    <row r="20" spans="2:25" ht="15" customHeight="1" thickBot="1" x14ac:dyDescent="0.2">
      <c r="B20" s="988"/>
      <c r="C20" s="92"/>
      <c r="D20" s="92"/>
      <c r="E20" s="92"/>
      <c r="F20" s="92"/>
      <c r="G20" s="201">
        <f t="shared" ref="G20" si="13">D20*F20</f>
        <v>0</v>
      </c>
      <c r="H20" s="213"/>
      <c r="I20" s="1085"/>
      <c r="J20" s="342" t="s">
        <v>255</v>
      </c>
      <c r="K20" s="221">
        <f>SUM(K17:K19)</f>
        <v>22</v>
      </c>
      <c r="L20" s="222">
        <f>SUM(L17:L19)</f>
        <v>0.5</v>
      </c>
      <c r="M20" s="223"/>
      <c r="N20" s="216">
        <f>SUM(N17:N19)</f>
        <v>1978.9</v>
      </c>
      <c r="O20" s="239"/>
      <c r="P20" s="341"/>
      <c r="Q20" s="197"/>
      <c r="R20" s="233"/>
      <c r="S20" s="197"/>
      <c r="T20" s="1112"/>
      <c r="U20" s="1113"/>
      <c r="V20" s="228"/>
    </row>
    <row r="21" spans="2:25" ht="15" customHeight="1" thickTop="1" thickBot="1" x14ac:dyDescent="0.2">
      <c r="B21" s="1085"/>
      <c r="C21" s="204" t="s">
        <v>141</v>
      </c>
      <c r="D21" s="205"/>
      <c r="E21" s="205"/>
      <c r="F21" s="205"/>
      <c r="G21" s="206">
        <f>SUM(G18:G20)</f>
        <v>16500</v>
      </c>
      <c r="H21" s="213"/>
      <c r="I21" s="1084" t="s">
        <v>182</v>
      </c>
      <c r="J21" s="92"/>
      <c r="K21" s="220"/>
      <c r="L21" s="220"/>
      <c r="M21" s="220"/>
      <c r="N21" s="201">
        <f>K21*L21*M21</f>
        <v>0</v>
      </c>
      <c r="O21" s="239"/>
      <c r="P21" s="229" t="s">
        <v>28</v>
      </c>
      <c r="Q21" s="230"/>
      <c r="R21" s="230"/>
      <c r="S21" s="230"/>
      <c r="T21" s="1132"/>
      <c r="U21" s="1102"/>
      <c r="V21" s="231">
        <f>SUM(V5:V20)</f>
        <v>2062011.2</v>
      </c>
    </row>
    <row r="22" spans="2:25" ht="15" customHeight="1" thickTop="1" x14ac:dyDescent="0.15">
      <c r="B22" s="1084" t="s">
        <v>172</v>
      </c>
      <c r="C22" s="92"/>
      <c r="D22" s="92"/>
      <c r="E22" s="103"/>
      <c r="F22" s="92"/>
      <c r="G22" s="201">
        <f>D22*F22</f>
        <v>0</v>
      </c>
      <c r="H22" s="213"/>
      <c r="I22" s="988"/>
      <c r="J22" s="92"/>
      <c r="K22" s="220"/>
      <c r="L22" s="220"/>
      <c r="M22" s="220"/>
      <c r="N22" s="201">
        <f t="shared" ref="N22:N23" si="14">K22*L22*M22</f>
        <v>0</v>
      </c>
      <c r="O22" s="239"/>
    </row>
    <row r="23" spans="2:25" ht="15" customHeight="1" thickBot="1" x14ac:dyDescent="0.2">
      <c r="B23" s="988"/>
      <c r="C23" s="92"/>
      <c r="D23" s="92"/>
      <c r="E23" s="103"/>
      <c r="F23" s="92"/>
      <c r="G23" s="201">
        <f>D23*F23</f>
        <v>0</v>
      </c>
      <c r="H23" s="213"/>
      <c r="I23" s="988"/>
      <c r="J23" s="92"/>
      <c r="K23" s="220"/>
      <c r="L23" s="220"/>
      <c r="M23" s="220"/>
      <c r="N23" s="201">
        <f t="shared" si="14"/>
        <v>0</v>
      </c>
      <c r="O23" s="239"/>
      <c r="P23" s="93" t="s">
        <v>250</v>
      </c>
    </row>
    <row r="24" spans="2:25" ht="15" customHeight="1" thickBot="1" x14ac:dyDescent="0.2">
      <c r="B24" s="988"/>
      <c r="C24" s="92"/>
      <c r="D24" s="92"/>
      <c r="E24" s="103"/>
      <c r="F24" s="92"/>
      <c r="G24" s="201">
        <f>D24*F24</f>
        <v>0</v>
      </c>
      <c r="H24" s="213"/>
      <c r="I24" s="1085"/>
      <c r="J24" s="342" t="s">
        <v>255</v>
      </c>
      <c r="K24" s="221">
        <f>SUM(K21:K23)</f>
        <v>0</v>
      </c>
      <c r="L24" s="222">
        <f>SUM(L21:L23)</f>
        <v>0</v>
      </c>
      <c r="M24" s="223"/>
      <c r="N24" s="216">
        <f>SUM(N21:N23)</f>
        <v>0</v>
      </c>
      <c r="O24" s="239"/>
      <c r="P24" s="338" t="s">
        <v>189</v>
      </c>
      <c r="Q24" s="339" t="s">
        <v>184</v>
      </c>
      <c r="R24" s="339" t="s">
        <v>185</v>
      </c>
      <c r="S24" s="339" t="s">
        <v>256</v>
      </c>
      <c r="T24" s="339" t="s">
        <v>187</v>
      </c>
      <c r="U24" s="192" t="s">
        <v>190</v>
      </c>
      <c r="V24" s="340" t="s">
        <v>188</v>
      </c>
      <c r="W24" s="93" t="s">
        <v>294</v>
      </c>
      <c r="X24" s="93" t="s">
        <v>362</v>
      </c>
    </row>
    <row r="25" spans="2:25" ht="15" customHeight="1" thickTop="1" thickBot="1" x14ac:dyDescent="0.2">
      <c r="B25" s="1090"/>
      <c r="C25" s="207" t="s">
        <v>144</v>
      </c>
      <c r="D25" s="208"/>
      <c r="E25" s="208"/>
      <c r="F25" s="215"/>
      <c r="G25" s="209">
        <f>SUM(G22:G24)</f>
        <v>0</v>
      </c>
      <c r="I25" s="1084" t="s">
        <v>271</v>
      </c>
      <c r="J25" s="92" t="s">
        <v>590</v>
      </c>
      <c r="K25" s="220">
        <v>383</v>
      </c>
      <c r="L25" s="220">
        <v>15.8</v>
      </c>
      <c r="M25" s="220">
        <v>99.1</v>
      </c>
      <c r="N25" s="201">
        <f>K25*L25*M25</f>
        <v>599693.74</v>
      </c>
      <c r="O25" s="239"/>
      <c r="P25" s="341" t="s">
        <v>523</v>
      </c>
      <c r="Q25" s="197">
        <v>5</v>
      </c>
      <c r="R25" s="233" t="s">
        <v>408</v>
      </c>
      <c r="S25" s="197">
        <f t="shared" ref="S25:S29" si="15">ROUNDDOWN(W25*1.1,-1)</f>
        <v>5160</v>
      </c>
      <c r="T25" s="197">
        <v>2</v>
      </c>
      <c r="U25" s="198">
        <v>1</v>
      </c>
      <c r="V25" s="228">
        <f>Q25*S25/T25/U25</f>
        <v>12900</v>
      </c>
      <c r="W25" s="93">
        <v>4692</v>
      </c>
      <c r="X25" s="94">
        <v>0.5</v>
      </c>
    </row>
    <row r="26" spans="2:25" ht="15" customHeight="1" x14ac:dyDescent="0.15">
      <c r="H26" s="214"/>
      <c r="I26" s="988"/>
      <c r="J26" s="92"/>
      <c r="K26" s="220"/>
      <c r="L26" s="220"/>
      <c r="M26" s="220"/>
      <c r="N26" s="201">
        <f t="shared" ref="N26:N27" si="16">K26*L26*M26</f>
        <v>0</v>
      </c>
      <c r="O26" s="239"/>
      <c r="P26" s="341" t="s">
        <v>356</v>
      </c>
      <c r="Q26" s="197">
        <v>5</v>
      </c>
      <c r="R26" s="233" t="s">
        <v>407</v>
      </c>
      <c r="S26" s="197">
        <f t="shared" si="15"/>
        <v>3390</v>
      </c>
      <c r="T26" s="197">
        <v>2</v>
      </c>
      <c r="U26" s="198">
        <v>1</v>
      </c>
      <c r="V26" s="228">
        <f t="shared" ref="V26:V37" si="17">Q26*S26/T26/U26</f>
        <v>8475</v>
      </c>
      <c r="W26" s="93">
        <v>3086</v>
      </c>
      <c r="X26" s="94">
        <v>0.5</v>
      </c>
    </row>
    <row r="27" spans="2:25" ht="15" customHeight="1" thickBot="1" x14ac:dyDescent="0.2">
      <c r="B27" s="13" t="s">
        <v>257</v>
      </c>
      <c r="C27" s="13"/>
      <c r="D27" s="95"/>
      <c r="E27" s="13"/>
      <c r="F27" s="95"/>
      <c r="G27" s="99"/>
      <c r="H27" s="212"/>
      <c r="I27" s="988"/>
      <c r="J27" s="92"/>
      <c r="K27" s="220"/>
      <c r="L27" s="220"/>
      <c r="M27" s="220"/>
      <c r="N27" s="201">
        <f t="shared" si="16"/>
        <v>0</v>
      </c>
      <c r="O27" s="239"/>
      <c r="P27" s="341" t="s">
        <v>357</v>
      </c>
      <c r="Q27" s="197">
        <v>2</v>
      </c>
      <c r="R27" s="233" t="s">
        <v>407</v>
      </c>
      <c r="S27" s="197">
        <v>5720</v>
      </c>
      <c r="T27" s="197">
        <v>2</v>
      </c>
      <c r="U27" s="198">
        <v>1</v>
      </c>
      <c r="V27" s="228">
        <f t="shared" si="17"/>
        <v>5720</v>
      </c>
      <c r="X27" s="94">
        <v>0.2</v>
      </c>
    </row>
    <row r="28" spans="2:25" ht="15" customHeight="1" thickBot="1" x14ac:dyDescent="0.2">
      <c r="B28" s="337" t="s">
        <v>74</v>
      </c>
      <c r="C28" s="211" t="s">
        <v>133</v>
      </c>
      <c r="D28" s="211" t="s">
        <v>134</v>
      </c>
      <c r="E28" s="211" t="s">
        <v>135</v>
      </c>
      <c r="F28" s="211" t="s">
        <v>23</v>
      </c>
      <c r="G28" s="199" t="s">
        <v>136</v>
      </c>
      <c r="H28" s="213"/>
      <c r="I28" s="1085"/>
      <c r="J28" s="342" t="s">
        <v>253</v>
      </c>
      <c r="K28" s="221">
        <f>SUM(K25:K27)</f>
        <v>383</v>
      </c>
      <c r="L28" s="222">
        <f>SUM(L25:L27)</f>
        <v>15.8</v>
      </c>
      <c r="M28" s="223"/>
      <c r="N28" s="216">
        <f>SUM(N25:N27)</f>
        <v>599693.74</v>
      </c>
      <c r="O28" s="239"/>
      <c r="P28" s="341" t="s">
        <v>358</v>
      </c>
      <c r="Q28" s="197">
        <v>5</v>
      </c>
      <c r="R28" s="233" t="s">
        <v>407</v>
      </c>
      <c r="S28" s="197">
        <f t="shared" si="15"/>
        <v>970</v>
      </c>
      <c r="T28" s="197">
        <v>2</v>
      </c>
      <c r="U28" s="198">
        <v>1</v>
      </c>
      <c r="V28" s="228">
        <f t="shared" si="17"/>
        <v>2425</v>
      </c>
      <c r="W28" s="93">
        <v>885</v>
      </c>
      <c r="X28" s="94">
        <v>0.5</v>
      </c>
    </row>
    <row r="29" spans="2:25" ht="15" customHeight="1" thickTop="1" x14ac:dyDescent="0.15">
      <c r="B29" s="987" t="s">
        <v>29</v>
      </c>
      <c r="C29" s="92" t="str">
        <f>+農薬算出基礎!B3</f>
        <v>ベフラン液剤25</v>
      </c>
      <c r="D29" s="92">
        <f>+農薬算出基礎!D3*10/農薬算出基礎!C3*1000/農薬算出基礎!E3</f>
        <v>8</v>
      </c>
      <c r="E29" s="103" t="s">
        <v>138</v>
      </c>
      <c r="F29" s="92">
        <f>+農薬算出基礎!F3</f>
        <v>3660</v>
      </c>
      <c r="G29" s="200">
        <f t="shared" ref="G29:G32" si="18">D29*F29</f>
        <v>29280</v>
      </c>
      <c r="H29" s="213"/>
      <c r="I29" s="1084" t="s">
        <v>178</v>
      </c>
      <c r="J29" s="92"/>
      <c r="K29" s="220"/>
      <c r="L29" s="220"/>
      <c r="M29" s="220"/>
      <c r="N29" s="201">
        <f>K29*L29*M29</f>
        <v>0</v>
      </c>
      <c r="O29" s="239"/>
      <c r="P29" s="341" t="s">
        <v>524</v>
      </c>
      <c r="Q29" s="197">
        <v>40</v>
      </c>
      <c r="R29" s="233" t="s">
        <v>408</v>
      </c>
      <c r="S29" s="197">
        <f t="shared" si="15"/>
        <v>1180</v>
      </c>
      <c r="T29" s="197">
        <v>5</v>
      </c>
      <c r="U29" s="198">
        <v>1</v>
      </c>
      <c r="V29" s="228">
        <f t="shared" si="17"/>
        <v>9440</v>
      </c>
      <c r="W29" s="93">
        <v>1080</v>
      </c>
      <c r="X29" s="94">
        <v>8</v>
      </c>
    </row>
    <row r="30" spans="2:25" ht="15" customHeight="1" x14ac:dyDescent="0.15">
      <c r="B30" s="988"/>
      <c r="C30" s="92" t="str">
        <f>+農薬算出基礎!B4</f>
        <v>オーソサイド水和剤80（魚）</v>
      </c>
      <c r="D30" s="92">
        <f>+農薬算出基礎!D4*10/農薬算出基礎!C4*1000/農薬算出基礎!E4</f>
        <v>7.5</v>
      </c>
      <c r="E30" s="103" t="s">
        <v>138</v>
      </c>
      <c r="F30" s="92">
        <f>+農薬算出基礎!F4</f>
        <v>1840</v>
      </c>
      <c r="G30" s="201">
        <f t="shared" si="18"/>
        <v>13800</v>
      </c>
      <c r="H30" s="213"/>
      <c r="I30" s="988"/>
      <c r="J30" s="92"/>
      <c r="K30" s="220"/>
      <c r="L30" s="220"/>
      <c r="M30" s="220"/>
      <c r="N30" s="201">
        <f t="shared" ref="N30:N31" si="19">K30*L30*M30</f>
        <v>0</v>
      </c>
      <c r="O30" s="94"/>
      <c r="P30" s="341" t="s">
        <v>360</v>
      </c>
      <c r="Q30" s="197">
        <v>2</v>
      </c>
      <c r="R30" s="375" t="s">
        <v>88</v>
      </c>
      <c r="S30" s="197">
        <f>ROUNDDOWN(W30*1.08,-1)</f>
        <v>10470</v>
      </c>
      <c r="T30" s="197">
        <v>5</v>
      </c>
      <c r="U30" s="376">
        <v>1</v>
      </c>
      <c r="V30" s="228">
        <f t="shared" si="17"/>
        <v>4188</v>
      </c>
      <c r="W30" s="93">
        <v>9700</v>
      </c>
      <c r="X30" s="94">
        <v>0.2</v>
      </c>
      <c r="Y30" s="93" t="s">
        <v>363</v>
      </c>
    </row>
    <row r="31" spans="2:25" ht="15" customHeight="1" x14ac:dyDescent="0.15">
      <c r="B31" s="988"/>
      <c r="C31" s="92" t="str">
        <f>+農薬算出基礎!B5</f>
        <v>ロブラール500アクア</v>
      </c>
      <c r="D31" s="92">
        <f>+農薬算出基礎!D5*10/農薬算出基礎!C5*1000/農薬算出基礎!E5</f>
        <v>4</v>
      </c>
      <c r="E31" s="103" t="s">
        <v>138</v>
      </c>
      <c r="F31" s="92">
        <f>+農薬算出基礎!F5</f>
        <v>6260</v>
      </c>
      <c r="G31" s="201">
        <f t="shared" si="18"/>
        <v>25040</v>
      </c>
      <c r="H31" s="213"/>
      <c r="I31" s="988"/>
      <c r="J31" s="92"/>
      <c r="K31" s="220"/>
      <c r="L31" s="220"/>
      <c r="M31" s="220"/>
      <c r="N31" s="201">
        <f t="shared" si="19"/>
        <v>0</v>
      </c>
      <c r="P31" s="341" t="s">
        <v>525</v>
      </c>
      <c r="Q31" s="197">
        <v>4</v>
      </c>
      <c r="R31" s="375" t="s">
        <v>88</v>
      </c>
      <c r="S31" s="197">
        <f>ROUNDDOWN(W31*1.08,-1)</f>
        <v>3020</v>
      </c>
      <c r="T31" s="197">
        <v>5</v>
      </c>
      <c r="U31" s="376">
        <v>1</v>
      </c>
      <c r="V31" s="228">
        <f t="shared" si="17"/>
        <v>2416</v>
      </c>
      <c r="W31" s="93">
        <v>2800</v>
      </c>
      <c r="X31" s="94">
        <v>0.4</v>
      </c>
      <c r="Y31" s="93" t="s">
        <v>364</v>
      </c>
    </row>
    <row r="32" spans="2:25" ht="15" customHeight="1" thickBot="1" x14ac:dyDescent="0.2">
      <c r="B32" s="988"/>
      <c r="C32" s="377" t="str">
        <f>+農薬算出基礎!B6</f>
        <v>ドーシャスフロアブル（魚）</v>
      </c>
      <c r="D32" s="377">
        <f>+農薬算出基礎!D6*10/農薬算出基礎!C6*1000/農薬算出基礎!E6</f>
        <v>3</v>
      </c>
      <c r="E32" s="103" t="s">
        <v>138</v>
      </c>
      <c r="F32" s="377">
        <f>+農薬算出基礎!F6</f>
        <v>3690</v>
      </c>
      <c r="G32" s="201">
        <f t="shared" si="18"/>
        <v>11070</v>
      </c>
      <c r="H32" s="213"/>
      <c r="I32" s="1090"/>
      <c r="J32" s="343" t="s">
        <v>258</v>
      </c>
      <c r="K32" s="224">
        <f>SUM(K29:K31)</f>
        <v>0</v>
      </c>
      <c r="L32" s="226">
        <f>SUM(L29:L31)</f>
        <v>0</v>
      </c>
      <c r="M32" s="227"/>
      <c r="N32" s="218">
        <f>SUM(N29:N31)</f>
        <v>0</v>
      </c>
      <c r="P32" s="341" t="s">
        <v>526</v>
      </c>
      <c r="Q32" s="197">
        <v>1</v>
      </c>
      <c r="R32" s="233" t="s">
        <v>408</v>
      </c>
      <c r="S32" s="197">
        <v>30000</v>
      </c>
      <c r="T32" s="197">
        <v>10</v>
      </c>
      <c r="U32" s="198">
        <v>1</v>
      </c>
      <c r="V32" s="228">
        <f t="shared" si="17"/>
        <v>3000</v>
      </c>
    </row>
    <row r="33" spans="2:22" ht="15" customHeight="1" x14ac:dyDescent="0.15">
      <c r="B33" s="988"/>
      <c r="C33" s="556" t="str">
        <f>+農薬算出基礎!B7</f>
        <v>オーシャイン水和剤</v>
      </c>
      <c r="D33" s="556">
        <f>+農薬算出基礎!D7*10/農薬算出基礎!C7*1000/農薬算出基礎!E7</f>
        <v>3</v>
      </c>
      <c r="E33" s="571" t="s">
        <v>138</v>
      </c>
      <c r="F33" s="556">
        <f>+農薬算出基礎!F7</f>
        <v>4570</v>
      </c>
      <c r="G33" s="557">
        <f>D33*F33</f>
        <v>13710</v>
      </c>
      <c r="H33" s="213"/>
      <c r="I33" s="489"/>
      <c r="J33" s="212"/>
      <c r="K33" s="508"/>
      <c r="L33" s="508"/>
      <c r="M33" s="508"/>
      <c r="N33" s="213"/>
      <c r="P33" s="490" t="s">
        <v>415</v>
      </c>
      <c r="Q33" s="491">
        <v>1</v>
      </c>
      <c r="R33" s="492" t="s">
        <v>88</v>
      </c>
      <c r="S33" s="491">
        <v>30000</v>
      </c>
      <c r="T33" s="491">
        <v>7</v>
      </c>
      <c r="U33" s="493">
        <v>1</v>
      </c>
      <c r="V33" s="494">
        <f t="shared" si="17"/>
        <v>4285.7142857142853</v>
      </c>
    </row>
    <row r="34" spans="2:22" ht="15" customHeight="1" x14ac:dyDescent="0.15">
      <c r="B34" s="988"/>
      <c r="C34" s="556" t="str">
        <f>+農薬算出基礎!B8</f>
        <v>ストロビードライフロアブル</v>
      </c>
      <c r="D34" s="556">
        <f>+農薬算出基礎!D8*10/農薬算出基礎!C8*1000/農薬算出基礎!E8</f>
        <v>2</v>
      </c>
      <c r="E34" s="571" t="s">
        <v>138</v>
      </c>
      <c r="F34" s="556">
        <f>+農薬算出基礎!F8</f>
        <v>6350</v>
      </c>
      <c r="G34" s="557">
        <f>D34*F34</f>
        <v>12700</v>
      </c>
      <c r="H34" s="213"/>
      <c r="I34" s="489"/>
      <c r="J34" s="212"/>
      <c r="K34" s="508"/>
      <c r="L34" s="508"/>
      <c r="M34" s="508"/>
      <c r="N34" s="213"/>
      <c r="P34" s="490" t="s">
        <v>527</v>
      </c>
      <c r="Q34" s="491">
        <v>4</v>
      </c>
      <c r="R34" s="492" t="s">
        <v>142</v>
      </c>
      <c r="S34" s="491">
        <v>7200</v>
      </c>
      <c r="T34" s="491">
        <v>10</v>
      </c>
      <c r="U34" s="493">
        <v>1</v>
      </c>
      <c r="V34" s="494">
        <f t="shared" si="17"/>
        <v>2880</v>
      </c>
    </row>
    <row r="35" spans="2:22" ht="15" customHeight="1" x14ac:dyDescent="0.15">
      <c r="B35" s="988"/>
      <c r="C35" s="556" t="str">
        <f>+農薬算出基礎!B9</f>
        <v>スイッチ顆粒水和剤</v>
      </c>
      <c r="D35" s="556">
        <f>+農薬算出基礎!D9*10/農薬算出基礎!C9*1000/農薬算出基礎!E9</f>
        <v>2</v>
      </c>
      <c r="E35" s="571" t="s">
        <v>138</v>
      </c>
      <c r="F35" s="556">
        <f>+農薬算出基礎!F9</f>
        <v>8080</v>
      </c>
      <c r="G35" s="557">
        <f>D35*F35</f>
        <v>16160</v>
      </c>
      <c r="H35" s="213"/>
      <c r="I35" s="489"/>
      <c r="J35" s="212"/>
      <c r="K35" s="508"/>
      <c r="L35" s="508"/>
      <c r="M35" s="508"/>
      <c r="N35" s="213"/>
      <c r="P35" s="490" t="s">
        <v>528</v>
      </c>
      <c r="Q35" s="491">
        <v>2</v>
      </c>
      <c r="R35" s="492" t="s">
        <v>408</v>
      </c>
      <c r="S35" s="491">
        <v>10000</v>
      </c>
      <c r="T35" s="491">
        <v>10</v>
      </c>
      <c r="U35" s="493">
        <v>1</v>
      </c>
      <c r="V35" s="494">
        <f t="shared" si="17"/>
        <v>2000</v>
      </c>
    </row>
    <row r="36" spans="2:22" ht="15" customHeight="1" x14ac:dyDescent="0.15">
      <c r="B36" s="988"/>
      <c r="C36" s="377" t="str">
        <f>+農薬算出基礎!B10</f>
        <v>ICボルドー66D</v>
      </c>
      <c r="D36" s="377">
        <f>+農薬算出基礎!D10*10*3/農薬算出基礎!C10*1000/農薬算出基礎!E10</f>
        <v>12</v>
      </c>
      <c r="E36" s="103" t="s">
        <v>138</v>
      </c>
      <c r="F36" s="377">
        <f>+農薬算出基礎!F10</f>
        <v>5970</v>
      </c>
      <c r="G36" s="201">
        <f>D36*F36</f>
        <v>71640</v>
      </c>
      <c r="H36" s="213"/>
      <c r="I36" s="191"/>
      <c r="J36" s="191"/>
      <c r="K36" s="191"/>
      <c r="L36" s="191"/>
      <c r="M36" s="191"/>
      <c r="N36" s="191"/>
      <c r="P36" s="341" t="s">
        <v>413</v>
      </c>
      <c r="Q36" s="197">
        <v>1</v>
      </c>
      <c r="R36" s="233" t="s">
        <v>408</v>
      </c>
      <c r="S36" s="197">
        <v>2500</v>
      </c>
      <c r="T36" s="197">
        <v>10</v>
      </c>
      <c r="U36" s="198">
        <v>1</v>
      </c>
      <c r="V36" s="228">
        <f t="shared" si="17"/>
        <v>250</v>
      </c>
    </row>
    <row r="37" spans="2:22" ht="15" customHeight="1" thickBot="1" x14ac:dyDescent="0.2">
      <c r="B37" s="988"/>
      <c r="C37" s="92"/>
      <c r="D37" s="92"/>
      <c r="E37" s="103"/>
      <c r="F37" s="92"/>
      <c r="G37" s="201">
        <f t="shared" ref="G37:G41" si="20">D37*F37</f>
        <v>0</v>
      </c>
      <c r="H37" s="213"/>
      <c r="I37" s="181" t="s">
        <v>248</v>
      </c>
      <c r="J37" s="181"/>
      <c r="K37" s="181"/>
      <c r="L37" s="181"/>
      <c r="M37" s="181"/>
      <c r="P37" s="341" t="s">
        <v>414</v>
      </c>
      <c r="Q37" s="197">
        <v>1</v>
      </c>
      <c r="R37" s="233" t="s">
        <v>408</v>
      </c>
      <c r="S37" s="197">
        <v>3000</v>
      </c>
      <c r="T37" s="197">
        <v>10</v>
      </c>
      <c r="U37" s="198">
        <v>1</v>
      </c>
      <c r="V37" s="228">
        <f t="shared" si="17"/>
        <v>300</v>
      </c>
    </row>
    <row r="38" spans="2:22" ht="15" customHeight="1" thickBot="1" x14ac:dyDescent="0.2">
      <c r="B38" s="988"/>
      <c r="C38" s="92"/>
      <c r="D38" s="92"/>
      <c r="E38" s="103"/>
      <c r="F38" s="92"/>
      <c r="G38" s="201">
        <f t="shared" si="20"/>
        <v>0</v>
      </c>
      <c r="H38" s="213"/>
      <c r="I38" s="317" t="s">
        <v>233</v>
      </c>
      <c r="J38" s="318" t="s">
        <v>5</v>
      </c>
      <c r="K38" s="1086" t="s">
        <v>234</v>
      </c>
      <c r="L38" s="1087"/>
      <c r="M38" s="344" t="s">
        <v>190</v>
      </c>
      <c r="N38" s="345" t="s">
        <v>259</v>
      </c>
      <c r="P38" s="346" t="s">
        <v>238</v>
      </c>
      <c r="Q38" s="230"/>
      <c r="R38" s="230"/>
      <c r="S38" s="230"/>
      <c r="T38" s="230"/>
      <c r="U38" s="232"/>
      <c r="V38" s="231">
        <f>SUM(V25:V37)</f>
        <v>58279.714285714283</v>
      </c>
    </row>
    <row r="39" spans="2:22" ht="15" customHeight="1" x14ac:dyDescent="0.15">
      <c r="B39" s="988"/>
      <c r="C39" s="92"/>
      <c r="D39" s="92"/>
      <c r="E39" s="103"/>
      <c r="F39" s="92"/>
      <c r="G39" s="201">
        <f t="shared" si="20"/>
        <v>0</v>
      </c>
      <c r="H39" s="213"/>
      <c r="I39" s="1104" t="s">
        <v>2</v>
      </c>
      <c r="J39" s="210" t="s">
        <v>561</v>
      </c>
      <c r="K39" s="1103">
        <f>+'６　固定資本装備と減価償却費'!I6</f>
        <v>6480000</v>
      </c>
      <c r="L39" s="1103"/>
      <c r="M39" s="316">
        <v>3</v>
      </c>
      <c r="N39" s="331">
        <f t="shared" ref="N39" si="21">+K39/M39*0.014</f>
        <v>30240</v>
      </c>
    </row>
    <row r="40" spans="2:22" ht="15" customHeight="1" thickBot="1" x14ac:dyDescent="0.2">
      <c r="B40" s="988"/>
      <c r="C40" s="92"/>
      <c r="D40" s="92"/>
      <c r="E40" s="103"/>
      <c r="F40" s="92"/>
      <c r="G40" s="201">
        <f t="shared" si="20"/>
        <v>0</v>
      </c>
      <c r="H40" s="213"/>
      <c r="I40" s="1105"/>
      <c r="J40" s="210"/>
      <c r="K40" s="1103"/>
      <c r="L40" s="1103"/>
      <c r="M40" s="316"/>
      <c r="N40" s="331"/>
      <c r="P40" s="181" t="s">
        <v>239</v>
      </c>
      <c r="Q40" s="181"/>
      <c r="R40" s="181"/>
      <c r="S40" s="181"/>
      <c r="T40" s="181"/>
    </row>
    <row r="41" spans="2:22" ht="15" customHeight="1" x14ac:dyDescent="0.15">
      <c r="B41" s="988"/>
      <c r="C41" s="92"/>
      <c r="D41" s="92"/>
      <c r="E41" s="103"/>
      <c r="F41" s="92"/>
      <c r="G41" s="201">
        <f t="shared" si="20"/>
        <v>0</v>
      </c>
      <c r="H41" s="213"/>
      <c r="I41" s="1105"/>
      <c r="J41" s="210"/>
      <c r="K41" s="1103"/>
      <c r="L41" s="1103"/>
      <c r="M41" s="316"/>
      <c r="N41" s="331"/>
      <c r="O41" s="225"/>
      <c r="P41" s="317" t="s">
        <v>232</v>
      </c>
      <c r="Q41" s="1088" t="s">
        <v>240</v>
      </c>
      <c r="R41" s="1088"/>
      <c r="S41" s="330" t="s">
        <v>244</v>
      </c>
      <c r="T41" s="330" t="s">
        <v>243</v>
      </c>
      <c r="U41" s="347" t="s">
        <v>190</v>
      </c>
      <c r="V41" s="348" t="s">
        <v>259</v>
      </c>
    </row>
    <row r="42" spans="2:22" ht="15" customHeight="1" thickBot="1" x14ac:dyDescent="0.2">
      <c r="B42" s="1085"/>
      <c r="C42" s="202" t="s">
        <v>140</v>
      </c>
      <c r="D42" s="202"/>
      <c r="E42" s="202"/>
      <c r="F42" s="202"/>
      <c r="G42" s="203">
        <f>SUM(G29:G41)</f>
        <v>193400</v>
      </c>
      <c r="H42" s="213"/>
      <c r="I42" s="1105"/>
      <c r="J42" s="210"/>
      <c r="K42" s="1103"/>
      <c r="L42" s="1103"/>
      <c r="M42" s="316"/>
      <c r="N42" s="331"/>
      <c r="O42" s="225"/>
      <c r="P42" s="1099" t="s">
        <v>241</v>
      </c>
      <c r="Q42" s="323" t="s">
        <v>231</v>
      </c>
      <c r="R42" s="352" t="s">
        <v>242</v>
      </c>
      <c r="S42" s="324"/>
      <c r="T42" s="353"/>
      <c r="U42" s="324"/>
      <c r="V42" s="331"/>
    </row>
    <row r="43" spans="2:22" ht="15" customHeight="1" thickTop="1" x14ac:dyDescent="0.15">
      <c r="B43" s="1084" t="s">
        <v>173</v>
      </c>
      <c r="C43" s="92" t="str">
        <f>+農薬算出基礎!B12</f>
        <v>石灰硫黄合剤</v>
      </c>
      <c r="D43" s="92">
        <f>+農薬算出基礎!D12*10/農薬算出基礎!C12*1000/農薬算出基礎!E12</f>
        <v>11.111111111111111</v>
      </c>
      <c r="E43" s="103" t="s">
        <v>138</v>
      </c>
      <c r="F43" s="92">
        <f>+農薬算出基礎!F12</f>
        <v>2560</v>
      </c>
      <c r="G43" s="201">
        <f>D43*F43</f>
        <v>28444.444444444445</v>
      </c>
      <c r="H43" s="213"/>
      <c r="I43" s="1105"/>
      <c r="J43" s="210"/>
      <c r="K43" s="1103"/>
      <c r="L43" s="1103"/>
      <c r="M43" s="316"/>
      <c r="N43" s="331"/>
      <c r="O43" s="225"/>
      <c r="P43" s="1097"/>
      <c r="Q43" s="323" t="s">
        <v>447</v>
      </c>
      <c r="R43" s="352" t="s">
        <v>644</v>
      </c>
      <c r="S43" s="324"/>
      <c r="T43" s="353"/>
      <c r="U43" s="324">
        <v>1</v>
      </c>
      <c r="V43" s="331">
        <v>64150</v>
      </c>
    </row>
    <row r="44" spans="2:22" ht="15" customHeight="1" x14ac:dyDescent="0.15">
      <c r="B44" s="988"/>
      <c r="C44" s="92" t="str">
        <f>+農薬算出基礎!B13</f>
        <v>スプラサイド水和剤（蜂）</v>
      </c>
      <c r="D44" s="92">
        <f>+農薬算出基礎!D13*10/農薬算出基礎!C13*1000/農薬算出基礎!E13</f>
        <v>4</v>
      </c>
      <c r="E44" s="103" t="s">
        <v>138</v>
      </c>
      <c r="F44" s="92">
        <f>+農薬算出基礎!F13</f>
        <v>2380</v>
      </c>
      <c r="G44" s="201">
        <f t="shared" ref="G44:G48" si="22">D44*F44</f>
        <v>9520</v>
      </c>
      <c r="H44" s="213"/>
      <c r="I44" s="1105"/>
      <c r="J44" s="210"/>
      <c r="K44" s="1103"/>
      <c r="L44" s="1103"/>
      <c r="M44" s="316"/>
      <c r="N44" s="331"/>
      <c r="O44" s="225"/>
      <c r="P44" s="1097"/>
      <c r="Q44" s="323" t="s">
        <v>245</v>
      </c>
      <c r="R44" s="352" t="s">
        <v>260</v>
      </c>
      <c r="S44" s="324"/>
      <c r="T44" s="353"/>
      <c r="U44" s="324"/>
      <c r="V44" s="331"/>
    </row>
    <row r="45" spans="2:22" ht="15" customHeight="1" x14ac:dyDescent="0.15">
      <c r="B45" s="988"/>
      <c r="C45" s="92" t="str">
        <f>+農薬算出基礎!B14</f>
        <v>モスピラン顆粒水溶剤</v>
      </c>
      <c r="D45" s="92">
        <f>+農薬算出基礎!D14*10/農薬算出基礎!C14*1000/農薬算出基礎!E14+農薬算出基礎!D18*10/農薬算出基礎!C18*1000/農薬算出基礎!E18</f>
        <v>4.5</v>
      </c>
      <c r="E45" s="103" t="s">
        <v>138</v>
      </c>
      <c r="F45" s="92">
        <f>+農薬算出基礎!F14+農薬算出基礎!F17</f>
        <v>11640</v>
      </c>
      <c r="G45" s="201">
        <f t="shared" si="22"/>
        <v>52380</v>
      </c>
      <c r="H45" s="213"/>
      <c r="I45" s="1105"/>
      <c r="J45" s="210"/>
      <c r="K45" s="1103"/>
      <c r="L45" s="1103"/>
      <c r="M45" s="316"/>
      <c r="N45" s="331"/>
      <c r="O45" s="225"/>
      <c r="P45" s="1097"/>
      <c r="Q45" s="323" t="s">
        <v>247</v>
      </c>
      <c r="R45" s="352" t="s">
        <v>260</v>
      </c>
      <c r="S45" s="324"/>
      <c r="T45" s="353"/>
      <c r="U45" s="324"/>
      <c r="V45" s="331"/>
    </row>
    <row r="46" spans="2:22" ht="15" customHeight="1" thickBot="1" x14ac:dyDescent="0.2">
      <c r="B46" s="988"/>
      <c r="C46" s="92" t="str">
        <f>+農薬算出基礎!B15</f>
        <v>ジェイエース水溶剤（蜂）</v>
      </c>
      <c r="D46" s="92">
        <f>+農薬算出基礎!D15*10/農薬算出基礎!C15*1000/農薬算出基礎!E15</f>
        <v>3</v>
      </c>
      <c r="E46" s="103" t="s">
        <v>138</v>
      </c>
      <c r="F46" s="92">
        <f>+農薬算出基礎!F15</f>
        <v>3180</v>
      </c>
      <c r="G46" s="201">
        <f t="shared" si="22"/>
        <v>9540</v>
      </c>
      <c r="H46" s="213"/>
      <c r="I46" s="1106"/>
      <c r="J46" s="319" t="s">
        <v>141</v>
      </c>
      <c r="K46" s="1107"/>
      <c r="L46" s="1108"/>
      <c r="M46" s="320"/>
      <c r="N46" s="327">
        <f>SUM(N39:N45)</f>
        <v>30240</v>
      </c>
      <c r="O46" s="225"/>
      <c r="P46" s="1097"/>
      <c r="Q46" s="323"/>
      <c r="R46" s="352"/>
      <c r="S46" s="324"/>
      <c r="T46" s="353"/>
      <c r="U46" s="324"/>
      <c r="V46" s="331"/>
    </row>
    <row r="47" spans="2:22" ht="15" customHeight="1" thickTop="1" x14ac:dyDescent="0.15">
      <c r="B47" s="988"/>
      <c r="C47" s="92" t="str">
        <f>+農薬算出基礎!B16</f>
        <v>アディオンフロアブル</v>
      </c>
      <c r="D47" s="92">
        <f>+農薬算出基礎!D16*10/農薬算出基礎!C16*1000/農薬算出基礎!E16</f>
        <v>4</v>
      </c>
      <c r="E47" s="103" t="s">
        <v>138</v>
      </c>
      <c r="F47" s="92">
        <f>+農薬算出基礎!F16</f>
        <v>4900</v>
      </c>
      <c r="G47" s="201">
        <f t="shared" si="22"/>
        <v>19600</v>
      </c>
      <c r="H47" s="213"/>
      <c r="I47" s="1121" t="s">
        <v>235</v>
      </c>
      <c r="J47" s="321"/>
      <c r="K47" s="1111"/>
      <c r="L47" s="1111"/>
      <c r="M47" s="322"/>
      <c r="N47" s="349"/>
      <c r="O47" s="225"/>
      <c r="P47" s="1097"/>
      <c r="Q47" s="323"/>
      <c r="R47" s="352"/>
      <c r="S47" s="324"/>
      <c r="T47" s="353"/>
      <c r="U47" s="324"/>
      <c r="V47" s="331"/>
    </row>
    <row r="48" spans="2:22" ht="15" customHeight="1" thickBot="1" x14ac:dyDescent="0.2">
      <c r="B48" s="988"/>
      <c r="C48" s="377" t="str">
        <f>+農薬算出基礎!B17</f>
        <v>パダンSG水溶剤</v>
      </c>
      <c r="D48" s="377">
        <f>+農薬算出基礎!D17*10/農薬算出基礎!C17*1000/農薬算出基礎!E17</f>
        <v>4</v>
      </c>
      <c r="E48" s="378" t="s">
        <v>138</v>
      </c>
      <c r="F48" s="377">
        <f>+農薬算出基礎!F17</f>
        <v>3300</v>
      </c>
      <c r="G48" s="201">
        <f t="shared" si="22"/>
        <v>13200</v>
      </c>
      <c r="H48" s="213"/>
      <c r="I48" s="1122"/>
      <c r="J48" s="323"/>
      <c r="K48" s="1103"/>
      <c r="L48" s="1103"/>
      <c r="M48" s="316"/>
      <c r="N48" s="331"/>
      <c r="O48" s="225"/>
      <c r="P48" s="1100"/>
      <c r="Q48" s="332" t="s">
        <v>246</v>
      </c>
      <c r="R48" s="333"/>
      <c r="S48" s="333"/>
      <c r="T48" s="333"/>
      <c r="U48" s="333"/>
      <c r="V48" s="334">
        <f>SUM(V42:V47)</f>
        <v>64150</v>
      </c>
    </row>
    <row r="49" spans="2:22" ht="15" customHeight="1" thickTop="1" x14ac:dyDescent="0.15">
      <c r="B49" s="988"/>
      <c r="C49" s="377"/>
      <c r="D49" s="377"/>
      <c r="E49" s="378"/>
      <c r="F49" s="377"/>
      <c r="G49" s="201">
        <f t="shared" ref="G49:G51" si="23">D49*F49</f>
        <v>0</v>
      </c>
      <c r="H49" s="213"/>
      <c r="I49" s="1122"/>
      <c r="J49" s="210"/>
      <c r="K49" s="1103"/>
      <c r="L49" s="1103"/>
      <c r="M49" s="316"/>
      <c r="N49" s="331"/>
      <c r="O49" s="225"/>
      <c r="P49" s="1096" t="s">
        <v>252</v>
      </c>
      <c r="Q49" s="1093" t="s">
        <v>261</v>
      </c>
      <c r="R49" s="354"/>
      <c r="S49" s="321"/>
      <c r="T49" s="355"/>
      <c r="U49" s="321"/>
      <c r="V49" s="349"/>
    </row>
    <row r="50" spans="2:22" ht="15" customHeight="1" thickBot="1" x14ac:dyDescent="0.2">
      <c r="B50" s="988"/>
      <c r="C50" s="92"/>
      <c r="D50" s="92"/>
      <c r="E50" s="92"/>
      <c r="F50" s="92"/>
      <c r="G50" s="201">
        <f t="shared" si="23"/>
        <v>0</v>
      </c>
      <c r="H50" s="213"/>
      <c r="I50" s="1131"/>
      <c r="J50" s="319" t="s">
        <v>141</v>
      </c>
      <c r="K50" s="1107"/>
      <c r="L50" s="1108"/>
      <c r="M50" s="320"/>
      <c r="N50" s="327">
        <f>SUM(N47:N49)</f>
        <v>0</v>
      </c>
      <c r="O50" s="225"/>
      <c r="P50" s="1097"/>
      <c r="Q50" s="1094"/>
      <c r="R50" s="356"/>
      <c r="S50" s="323"/>
      <c r="T50" s="353"/>
      <c r="U50" s="323"/>
      <c r="V50" s="331"/>
    </row>
    <row r="51" spans="2:22" ht="15" customHeight="1" thickTop="1" x14ac:dyDescent="0.15">
      <c r="B51" s="988"/>
      <c r="C51" s="92"/>
      <c r="D51" s="92"/>
      <c r="E51" s="92"/>
      <c r="F51" s="92"/>
      <c r="G51" s="201">
        <f t="shared" si="23"/>
        <v>0</v>
      </c>
      <c r="H51" s="213"/>
      <c r="I51" s="1121" t="s">
        <v>236</v>
      </c>
      <c r="J51" s="321"/>
      <c r="K51" s="1111"/>
      <c r="L51" s="1111"/>
      <c r="M51" s="322"/>
      <c r="N51" s="349"/>
      <c r="O51" s="225"/>
      <c r="P51" s="1097"/>
      <c r="Q51" s="1094"/>
      <c r="R51" s="356"/>
      <c r="S51" s="323"/>
      <c r="T51" s="323"/>
      <c r="U51" s="210"/>
      <c r="V51" s="357"/>
    </row>
    <row r="52" spans="2:22" ht="15" customHeight="1" x14ac:dyDescent="0.15">
      <c r="B52" s="988"/>
      <c r="C52" s="92"/>
      <c r="D52" s="92"/>
      <c r="E52" s="92"/>
      <c r="F52" s="92"/>
      <c r="G52" s="201">
        <f t="shared" ref="G52" si="24">D52*F52</f>
        <v>0</v>
      </c>
      <c r="H52" s="213"/>
      <c r="I52" s="1122"/>
      <c r="J52" s="323"/>
      <c r="K52" s="1103"/>
      <c r="L52" s="1103"/>
      <c r="M52" s="316"/>
      <c r="N52" s="331"/>
      <c r="O52" s="225"/>
      <c r="P52" s="1097"/>
      <c r="Q52" s="1094"/>
      <c r="R52" s="356" t="s">
        <v>251</v>
      </c>
      <c r="S52" s="323">
        <v>15600</v>
      </c>
      <c r="T52" s="353">
        <v>1</v>
      </c>
      <c r="U52" s="609">
        <v>1.5</v>
      </c>
      <c r="V52" s="331">
        <f>+S52*T52/U52</f>
        <v>10400</v>
      </c>
    </row>
    <row r="53" spans="2:22" ht="15" customHeight="1" thickBot="1" x14ac:dyDescent="0.2">
      <c r="B53" s="1085"/>
      <c r="C53" s="204" t="s">
        <v>141</v>
      </c>
      <c r="D53" s="205"/>
      <c r="E53" s="205"/>
      <c r="F53" s="205"/>
      <c r="G53" s="206">
        <f>SUM(G43:G52)</f>
        <v>132684.44444444444</v>
      </c>
      <c r="H53" s="213"/>
      <c r="I53" s="1122"/>
      <c r="J53" s="210"/>
      <c r="K53" s="1103"/>
      <c r="L53" s="1103"/>
      <c r="M53" s="316"/>
      <c r="N53" s="331"/>
      <c r="O53" s="225"/>
      <c r="P53" s="1097"/>
      <c r="Q53" s="1095"/>
      <c r="R53" s="356"/>
      <c r="S53" s="323"/>
      <c r="T53" s="323"/>
      <c r="U53" s="210"/>
      <c r="V53" s="357"/>
    </row>
    <row r="54" spans="2:22" ht="15" customHeight="1" thickTop="1" thickBot="1" x14ac:dyDescent="0.2">
      <c r="B54" s="1084" t="s">
        <v>31</v>
      </c>
      <c r="C54" s="92" t="str">
        <f>+農薬算出基礎!B20</f>
        <v>ラウンドアップマックスロード</v>
      </c>
      <c r="D54" s="92">
        <f>+農薬算出基礎!D20*10*2/農薬算出基礎!C20*1000/農薬算出基礎!E20</f>
        <v>0.90909090909090906</v>
      </c>
      <c r="E54" s="103" t="s">
        <v>138</v>
      </c>
      <c r="F54" s="92">
        <f>+農薬算出基礎!F20</f>
        <v>45740</v>
      </c>
      <c r="G54" s="201">
        <f t="shared" ref="G54:G56" si="25">D54*F54</f>
        <v>41581.818181818184</v>
      </c>
      <c r="H54" s="213"/>
      <c r="I54" s="1131"/>
      <c r="J54" s="319" t="s">
        <v>141</v>
      </c>
      <c r="K54" s="1107"/>
      <c r="L54" s="1108"/>
      <c r="M54" s="320"/>
      <c r="N54" s="327">
        <f>SUM(N51:N53)</f>
        <v>0</v>
      </c>
      <c r="O54" s="225"/>
      <c r="P54" s="1097"/>
      <c r="Q54" s="332" t="s">
        <v>246</v>
      </c>
      <c r="R54" s="333"/>
      <c r="S54" s="333"/>
      <c r="T54" s="333"/>
      <c r="U54" s="333"/>
      <c r="V54" s="334">
        <f>SUM(V49:V53)</f>
        <v>10400</v>
      </c>
    </row>
    <row r="55" spans="2:22" ht="15" customHeight="1" thickTop="1" x14ac:dyDescent="0.15">
      <c r="B55" s="988"/>
      <c r="C55" s="92"/>
      <c r="D55" s="92"/>
      <c r="E55" s="92"/>
      <c r="F55" s="92"/>
      <c r="G55" s="201">
        <f t="shared" si="25"/>
        <v>0</v>
      </c>
      <c r="H55" s="213"/>
      <c r="I55" s="1121" t="s">
        <v>237</v>
      </c>
      <c r="J55" s="321"/>
      <c r="K55" s="1123"/>
      <c r="L55" s="1124"/>
      <c r="M55" s="335"/>
      <c r="N55" s="350"/>
      <c r="O55" s="225"/>
      <c r="P55" s="1097"/>
      <c r="Q55" s="1093" t="s">
        <v>262</v>
      </c>
      <c r="R55" s="354"/>
      <c r="S55" s="321"/>
      <c r="T55" s="355"/>
      <c r="U55" s="321"/>
      <c r="V55" s="349"/>
    </row>
    <row r="56" spans="2:22" ht="15" customHeight="1" x14ac:dyDescent="0.15">
      <c r="B56" s="988"/>
      <c r="C56" s="92"/>
      <c r="D56" s="92"/>
      <c r="E56" s="92"/>
      <c r="F56" s="92"/>
      <c r="G56" s="201">
        <f t="shared" si="25"/>
        <v>0</v>
      </c>
      <c r="H56" s="213"/>
      <c r="I56" s="1122"/>
      <c r="J56" s="323"/>
      <c r="K56" s="1125"/>
      <c r="L56" s="1126"/>
      <c r="M56" s="336"/>
      <c r="N56" s="331"/>
      <c r="O56" s="225"/>
      <c r="P56" s="1097"/>
      <c r="Q56" s="1094"/>
      <c r="R56" s="356"/>
      <c r="S56" s="323"/>
      <c r="T56" s="353"/>
      <c r="U56" s="323"/>
      <c r="V56" s="331"/>
    </row>
    <row r="57" spans="2:22" ht="14.25" thickBot="1" x14ac:dyDescent="0.2">
      <c r="B57" s="1085"/>
      <c r="C57" s="204" t="s">
        <v>141</v>
      </c>
      <c r="D57" s="205"/>
      <c r="E57" s="205"/>
      <c r="F57" s="205"/>
      <c r="G57" s="206">
        <f>SUM(G54:G56)</f>
        <v>41581.818181818184</v>
      </c>
      <c r="I57" s="1122"/>
      <c r="J57" s="323"/>
      <c r="K57" s="1125"/>
      <c r="L57" s="1126"/>
      <c r="M57" s="336"/>
      <c r="N57" s="331"/>
      <c r="O57" s="225"/>
      <c r="P57" s="1097"/>
      <c r="Q57" s="1094"/>
      <c r="R57" s="356"/>
      <c r="S57" s="323"/>
      <c r="T57" s="323"/>
      <c r="U57" s="210"/>
      <c r="V57" s="357"/>
    </row>
    <row r="58" spans="2:22" ht="14.25" thickTop="1" x14ac:dyDescent="0.15">
      <c r="B58" s="1084" t="s">
        <v>175</v>
      </c>
      <c r="C58" s="92" t="str">
        <f>+農薬算出基礎!B24</f>
        <v>ジベレリン協和粉末</v>
      </c>
      <c r="D58" s="92">
        <f>+農薬算出基礎!G24*10/農薬算出基礎!E24</f>
        <v>10</v>
      </c>
      <c r="E58" s="103" t="s">
        <v>341</v>
      </c>
      <c r="F58" s="92">
        <f>+農薬算出基礎!F24</f>
        <v>840</v>
      </c>
      <c r="G58" s="201">
        <f>D58*F58</f>
        <v>8400</v>
      </c>
      <c r="I58" s="1122"/>
      <c r="J58" s="316" t="s">
        <v>251</v>
      </c>
      <c r="K58" s="1127">
        <v>5000</v>
      </c>
      <c r="L58" s="1128"/>
      <c r="M58" s="610">
        <v>1.5</v>
      </c>
      <c r="N58" s="331">
        <f t="shared" ref="N58" si="26">+K58/M58</f>
        <v>3333.3333333333335</v>
      </c>
      <c r="O58" s="225"/>
      <c r="P58" s="1097"/>
      <c r="Q58" s="1094"/>
      <c r="R58" s="356" t="s">
        <v>251</v>
      </c>
      <c r="S58" s="323">
        <v>25000</v>
      </c>
      <c r="T58" s="353">
        <v>1</v>
      </c>
      <c r="U58" s="609">
        <v>1.5</v>
      </c>
      <c r="V58" s="331">
        <f>+S58*T58/U58</f>
        <v>16666.666666666668</v>
      </c>
    </row>
    <row r="59" spans="2:22" x14ac:dyDescent="0.15">
      <c r="B59" s="988"/>
      <c r="C59" s="92" t="str">
        <f>+農薬算出基礎!B25</f>
        <v>フルメット液剤</v>
      </c>
      <c r="D59" s="92">
        <f>+農薬算出基礎!G25*10/農薬算出基礎!E25</f>
        <v>10</v>
      </c>
      <c r="E59" s="103" t="s">
        <v>143</v>
      </c>
      <c r="F59" s="92">
        <f>+農薬算出基礎!F25</f>
        <v>1680</v>
      </c>
      <c r="G59" s="201">
        <f>D59*F59</f>
        <v>16800</v>
      </c>
      <c r="I59" s="1122"/>
      <c r="J59" s="323"/>
      <c r="K59" s="1125"/>
      <c r="L59" s="1126"/>
      <c r="M59" s="336"/>
      <c r="N59" s="351"/>
      <c r="O59" s="225"/>
      <c r="P59" s="1097"/>
      <c r="Q59" s="1095"/>
      <c r="R59" s="356"/>
      <c r="S59" s="323"/>
      <c r="T59" s="323"/>
      <c r="U59" s="210"/>
      <c r="V59" s="357"/>
    </row>
    <row r="60" spans="2:22" x14ac:dyDescent="0.15">
      <c r="B60" s="988"/>
      <c r="C60" s="92" t="str">
        <f>+農薬算出基礎!B26</f>
        <v>フラスター液剤（ピオーネ）</v>
      </c>
      <c r="D60" s="92">
        <f>+農薬算出基礎!D26*10/農薬算出基礎!C26*1000/農薬算出基礎!E26</f>
        <v>18.75</v>
      </c>
      <c r="E60" s="103" t="s">
        <v>143</v>
      </c>
      <c r="F60" s="92">
        <f>+農薬算出基礎!F26</f>
        <v>5540</v>
      </c>
      <c r="G60" s="201">
        <f>D60*F60</f>
        <v>103875</v>
      </c>
      <c r="I60" s="1104"/>
      <c r="J60" s="325" t="s">
        <v>141</v>
      </c>
      <c r="K60" s="1129"/>
      <c r="L60" s="1130"/>
      <c r="M60" s="326"/>
      <c r="N60" s="328">
        <f>SUM(N55:N59)</f>
        <v>3333.3333333333335</v>
      </c>
      <c r="O60" s="225"/>
      <c r="P60" s="1098"/>
      <c r="Q60" s="360" t="s">
        <v>246</v>
      </c>
      <c r="R60" s="361"/>
      <c r="S60" s="361"/>
      <c r="T60" s="361"/>
      <c r="U60" s="361"/>
      <c r="V60" s="362">
        <f>SUM(V55:V59)</f>
        <v>16666.666666666668</v>
      </c>
    </row>
    <row r="61" spans="2:22" ht="14.25" thickBot="1" x14ac:dyDescent="0.2">
      <c r="B61" s="1090"/>
      <c r="C61" s="207" t="s">
        <v>144</v>
      </c>
      <c r="D61" s="208"/>
      <c r="E61" s="208"/>
      <c r="F61" s="208"/>
      <c r="G61" s="209">
        <f>SUM(G58:G60)</f>
        <v>129075</v>
      </c>
      <c r="I61" s="1101" t="s">
        <v>238</v>
      </c>
      <c r="J61" s="1102"/>
      <c r="K61" s="1109"/>
      <c r="L61" s="1110"/>
      <c r="M61" s="232"/>
      <c r="N61" s="329">
        <f>SUM(N46,N50,N54,N60)</f>
        <v>33573.333333333336</v>
      </c>
      <c r="O61" s="225"/>
      <c r="P61" s="1091" t="s">
        <v>238</v>
      </c>
      <c r="Q61" s="1092"/>
      <c r="R61" s="358"/>
      <c r="S61" s="358"/>
      <c r="T61" s="358"/>
      <c r="U61" s="358"/>
      <c r="V61" s="359">
        <f>SUM(V48,V54,V60)</f>
        <v>91216.666666666672</v>
      </c>
    </row>
    <row r="62" spans="2:22" x14ac:dyDescent="0.15">
      <c r="O62" s="225"/>
      <c r="V62" s="93"/>
    </row>
    <row r="63" spans="2:22" x14ac:dyDescent="0.15">
      <c r="B63" s="93" t="s">
        <v>340</v>
      </c>
      <c r="I63" s="225"/>
      <c r="J63" s="225"/>
      <c r="K63" s="225"/>
      <c r="L63" s="225"/>
      <c r="M63" s="225"/>
      <c r="N63" s="225"/>
      <c r="O63" s="225"/>
    </row>
    <row r="64" spans="2:22" x14ac:dyDescent="0.15">
      <c r="B64" s="93" t="s">
        <v>485</v>
      </c>
      <c r="I64" s="225"/>
      <c r="J64" s="225"/>
      <c r="K64" s="225"/>
      <c r="L64" s="225"/>
      <c r="M64" s="225"/>
      <c r="N64" s="225"/>
      <c r="O64" s="225"/>
    </row>
    <row r="65" spans="2:15" x14ac:dyDescent="0.15">
      <c r="B65" s="93" t="s">
        <v>445</v>
      </c>
      <c r="I65" s="225"/>
      <c r="J65" s="225"/>
      <c r="K65" s="225"/>
      <c r="L65" s="225"/>
      <c r="M65" s="225"/>
      <c r="N65" s="225"/>
      <c r="O65" s="225"/>
    </row>
    <row r="66" spans="2:15" x14ac:dyDescent="0.15">
      <c r="I66" s="225"/>
      <c r="J66" s="225"/>
      <c r="K66" s="225"/>
      <c r="L66" s="225"/>
      <c r="M66" s="225"/>
      <c r="N66" s="225"/>
      <c r="O66" s="225"/>
    </row>
    <row r="67" spans="2:15" x14ac:dyDescent="0.15">
      <c r="I67" s="225"/>
      <c r="J67" s="225"/>
      <c r="K67" s="225"/>
      <c r="L67" s="225"/>
      <c r="M67" s="225"/>
      <c r="N67" s="225"/>
      <c r="O67" s="225"/>
    </row>
    <row r="68" spans="2:15" x14ac:dyDescent="0.15">
      <c r="I68" s="225"/>
      <c r="J68" s="225"/>
      <c r="K68" s="225"/>
      <c r="L68" s="225"/>
      <c r="M68" s="225"/>
      <c r="N68" s="225"/>
      <c r="O68" s="225"/>
    </row>
    <row r="69" spans="2:15" x14ac:dyDescent="0.15">
      <c r="I69" s="225"/>
      <c r="J69" s="225"/>
      <c r="K69" s="225"/>
      <c r="L69" s="225"/>
      <c r="M69" s="225"/>
      <c r="N69" s="225"/>
      <c r="O69" s="225"/>
    </row>
    <row r="70" spans="2:15" x14ac:dyDescent="0.15">
      <c r="I70" s="225"/>
      <c r="J70" s="225"/>
      <c r="K70" s="225"/>
      <c r="L70" s="225"/>
      <c r="M70" s="225"/>
      <c r="N70" s="225"/>
      <c r="O70" s="225"/>
    </row>
    <row r="71" spans="2:15" x14ac:dyDescent="0.15">
      <c r="I71" s="225"/>
      <c r="J71" s="225"/>
      <c r="K71" s="225"/>
      <c r="L71" s="225"/>
      <c r="M71" s="225"/>
      <c r="N71" s="225"/>
      <c r="O71" s="225"/>
    </row>
    <row r="72" spans="2:15" x14ac:dyDescent="0.15">
      <c r="I72" s="225"/>
      <c r="J72" s="225"/>
      <c r="K72" s="225"/>
      <c r="L72" s="225"/>
      <c r="M72" s="225"/>
      <c r="N72" s="225"/>
      <c r="O72" s="225"/>
    </row>
    <row r="73" spans="2:15" x14ac:dyDescent="0.15">
      <c r="I73" s="225"/>
      <c r="J73" s="225"/>
      <c r="K73" s="225"/>
      <c r="L73" s="225"/>
      <c r="M73" s="225"/>
      <c r="N73" s="225"/>
      <c r="O73" s="225"/>
    </row>
    <row r="74" spans="2:15" x14ac:dyDescent="0.15">
      <c r="I74" s="225"/>
      <c r="J74" s="225"/>
      <c r="K74" s="225"/>
      <c r="L74" s="225"/>
      <c r="M74" s="225"/>
      <c r="N74" s="225"/>
      <c r="O74" s="225"/>
    </row>
    <row r="75" spans="2:15" x14ac:dyDescent="0.15">
      <c r="I75" s="225"/>
      <c r="J75" s="225"/>
      <c r="K75" s="225"/>
      <c r="L75" s="225"/>
      <c r="M75" s="225"/>
      <c r="N75" s="225"/>
      <c r="O75" s="225"/>
    </row>
    <row r="76" spans="2:15" x14ac:dyDescent="0.15">
      <c r="I76" s="225"/>
      <c r="J76" s="225"/>
      <c r="K76" s="225"/>
      <c r="L76" s="225"/>
      <c r="M76" s="225"/>
      <c r="N76" s="225"/>
      <c r="O76" s="225"/>
    </row>
    <row r="77" spans="2:15" x14ac:dyDescent="0.15">
      <c r="I77" s="225"/>
      <c r="J77" s="225"/>
      <c r="K77" s="225"/>
      <c r="L77" s="225"/>
      <c r="M77" s="225"/>
      <c r="N77" s="225"/>
      <c r="O77" s="225"/>
    </row>
    <row r="78" spans="2:15" x14ac:dyDescent="0.15">
      <c r="I78" s="225"/>
      <c r="J78" s="225"/>
      <c r="K78" s="225"/>
      <c r="L78" s="225"/>
      <c r="M78" s="225"/>
      <c r="N78" s="225"/>
      <c r="O78" s="225"/>
    </row>
    <row r="79" spans="2:15" x14ac:dyDescent="0.15">
      <c r="I79" s="225"/>
      <c r="J79" s="225"/>
      <c r="K79" s="225"/>
      <c r="L79" s="225"/>
      <c r="M79" s="225"/>
      <c r="N79" s="225"/>
      <c r="O79" s="225"/>
    </row>
    <row r="80" spans="2:15" x14ac:dyDescent="0.15">
      <c r="I80" s="225"/>
      <c r="J80" s="225"/>
      <c r="K80" s="225"/>
      <c r="L80" s="225"/>
      <c r="M80" s="225"/>
      <c r="N80" s="225"/>
      <c r="O80" s="225"/>
    </row>
    <row r="81" spans="2:15" x14ac:dyDescent="0.15">
      <c r="I81" s="225"/>
      <c r="J81" s="225"/>
      <c r="K81" s="225"/>
      <c r="L81" s="225"/>
      <c r="M81" s="225"/>
      <c r="N81" s="225"/>
      <c r="O81" s="225"/>
    </row>
    <row r="82" spans="2:15" x14ac:dyDescent="0.15">
      <c r="I82" s="225"/>
      <c r="J82" s="225"/>
      <c r="K82" s="225"/>
      <c r="L82" s="225"/>
      <c r="M82" s="225"/>
      <c r="N82" s="225"/>
      <c r="O82" s="225"/>
    </row>
    <row r="83" spans="2:15" x14ac:dyDescent="0.15">
      <c r="I83" s="225"/>
      <c r="J83" s="225"/>
      <c r="K83" s="225"/>
      <c r="L83" s="225"/>
      <c r="M83" s="225"/>
      <c r="N83" s="225"/>
      <c r="O83" s="225"/>
    </row>
    <row r="84" spans="2:15" x14ac:dyDescent="0.15">
      <c r="I84" s="225"/>
      <c r="J84" s="225"/>
      <c r="K84" s="225"/>
      <c r="L84" s="225"/>
      <c r="M84" s="225"/>
      <c r="N84" s="225"/>
      <c r="O84" s="225"/>
    </row>
    <row r="85" spans="2:15" x14ac:dyDescent="0.15">
      <c r="I85" s="225"/>
      <c r="J85" s="225"/>
      <c r="K85" s="225"/>
      <c r="L85" s="225"/>
      <c r="M85" s="225"/>
      <c r="N85" s="225"/>
      <c r="O85" s="225"/>
    </row>
    <row r="86" spans="2:15" x14ac:dyDescent="0.15">
      <c r="I86" s="225"/>
      <c r="J86" s="225"/>
      <c r="K86" s="225"/>
      <c r="L86" s="225"/>
      <c r="M86" s="225"/>
      <c r="N86" s="225"/>
      <c r="O86" s="225"/>
    </row>
    <row r="87" spans="2:15" x14ac:dyDescent="0.15">
      <c r="B87" s="212"/>
      <c r="C87" s="213"/>
      <c r="D87" s="213"/>
      <c r="E87" s="213"/>
      <c r="F87" s="213"/>
      <c r="I87" s="225"/>
      <c r="J87" s="225"/>
      <c r="K87" s="225"/>
      <c r="L87" s="225"/>
      <c r="M87" s="225"/>
      <c r="N87" s="225"/>
      <c r="O87" s="225"/>
    </row>
    <row r="88" spans="2:15" x14ac:dyDescent="0.15">
      <c r="B88" s="212"/>
      <c r="C88" s="213"/>
      <c r="D88" s="213"/>
      <c r="E88" s="213"/>
      <c r="F88" s="213"/>
      <c r="I88" s="225"/>
      <c r="J88" s="225"/>
      <c r="K88" s="225"/>
      <c r="L88" s="225"/>
      <c r="M88" s="225"/>
      <c r="N88" s="225"/>
      <c r="O88" s="225"/>
    </row>
    <row r="89" spans="2:15" x14ac:dyDescent="0.15">
      <c r="I89" s="225"/>
      <c r="J89" s="225"/>
      <c r="K89" s="225"/>
      <c r="L89" s="225"/>
      <c r="M89" s="225"/>
      <c r="N89" s="225"/>
      <c r="O89" s="225"/>
    </row>
    <row r="90" spans="2:15" x14ac:dyDescent="0.15">
      <c r="I90" s="225"/>
      <c r="J90" s="225"/>
      <c r="K90" s="225"/>
      <c r="L90" s="225"/>
      <c r="M90" s="225"/>
      <c r="N90" s="225"/>
      <c r="O90" s="225"/>
    </row>
    <row r="91" spans="2:15" x14ac:dyDescent="0.15">
      <c r="I91" s="225"/>
      <c r="J91" s="225"/>
      <c r="K91" s="225"/>
      <c r="L91" s="225"/>
      <c r="M91" s="225"/>
      <c r="N91" s="225"/>
      <c r="O91" s="225"/>
    </row>
    <row r="92" spans="2:15" x14ac:dyDescent="0.15">
      <c r="I92" s="225"/>
      <c r="J92" s="225"/>
      <c r="K92" s="225"/>
      <c r="L92" s="225"/>
      <c r="M92" s="225"/>
      <c r="N92" s="225"/>
      <c r="O92" s="225"/>
    </row>
    <row r="93" spans="2:15" x14ac:dyDescent="0.15">
      <c r="I93" s="225"/>
      <c r="J93" s="225"/>
      <c r="K93" s="225"/>
      <c r="L93" s="225"/>
      <c r="M93" s="225"/>
      <c r="N93" s="225"/>
      <c r="O93" s="225"/>
    </row>
    <row r="94" spans="2:15" x14ac:dyDescent="0.15">
      <c r="I94" s="225"/>
      <c r="J94" s="225"/>
      <c r="K94" s="225"/>
      <c r="L94" s="225"/>
      <c r="M94" s="225"/>
      <c r="N94" s="225"/>
      <c r="O94" s="225"/>
    </row>
    <row r="95" spans="2:15" x14ac:dyDescent="0.15">
      <c r="I95" s="225"/>
      <c r="J95" s="225"/>
      <c r="K95" s="225"/>
      <c r="L95" s="225"/>
      <c r="M95" s="225"/>
      <c r="N95" s="225"/>
      <c r="O95" s="225"/>
    </row>
    <row r="96" spans="2:15" x14ac:dyDescent="0.15">
      <c r="I96" s="225"/>
      <c r="J96" s="225"/>
      <c r="K96" s="225"/>
      <c r="L96" s="225"/>
      <c r="M96" s="225"/>
      <c r="N96" s="225"/>
      <c r="O96" s="225"/>
    </row>
    <row r="97" spans="9:15" x14ac:dyDescent="0.15">
      <c r="I97" s="225"/>
      <c r="J97" s="225"/>
      <c r="K97" s="225"/>
      <c r="L97" s="225"/>
      <c r="M97" s="225"/>
      <c r="N97" s="225"/>
      <c r="O97" s="225"/>
    </row>
    <row r="98" spans="9:15" x14ac:dyDescent="0.15">
      <c r="I98" s="225"/>
      <c r="J98" s="225"/>
      <c r="K98" s="225"/>
      <c r="L98" s="225"/>
      <c r="M98" s="225"/>
      <c r="N98" s="225"/>
      <c r="O98" s="225"/>
    </row>
    <row r="99" spans="9:15" x14ac:dyDescent="0.15">
      <c r="I99" s="225"/>
      <c r="J99" s="225"/>
      <c r="K99" s="225"/>
      <c r="L99" s="225"/>
      <c r="M99" s="225"/>
      <c r="N99" s="225"/>
      <c r="O99" s="225"/>
    </row>
    <row r="100" spans="9:15" x14ac:dyDescent="0.15">
      <c r="I100" s="225"/>
      <c r="J100" s="225"/>
      <c r="K100" s="225"/>
      <c r="L100" s="225"/>
      <c r="M100" s="225"/>
      <c r="N100" s="225"/>
      <c r="O100" s="225"/>
    </row>
    <row r="101" spans="9:15" x14ac:dyDescent="0.15">
      <c r="I101" s="225"/>
      <c r="J101" s="225"/>
      <c r="K101" s="225"/>
      <c r="L101" s="225"/>
      <c r="M101" s="225"/>
      <c r="N101" s="225"/>
      <c r="O101" s="225"/>
    </row>
    <row r="102" spans="9:15" x14ac:dyDescent="0.15">
      <c r="I102" s="225"/>
      <c r="J102" s="225"/>
      <c r="K102" s="225"/>
      <c r="L102" s="225"/>
      <c r="M102" s="225"/>
      <c r="N102" s="225"/>
      <c r="O102" s="225"/>
    </row>
    <row r="103" spans="9:15" x14ac:dyDescent="0.15">
      <c r="I103" s="225"/>
      <c r="J103" s="225"/>
      <c r="K103" s="225"/>
      <c r="L103" s="225"/>
      <c r="M103" s="225"/>
      <c r="N103" s="225"/>
      <c r="O103" s="225"/>
    </row>
    <row r="104" spans="9:15" x14ac:dyDescent="0.15">
      <c r="I104" s="225"/>
      <c r="J104" s="225"/>
      <c r="K104" s="225"/>
      <c r="L104" s="225"/>
      <c r="M104" s="225"/>
      <c r="N104" s="225"/>
      <c r="O104" s="225"/>
    </row>
    <row r="105" spans="9:15" x14ac:dyDescent="0.15">
      <c r="I105" s="225"/>
      <c r="J105" s="225"/>
      <c r="K105" s="225"/>
      <c r="L105" s="225"/>
      <c r="M105" s="225"/>
      <c r="N105" s="225"/>
      <c r="O105" s="225"/>
    </row>
    <row r="106" spans="9:15" x14ac:dyDescent="0.15">
      <c r="I106" s="225"/>
      <c r="J106" s="225"/>
      <c r="K106" s="225"/>
      <c r="L106" s="225"/>
      <c r="M106" s="225"/>
      <c r="N106" s="225"/>
      <c r="O106" s="225"/>
    </row>
    <row r="107" spans="9:15" x14ac:dyDescent="0.15">
      <c r="I107" s="225"/>
      <c r="J107" s="225"/>
      <c r="K107" s="225"/>
      <c r="L107" s="225"/>
      <c r="M107" s="225"/>
      <c r="N107" s="225"/>
      <c r="O107" s="225"/>
    </row>
    <row r="108" spans="9:15" x14ac:dyDescent="0.15">
      <c r="I108" s="225"/>
      <c r="J108" s="225"/>
      <c r="K108" s="225"/>
      <c r="L108" s="225"/>
      <c r="M108" s="225"/>
      <c r="N108" s="225"/>
      <c r="O108" s="225"/>
    </row>
    <row r="109" spans="9:15" x14ac:dyDescent="0.15">
      <c r="I109" s="225"/>
      <c r="J109" s="225"/>
      <c r="K109" s="225"/>
      <c r="L109" s="225"/>
      <c r="M109" s="225"/>
      <c r="N109" s="225"/>
      <c r="O109" s="225"/>
    </row>
    <row r="110" spans="9:15" x14ac:dyDescent="0.15">
      <c r="I110" s="225"/>
      <c r="J110" s="225"/>
      <c r="K110" s="225"/>
      <c r="L110" s="225"/>
      <c r="M110" s="225"/>
      <c r="N110" s="225"/>
      <c r="O110" s="225"/>
    </row>
    <row r="111" spans="9:15" x14ac:dyDescent="0.15">
      <c r="I111" s="225"/>
      <c r="J111" s="225"/>
      <c r="K111" s="225"/>
      <c r="L111" s="225"/>
      <c r="M111" s="225"/>
      <c r="N111" s="225"/>
      <c r="O111" s="225"/>
    </row>
    <row r="112" spans="9:15" x14ac:dyDescent="0.15">
      <c r="I112" s="225"/>
      <c r="J112" s="225"/>
      <c r="K112" s="225"/>
      <c r="L112" s="225"/>
      <c r="M112" s="225"/>
      <c r="N112" s="225"/>
      <c r="O112" s="225"/>
    </row>
    <row r="113" spans="9:15" x14ac:dyDescent="0.15">
      <c r="I113" s="225"/>
      <c r="J113" s="225"/>
      <c r="K113" s="225"/>
      <c r="L113" s="225"/>
      <c r="M113" s="225"/>
      <c r="N113" s="225"/>
      <c r="O113" s="225"/>
    </row>
    <row r="114" spans="9:15" x14ac:dyDescent="0.15">
      <c r="I114" s="225"/>
      <c r="J114" s="225"/>
      <c r="K114" s="225"/>
      <c r="L114" s="225"/>
      <c r="M114" s="225"/>
      <c r="N114" s="225"/>
      <c r="O114" s="225"/>
    </row>
    <row r="115" spans="9:15" x14ac:dyDescent="0.15">
      <c r="I115" s="225"/>
      <c r="J115" s="225"/>
      <c r="K115" s="225"/>
      <c r="L115" s="225"/>
      <c r="M115" s="225"/>
      <c r="N115" s="225"/>
      <c r="O115" s="225"/>
    </row>
    <row r="116" spans="9:15" x14ac:dyDescent="0.15">
      <c r="I116" s="225"/>
      <c r="J116" s="225"/>
      <c r="K116" s="225"/>
      <c r="L116" s="225"/>
      <c r="M116" s="225"/>
      <c r="N116" s="225"/>
      <c r="O116" s="225"/>
    </row>
    <row r="117" spans="9:15" x14ac:dyDescent="0.15">
      <c r="I117" s="225"/>
      <c r="J117" s="225"/>
      <c r="K117" s="225"/>
      <c r="L117" s="225"/>
      <c r="M117" s="225"/>
      <c r="N117" s="225"/>
      <c r="O117" s="225"/>
    </row>
    <row r="118" spans="9:15" x14ac:dyDescent="0.15">
      <c r="I118" s="225"/>
      <c r="J118" s="225"/>
      <c r="K118" s="225"/>
      <c r="L118" s="225"/>
      <c r="M118" s="225"/>
      <c r="N118" s="225"/>
      <c r="O118" s="225"/>
    </row>
    <row r="119" spans="9:15" x14ac:dyDescent="0.15">
      <c r="I119" s="225"/>
      <c r="J119" s="225"/>
      <c r="K119" s="225"/>
      <c r="L119" s="225"/>
      <c r="M119" s="225"/>
      <c r="N119" s="225"/>
      <c r="O119" s="225"/>
    </row>
    <row r="120" spans="9:15" x14ac:dyDescent="0.15">
      <c r="I120" s="225"/>
      <c r="J120" s="225"/>
      <c r="K120" s="225"/>
      <c r="L120" s="225"/>
      <c r="M120" s="225"/>
      <c r="N120" s="225"/>
      <c r="O120" s="225"/>
    </row>
    <row r="121" spans="9:15" x14ac:dyDescent="0.15">
      <c r="I121" s="225"/>
      <c r="J121" s="225"/>
      <c r="K121" s="225"/>
      <c r="L121" s="225"/>
      <c r="M121" s="225"/>
      <c r="N121" s="225"/>
      <c r="O121" s="225"/>
    </row>
    <row r="122" spans="9:15" x14ac:dyDescent="0.15">
      <c r="I122" s="225"/>
      <c r="J122" s="225"/>
      <c r="K122" s="225"/>
      <c r="L122" s="225"/>
      <c r="M122" s="225"/>
      <c r="N122" s="225"/>
      <c r="O122" s="225"/>
    </row>
    <row r="123" spans="9:15" x14ac:dyDescent="0.15">
      <c r="I123" s="225"/>
      <c r="J123" s="225"/>
      <c r="K123" s="225"/>
      <c r="L123" s="225"/>
      <c r="M123" s="225"/>
      <c r="N123" s="225"/>
      <c r="O123" s="225"/>
    </row>
    <row r="124" spans="9:15" x14ac:dyDescent="0.15">
      <c r="I124" s="225"/>
      <c r="J124" s="225"/>
      <c r="K124" s="225"/>
      <c r="L124" s="225"/>
      <c r="M124" s="225"/>
      <c r="N124" s="225"/>
      <c r="O124" s="225"/>
    </row>
    <row r="125" spans="9:15" x14ac:dyDescent="0.15">
      <c r="I125" s="225"/>
      <c r="J125" s="225"/>
      <c r="K125" s="225"/>
      <c r="L125" s="225"/>
      <c r="M125" s="225"/>
      <c r="N125" s="225"/>
      <c r="O125" s="225"/>
    </row>
    <row r="126" spans="9:15" x14ac:dyDescent="0.15">
      <c r="I126" s="225"/>
      <c r="J126" s="225"/>
      <c r="K126" s="225"/>
      <c r="L126" s="225"/>
      <c r="M126" s="225"/>
      <c r="N126" s="225"/>
      <c r="O126" s="225"/>
    </row>
    <row r="127" spans="9:15" x14ac:dyDescent="0.15">
      <c r="I127" s="225"/>
      <c r="J127" s="225"/>
      <c r="K127" s="225"/>
      <c r="L127" s="225"/>
      <c r="M127" s="225"/>
      <c r="N127" s="225"/>
      <c r="O127" s="225"/>
    </row>
    <row r="128" spans="9:15" x14ac:dyDescent="0.15">
      <c r="I128" s="225"/>
      <c r="J128" s="225"/>
      <c r="K128" s="225"/>
      <c r="L128" s="225"/>
      <c r="M128" s="225"/>
      <c r="N128" s="225"/>
      <c r="O128" s="225"/>
    </row>
    <row r="129" spans="9:15" x14ac:dyDescent="0.15">
      <c r="I129" s="225"/>
      <c r="J129" s="225"/>
      <c r="K129" s="225"/>
      <c r="L129" s="225"/>
      <c r="M129" s="225"/>
      <c r="N129" s="225"/>
      <c r="O129" s="225"/>
    </row>
    <row r="130" spans="9:15" x14ac:dyDescent="0.15">
      <c r="I130" s="225"/>
      <c r="J130" s="225"/>
      <c r="K130" s="225"/>
      <c r="L130" s="225"/>
      <c r="M130" s="225"/>
      <c r="N130" s="225"/>
      <c r="O130" s="225"/>
    </row>
    <row r="131" spans="9:15" x14ac:dyDescent="0.15">
      <c r="I131" s="225"/>
      <c r="J131" s="225"/>
      <c r="K131" s="225"/>
      <c r="L131" s="225"/>
      <c r="M131" s="225"/>
      <c r="N131" s="225"/>
      <c r="O131" s="225"/>
    </row>
    <row r="132" spans="9:15" x14ac:dyDescent="0.15">
      <c r="I132" s="225"/>
      <c r="J132" s="225"/>
      <c r="K132" s="225"/>
      <c r="L132" s="225"/>
      <c r="M132" s="225"/>
      <c r="N132" s="225"/>
      <c r="O132" s="225"/>
    </row>
    <row r="133" spans="9:15" x14ac:dyDescent="0.15">
      <c r="I133" s="225"/>
      <c r="J133" s="225"/>
      <c r="K133" s="225"/>
      <c r="L133" s="225"/>
      <c r="M133" s="225"/>
      <c r="N133" s="225"/>
      <c r="O133" s="225"/>
    </row>
    <row r="134" spans="9:15" x14ac:dyDescent="0.15">
      <c r="I134" s="225"/>
      <c r="J134" s="225"/>
      <c r="K134" s="225"/>
      <c r="L134" s="225"/>
      <c r="M134" s="225"/>
      <c r="N134" s="225"/>
      <c r="O134" s="225"/>
    </row>
    <row r="135" spans="9:15" x14ac:dyDescent="0.15">
      <c r="I135" s="225"/>
      <c r="J135" s="225"/>
      <c r="K135" s="225"/>
      <c r="L135" s="225"/>
      <c r="M135" s="225"/>
      <c r="N135" s="225"/>
      <c r="O135" s="225"/>
    </row>
    <row r="136" spans="9:15" x14ac:dyDescent="0.15">
      <c r="I136" s="225"/>
      <c r="J136" s="225"/>
      <c r="K136" s="225"/>
      <c r="L136" s="225"/>
      <c r="M136" s="225"/>
      <c r="N136" s="225"/>
      <c r="O136" s="225"/>
    </row>
    <row r="137" spans="9:15" x14ac:dyDescent="0.15">
      <c r="I137" s="225"/>
      <c r="J137" s="225"/>
      <c r="K137" s="225"/>
      <c r="L137" s="225"/>
      <c r="M137" s="225"/>
      <c r="N137" s="225"/>
      <c r="O137" s="225"/>
    </row>
    <row r="138" spans="9:15" x14ac:dyDescent="0.15">
      <c r="I138" s="225"/>
      <c r="J138" s="225"/>
      <c r="K138" s="225"/>
      <c r="L138" s="225"/>
      <c r="M138" s="225"/>
      <c r="N138" s="225"/>
      <c r="O138" s="225"/>
    </row>
    <row r="139" spans="9:15" x14ac:dyDescent="0.15">
      <c r="I139" s="225"/>
      <c r="J139" s="225"/>
      <c r="K139" s="225"/>
      <c r="L139" s="225"/>
      <c r="M139" s="225"/>
      <c r="N139" s="225"/>
      <c r="O139" s="225"/>
    </row>
    <row r="140" spans="9:15" x14ac:dyDescent="0.15">
      <c r="I140" s="225"/>
      <c r="J140" s="225"/>
      <c r="K140" s="225"/>
      <c r="L140" s="225"/>
      <c r="M140" s="225"/>
      <c r="N140" s="225"/>
      <c r="O140" s="225"/>
    </row>
    <row r="141" spans="9:15" x14ac:dyDescent="0.15">
      <c r="I141" s="225"/>
      <c r="J141" s="225"/>
      <c r="K141" s="225"/>
      <c r="L141" s="225"/>
      <c r="M141" s="225"/>
      <c r="N141" s="225"/>
      <c r="O141" s="225"/>
    </row>
    <row r="142" spans="9:15" x14ac:dyDescent="0.15">
      <c r="I142" s="225"/>
      <c r="J142" s="225"/>
      <c r="K142" s="225"/>
      <c r="L142" s="225"/>
      <c r="M142" s="225"/>
      <c r="N142" s="225"/>
      <c r="O142" s="225"/>
    </row>
    <row r="143" spans="9:15" x14ac:dyDescent="0.15">
      <c r="I143" s="225"/>
      <c r="J143" s="225"/>
      <c r="K143" s="225"/>
      <c r="L143" s="225"/>
      <c r="M143" s="225"/>
      <c r="N143" s="225"/>
    </row>
    <row r="144" spans="9:15" x14ac:dyDescent="0.15">
      <c r="I144" s="225"/>
      <c r="J144" s="225"/>
      <c r="K144" s="225"/>
      <c r="L144" s="225"/>
      <c r="M144" s="225"/>
      <c r="N144" s="225"/>
    </row>
    <row r="145" spans="9:14" x14ac:dyDescent="0.15">
      <c r="I145" s="225"/>
      <c r="J145" s="225"/>
      <c r="K145" s="225"/>
      <c r="L145" s="225"/>
      <c r="M145" s="225"/>
      <c r="N145" s="225"/>
    </row>
    <row r="146" spans="9:14" x14ac:dyDescent="0.15">
      <c r="I146" s="225"/>
      <c r="J146" s="225"/>
      <c r="K146" s="225"/>
      <c r="L146" s="225"/>
      <c r="M146" s="225"/>
      <c r="N146" s="225"/>
    </row>
    <row r="147" spans="9:14" x14ac:dyDescent="0.15">
      <c r="I147" s="225"/>
      <c r="J147" s="225"/>
      <c r="K147" s="225"/>
      <c r="L147" s="225"/>
      <c r="M147" s="225"/>
      <c r="N147" s="225"/>
    </row>
    <row r="148" spans="9:14" x14ac:dyDescent="0.15">
      <c r="I148" s="225"/>
      <c r="J148" s="225"/>
      <c r="K148" s="225"/>
      <c r="L148" s="225"/>
      <c r="M148" s="225"/>
      <c r="N148" s="225"/>
    </row>
    <row r="149" spans="9:14" x14ac:dyDescent="0.15">
      <c r="I149" s="225"/>
      <c r="J149" s="225"/>
      <c r="K149" s="225"/>
      <c r="L149" s="225"/>
      <c r="M149" s="225"/>
      <c r="N149" s="225"/>
    </row>
    <row r="150" spans="9:14" x14ac:dyDescent="0.15">
      <c r="I150" s="225"/>
      <c r="J150" s="225"/>
      <c r="K150" s="225"/>
      <c r="L150" s="225"/>
      <c r="M150" s="225"/>
      <c r="N150" s="225"/>
    </row>
    <row r="151" spans="9:14" x14ac:dyDescent="0.15">
      <c r="I151" s="225"/>
      <c r="J151" s="225"/>
      <c r="K151" s="225"/>
      <c r="L151" s="225"/>
      <c r="M151" s="225"/>
      <c r="N151" s="225"/>
    </row>
    <row r="152" spans="9:14" x14ac:dyDescent="0.15">
      <c r="I152" s="225"/>
      <c r="J152" s="225"/>
      <c r="K152" s="225"/>
      <c r="L152" s="225"/>
      <c r="M152" s="225"/>
      <c r="N152" s="225"/>
    </row>
    <row r="153" spans="9:14" x14ac:dyDescent="0.15">
      <c r="I153" s="225"/>
      <c r="J153" s="225"/>
      <c r="K153" s="225"/>
      <c r="L153" s="225"/>
      <c r="M153" s="225"/>
      <c r="N153" s="225"/>
    </row>
    <row r="154" spans="9:14" x14ac:dyDescent="0.15">
      <c r="I154" s="225"/>
      <c r="J154" s="225"/>
      <c r="K154" s="225"/>
      <c r="L154" s="225"/>
      <c r="M154" s="225"/>
      <c r="N154" s="225"/>
    </row>
    <row r="155" spans="9:14" x14ac:dyDescent="0.15">
      <c r="I155" s="225"/>
      <c r="J155" s="225"/>
      <c r="K155" s="225"/>
      <c r="L155" s="225"/>
      <c r="M155" s="225"/>
      <c r="N155" s="225"/>
    </row>
    <row r="156" spans="9:14" x14ac:dyDescent="0.15">
      <c r="I156" s="225"/>
      <c r="J156" s="225"/>
      <c r="K156" s="225"/>
      <c r="L156" s="225"/>
      <c r="M156" s="225"/>
      <c r="N156" s="225"/>
    </row>
    <row r="157" spans="9:14" x14ac:dyDescent="0.15">
      <c r="I157" s="225"/>
      <c r="J157" s="225"/>
      <c r="K157" s="225"/>
      <c r="L157" s="225"/>
      <c r="M157" s="225"/>
      <c r="N157" s="225"/>
    </row>
    <row r="158" spans="9:14" x14ac:dyDescent="0.15">
      <c r="I158" s="225"/>
      <c r="J158" s="225"/>
      <c r="K158" s="225"/>
      <c r="L158" s="225"/>
      <c r="M158" s="225"/>
      <c r="N158" s="225"/>
    </row>
    <row r="159" spans="9:14" x14ac:dyDescent="0.15">
      <c r="J159" s="225"/>
      <c r="K159" s="225"/>
      <c r="L159" s="225"/>
      <c r="M159" s="225"/>
      <c r="N159" s="225"/>
    </row>
    <row r="160" spans="9:14" x14ac:dyDescent="0.15">
      <c r="J160" s="225"/>
      <c r="K160" s="225"/>
      <c r="L160" s="225"/>
      <c r="M160" s="225"/>
      <c r="N160" s="225"/>
    </row>
    <row r="176" spans="15:15" x14ac:dyDescent="0.15">
      <c r="O176" s="225"/>
    </row>
    <row r="177" spans="15:15" x14ac:dyDescent="0.15">
      <c r="O177" s="225"/>
    </row>
    <row r="178" spans="15:15" x14ac:dyDescent="0.15">
      <c r="O178" s="225"/>
    </row>
    <row r="179" spans="15:15" x14ac:dyDescent="0.15">
      <c r="O179" s="225"/>
    </row>
    <row r="180" spans="15:15" x14ac:dyDescent="0.15">
      <c r="O180" s="225"/>
    </row>
    <row r="181" spans="15:15" x14ac:dyDescent="0.15">
      <c r="O181" s="225"/>
    </row>
    <row r="182" spans="15:15" x14ac:dyDescent="0.15">
      <c r="O182" s="225"/>
    </row>
    <row r="183" spans="15:15" x14ac:dyDescent="0.15">
      <c r="O183" s="225"/>
    </row>
    <row r="184" spans="15:15" x14ac:dyDescent="0.15">
      <c r="O184" s="225"/>
    </row>
    <row r="185" spans="15:15" x14ac:dyDescent="0.15">
      <c r="O185" s="225"/>
    </row>
    <row r="186" spans="15:15" x14ac:dyDescent="0.15">
      <c r="O186" s="225"/>
    </row>
    <row r="187" spans="15:15" x14ac:dyDescent="0.15">
      <c r="O187" s="225"/>
    </row>
    <row r="188" spans="15:15" x14ac:dyDescent="0.15">
      <c r="O188" s="225"/>
    </row>
    <row r="189" spans="15:15" x14ac:dyDescent="0.15">
      <c r="O189" s="225"/>
    </row>
    <row r="190" spans="15:15" x14ac:dyDescent="0.15">
      <c r="O190" s="225"/>
    </row>
    <row r="191" spans="15:15" x14ac:dyDescent="0.15">
      <c r="O191" s="225"/>
    </row>
    <row r="192" spans="15:15" x14ac:dyDescent="0.15">
      <c r="O192" s="225"/>
    </row>
    <row r="193" spans="15:15" x14ac:dyDescent="0.15">
      <c r="O193" s="225"/>
    </row>
    <row r="194" spans="15:15" x14ac:dyDescent="0.15">
      <c r="O194" s="225"/>
    </row>
    <row r="195" spans="15:15" x14ac:dyDescent="0.15">
      <c r="O195" s="225"/>
    </row>
  </sheetData>
  <mergeCells count="72">
    <mergeCell ref="T14:U14"/>
    <mergeCell ref="T12:U12"/>
    <mergeCell ref="T13:U13"/>
    <mergeCell ref="I47:I50"/>
    <mergeCell ref="I51:I54"/>
    <mergeCell ref="K47:L47"/>
    <mergeCell ref="K48:L48"/>
    <mergeCell ref="T15:U15"/>
    <mergeCell ref="T16:U16"/>
    <mergeCell ref="T19:U19"/>
    <mergeCell ref="T20:U20"/>
    <mergeCell ref="T21:U21"/>
    <mergeCell ref="K50:L50"/>
    <mergeCell ref="T17:U17"/>
    <mergeCell ref="T18:U18"/>
    <mergeCell ref="I17:I20"/>
    <mergeCell ref="I55:I60"/>
    <mergeCell ref="K55:L55"/>
    <mergeCell ref="K56:L56"/>
    <mergeCell ref="K57:L57"/>
    <mergeCell ref="K58:L58"/>
    <mergeCell ref="K59:L59"/>
    <mergeCell ref="K60:L60"/>
    <mergeCell ref="B58:B61"/>
    <mergeCell ref="B54:B57"/>
    <mergeCell ref="B5:B7"/>
    <mergeCell ref="B8:B12"/>
    <mergeCell ref="B13:B17"/>
    <mergeCell ref="B22:B25"/>
    <mergeCell ref="B18:B21"/>
    <mergeCell ref="B43:B53"/>
    <mergeCell ref="B29:B42"/>
    <mergeCell ref="M4:M5"/>
    <mergeCell ref="N4:N5"/>
    <mergeCell ref="J4:J5"/>
    <mergeCell ref="I4:I5"/>
    <mergeCell ref="T4:U4"/>
    <mergeCell ref="T5:U5"/>
    <mergeCell ref="T6:U6"/>
    <mergeCell ref="T7:U7"/>
    <mergeCell ref="T8:U8"/>
    <mergeCell ref="T9:U9"/>
    <mergeCell ref="T11:U11"/>
    <mergeCell ref="T10:U10"/>
    <mergeCell ref="I61:J61"/>
    <mergeCell ref="K45:L45"/>
    <mergeCell ref="K41:L41"/>
    <mergeCell ref="K42:L42"/>
    <mergeCell ref="I39:I46"/>
    <mergeCell ref="K46:L46"/>
    <mergeCell ref="K49:L49"/>
    <mergeCell ref="K61:L61"/>
    <mergeCell ref="K39:L39"/>
    <mergeCell ref="K40:L40"/>
    <mergeCell ref="K43:L43"/>
    <mergeCell ref="K44:L44"/>
    <mergeCell ref="K54:L54"/>
    <mergeCell ref="K51:L51"/>
    <mergeCell ref="K52:L52"/>
    <mergeCell ref="K53:L53"/>
    <mergeCell ref="P61:Q61"/>
    <mergeCell ref="Q49:Q53"/>
    <mergeCell ref="Q55:Q59"/>
    <mergeCell ref="P49:P60"/>
    <mergeCell ref="P42:P48"/>
    <mergeCell ref="I21:I24"/>
    <mergeCell ref="K38:L38"/>
    <mergeCell ref="Q41:R41"/>
    <mergeCell ref="I6:I11"/>
    <mergeCell ref="I12:I16"/>
    <mergeCell ref="I29:I32"/>
    <mergeCell ref="I25:I28"/>
  </mergeCells>
  <phoneticPr fontId="5"/>
  <pageMargins left="0.78740157480314965" right="0.78740157480314965" top="0.78740157480314965" bottom="0.78740157480314965" header="0.39370078740157483" footer="0.39370078740157483"/>
  <pageSetup paperSize="9" scale="58" orientation="landscape" horizontalDpi="4294967293" verticalDpi="300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Y195"/>
  <sheetViews>
    <sheetView showZeros="0" zoomScale="75" zoomScaleNormal="75" zoomScaleSheetLayoutView="80" workbookViewId="0"/>
  </sheetViews>
  <sheetFormatPr defaultRowHeight="13.5" x14ac:dyDescent="0.15"/>
  <cols>
    <col min="1" max="1" width="1.625" style="93" customWidth="1"/>
    <col min="2" max="2" width="3.625" style="93" customWidth="1"/>
    <col min="3" max="3" width="15.625" style="93" customWidth="1"/>
    <col min="4" max="7" width="8.625" style="93" customWidth="1"/>
    <col min="8" max="8" width="1.625" style="225" customWidth="1"/>
    <col min="9" max="9" width="3.625" style="93" customWidth="1"/>
    <col min="10" max="10" width="15.625" style="93" customWidth="1"/>
    <col min="11" max="14" width="8.625" style="93" customWidth="1"/>
    <col min="15" max="15" width="3.5" style="93" customWidth="1"/>
    <col min="16" max="16" width="15.625" style="190" customWidth="1"/>
    <col min="17" max="17" width="8.625" style="93" customWidth="1"/>
    <col min="18" max="18" width="8.625" style="94" customWidth="1"/>
    <col min="19" max="21" width="8.625" style="93" customWidth="1"/>
    <col min="22" max="22" width="10.625" style="94" customWidth="1"/>
    <col min="23" max="262" width="9" style="93"/>
    <col min="263" max="263" width="1.375" style="93" customWidth="1"/>
    <col min="264" max="264" width="3.5" style="93" customWidth="1"/>
    <col min="265" max="265" width="22.125" style="93" customWidth="1"/>
    <col min="266" max="266" width="9.75" style="93" customWidth="1"/>
    <col min="267" max="267" width="7.375" style="93" customWidth="1"/>
    <col min="268" max="268" width="9" style="93"/>
    <col min="269" max="269" width="9.25" style="93" customWidth="1"/>
    <col min="270" max="270" width="3.5" style="93" customWidth="1"/>
    <col min="271" max="272" width="12.625" style="93" customWidth="1"/>
    <col min="273" max="273" width="9" style="93"/>
    <col min="274" max="274" width="7.75" style="93" customWidth="1"/>
    <col min="275" max="275" width="13.125" style="93" customWidth="1"/>
    <col min="276" max="276" width="6.125" style="93" customWidth="1"/>
    <col min="277" max="277" width="9.75" style="93" customWidth="1"/>
    <col min="278" max="278" width="1.375" style="93" customWidth="1"/>
    <col min="279" max="518" width="9" style="93"/>
    <col min="519" max="519" width="1.375" style="93" customWidth="1"/>
    <col min="520" max="520" width="3.5" style="93" customWidth="1"/>
    <col min="521" max="521" width="22.125" style="93" customWidth="1"/>
    <col min="522" max="522" width="9.75" style="93" customWidth="1"/>
    <col min="523" max="523" width="7.375" style="93" customWidth="1"/>
    <col min="524" max="524" width="9" style="93"/>
    <col min="525" max="525" width="9.25" style="93" customWidth="1"/>
    <col min="526" max="526" width="3.5" style="93" customWidth="1"/>
    <col min="527" max="528" width="12.625" style="93" customWidth="1"/>
    <col min="529" max="529" width="9" style="93"/>
    <col min="530" max="530" width="7.75" style="93" customWidth="1"/>
    <col min="531" max="531" width="13.125" style="93" customWidth="1"/>
    <col min="532" max="532" width="6.125" style="93" customWidth="1"/>
    <col min="533" max="533" width="9.75" style="93" customWidth="1"/>
    <col min="534" max="534" width="1.375" style="93" customWidth="1"/>
    <col min="535" max="774" width="9" style="93"/>
    <col min="775" max="775" width="1.375" style="93" customWidth="1"/>
    <col min="776" max="776" width="3.5" style="93" customWidth="1"/>
    <col min="777" max="777" width="22.125" style="93" customWidth="1"/>
    <col min="778" max="778" width="9.75" style="93" customWidth="1"/>
    <col min="779" max="779" width="7.375" style="93" customWidth="1"/>
    <col min="780" max="780" width="9" style="93"/>
    <col min="781" max="781" width="9.25" style="93" customWidth="1"/>
    <col min="782" max="782" width="3.5" style="93" customWidth="1"/>
    <col min="783" max="784" width="12.625" style="93" customWidth="1"/>
    <col min="785" max="785" width="9" style="93"/>
    <col min="786" max="786" width="7.75" style="93" customWidth="1"/>
    <col min="787" max="787" width="13.125" style="93" customWidth="1"/>
    <col min="788" max="788" width="6.125" style="93" customWidth="1"/>
    <col min="789" max="789" width="9.75" style="93" customWidth="1"/>
    <col min="790" max="790" width="1.375" style="93" customWidth="1"/>
    <col min="791" max="1030" width="9" style="93"/>
    <col min="1031" max="1031" width="1.375" style="93" customWidth="1"/>
    <col min="1032" max="1032" width="3.5" style="93" customWidth="1"/>
    <col min="1033" max="1033" width="22.125" style="93" customWidth="1"/>
    <col min="1034" max="1034" width="9.75" style="93" customWidth="1"/>
    <col min="1035" max="1035" width="7.375" style="93" customWidth="1"/>
    <col min="1036" max="1036" width="9" style="93"/>
    <col min="1037" max="1037" width="9.25" style="93" customWidth="1"/>
    <col min="1038" max="1038" width="3.5" style="93" customWidth="1"/>
    <col min="1039" max="1040" width="12.625" style="93" customWidth="1"/>
    <col min="1041" max="1041" width="9" style="93"/>
    <col min="1042" max="1042" width="7.75" style="93" customWidth="1"/>
    <col min="1043" max="1043" width="13.125" style="93" customWidth="1"/>
    <col min="1044" max="1044" width="6.125" style="93" customWidth="1"/>
    <col min="1045" max="1045" width="9.75" style="93" customWidth="1"/>
    <col min="1046" max="1046" width="1.375" style="93" customWidth="1"/>
    <col min="1047" max="1286" width="9" style="93"/>
    <col min="1287" max="1287" width="1.375" style="93" customWidth="1"/>
    <col min="1288" max="1288" width="3.5" style="93" customWidth="1"/>
    <col min="1289" max="1289" width="22.125" style="93" customWidth="1"/>
    <col min="1290" max="1290" width="9.75" style="93" customWidth="1"/>
    <col min="1291" max="1291" width="7.375" style="93" customWidth="1"/>
    <col min="1292" max="1292" width="9" style="93"/>
    <col min="1293" max="1293" width="9.25" style="93" customWidth="1"/>
    <col min="1294" max="1294" width="3.5" style="93" customWidth="1"/>
    <col min="1295" max="1296" width="12.625" style="93" customWidth="1"/>
    <col min="1297" max="1297" width="9" style="93"/>
    <col min="1298" max="1298" width="7.75" style="93" customWidth="1"/>
    <col min="1299" max="1299" width="13.125" style="93" customWidth="1"/>
    <col min="1300" max="1300" width="6.125" style="93" customWidth="1"/>
    <col min="1301" max="1301" width="9.75" style="93" customWidth="1"/>
    <col min="1302" max="1302" width="1.375" style="93" customWidth="1"/>
    <col min="1303" max="1542" width="9" style="93"/>
    <col min="1543" max="1543" width="1.375" style="93" customWidth="1"/>
    <col min="1544" max="1544" width="3.5" style="93" customWidth="1"/>
    <col min="1545" max="1545" width="22.125" style="93" customWidth="1"/>
    <col min="1546" max="1546" width="9.75" style="93" customWidth="1"/>
    <col min="1547" max="1547" width="7.375" style="93" customWidth="1"/>
    <col min="1548" max="1548" width="9" style="93"/>
    <col min="1549" max="1549" width="9.25" style="93" customWidth="1"/>
    <col min="1550" max="1550" width="3.5" style="93" customWidth="1"/>
    <col min="1551" max="1552" width="12.625" style="93" customWidth="1"/>
    <col min="1553" max="1553" width="9" style="93"/>
    <col min="1554" max="1554" width="7.75" style="93" customWidth="1"/>
    <col min="1555" max="1555" width="13.125" style="93" customWidth="1"/>
    <col min="1556" max="1556" width="6.125" style="93" customWidth="1"/>
    <col min="1557" max="1557" width="9.75" style="93" customWidth="1"/>
    <col min="1558" max="1558" width="1.375" style="93" customWidth="1"/>
    <col min="1559" max="1798" width="9" style="93"/>
    <col min="1799" max="1799" width="1.375" style="93" customWidth="1"/>
    <col min="1800" max="1800" width="3.5" style="93" customWidth="1"/>
    <col min="1801" max="1801" width="22.125" style="93" customWidth="1"/>
    <col min="1802" max="1802" width="9.75" style="93" customWidth="1"/>
    <col min="1803" max="1803" width="7.375" style="93" customWidth="1"/>
    <col min="1804" max="1804" width="9" style="93"/>
    <col min="1805" max="1805" width="9.25" style="93" customWidth="1"/>
    <col min="1806" max="1806" width="3.5" style="93" customWidth="1"/>
    <col min="1807" max="1808" width="12.625" style="93" customWidth="1"/>
    <col min="1809" max="1809" width="9" style="93"/>
    <col min="1810" max="1810" width="7.75" style="93" customWidth="1"/>
    <col min="1811" max="1811" width="13.125" style="93" customWidth="1"/>
    <col min="1812" max="1812" width="6.125" style="93" customWidth="1"/>
    <col min="1813" max="1813" width="9.75" style="93" customWidth="1"/>
    <col min="1814" max="1814" width="1.375" style="93" customWidth="1"/>
    <col min="1815" max="2054" width="9" style="93"/>
    <col min="2055" max="2055" width="1.375" style="93" customWidth="1"/>
    <col min="2056" max="2056" width="3.5" style="93" customWidth="1"/>
    <col min="2057" max="2057" width="22.125" style="93" customWidth="1"/>
    <col min="2058" max="2058" width="9.75" style="93" customWidth="1"/>
    <col min="2059" max="2059" width="7.375" style="93" customWidth="1"/>
    <col min="2060" max="2060" width="9" style="93"/>
    <col min="2061" max="2061" width="9.25" style="93" customWidth="1"/>
    <col min="2062" max="2062" width="3.5" style="93" customWidth="1"/>
    <col min="2063" max="2064" width="12.625" style="93" customWidth="1"/>
    <col min="2065" max="2065" width="9" style="93"/>
    <col min="2066" max="2066" width="7.75" style="93" customWidth="1"/>
    <col min="2067" max="2067" width="13.125" style="93" customWidth="1"/>
    <col min="2068" max="2068" width="6.125" style="93" customWidth="1"/>
    <col min="2069" max="2069" width="9.75" style="93" customWidth="1"/>
    <col min="2070" max="2070" width="1.375" style="93" customWidth="1"/>
    <col min="2071" max="2310" width="9" style="93"/>
    <col min="2311" max="2311" width="1.375" style="93" customWidth="1"/>
    <col min="2312" max="2312" width="3.5" style="93" customWidth="1"/>
    <col min="2313" max="2313" width="22.125" style="93" customWidth="1"/>
    <col min="2314" max="2314" width="9.75" style="93" customWidth="1"/>
    <col min="2315" max="2315" width="7.375" style="93" customWidth="1"/>
    <col min="2316" max="2316" width="9" style="93"/>
    <col min="2317" max="2317" width="9.25" style="93" customWidth="1"/>
    <col min="2318" max="2318" width="3.5" style="93" customWidth="1"/>
    <col min="2319" max="2320" width="12.625" style="93" customWidth="1"/>
    <col min="2321" max="2321" width="9" style="93"/>
    <col min="2322" max="2322" width="7.75" style="93" customWidth="1"/>
    <col min="2323" max="2323" width="13.125" style="93" customWidth="1"/>
    <col min="2324" max="2324" width="6.125" style="93" customWidth="1"/>
    <col min="2325" max="2325" width="9.75" style="93" customWidth="1"/>
    <col min="2326" max="2326" width="1.375" style="93" customWidth="1"/>
    <col min="2327" max="2566" width="9" style="93"/>
    <col min="2567" max="2567" width="1.375" style="93" customWidth="1"/>
    <col min="2568" max="2568" width="3.5" style="93" customWidth="1"/>
    <col min="2569" max="2569" width="22.125" style="93" customWidth="1"/>
    <col min="2570" max="2570" width="9.75" style="93" customWidth="1"/>
    <col min="2571" max="2571" width="7.375" style="93" customWidth="1"/>
    <col min="2572" max="2572" width="9" style="93"/>
    <col min="2573" max="2573" width="9.25" style="93" customWidth="1"/>
    <col min="2574" max="2574" width="3.5" style="93" customWidth="1"/>
    <col min="2575" max="2576" width="12.625" style="93" customWidth="1"/>
    <col min="2577" max="2577" width="9" style="93"/>
    <col min="2578" max="2578" width="7.75" style="93" customWidth="1"/>
    <col min="2579" max="2579" width="13.125" style="93" customWidth="1"/>
    <col min="2580" max="2580" width="6.125" style="93" customWidth="1"/>
    <col min="2581" max="2581" width="9.75" style="93" customWidth="1"/>
    <col min="2582" max="2582" width="1.375" style="93" customWidth="1"/>
    <col min="2583" max="2822" width="9" style="93"/>
    <col min="2823" max="2823" width="1.375" style="93" customWidth="1"/>
    <col min="2824" max="2824" width="3.5" style="93" customWidth="1"/>
    <col min="2825" max="2825" width="22.125" style="93" customWidth="1"/>
    <col min="2826" max="2826" width="9.75" style="93" customWidth="1"/>
    <col min="2827" max="2827" width="7.375" style="93" customWidth="1"/>
    <col min="2828" max="2828" width="9" style="93"/>
    <col min="2829" max="2829" width="9.25" style="93" customWidth="1"/>
    <col min="2830" max="2830" width="3.5" style="93" customWidth="1"/>
    <col min="2831" max="2832" width="12.625" style="93" customWidth="1"/>
    <col min="2833" max="2833" width="9" style="93"/>
    <col min="2834" max="2834" width="7.75" style="93" customWidth="1"/>
    <col min="2835" max="2835" width="13.125" style="93" customWidth="1"/>
    <col min="2836" max="2836" width="6.125" style="93" customWidth="1"/>
    <col min="2837" max="2837" width="9.75" style="93" customWidth="1"/>
    <col min="2838" max="2838" width="1.375" style="93" customWidth="1"/>
    <col min="2839" max="3078" width="9" style="93"/>
    <col min="3079" max="3079" width="1.375" style="93" customWidth="1"/>
    <col min="3080" max="3080" width="3.5" style="93" customWidth="1"/>
    <col min="3081" max="3081" width="22.125" style="93" customWidth="1"/>
    <col min="3082" max="3082" width="9.75" style="93" customWidth="1"/>
    <col min="3083" max="3083" width="7.375" style="93" customWidth="1"/>
    <col min="3084" max="3084" width="9" style="93"/>
    <col min="3085" max="3085" width="9.25" style="93" customWidth="1"/>
    <col min="3086" max="3086" width="3.5" style="93" customWidth="1"/>
    <col min="3087" max="3088" width="12.625" style="93" customWidth="1"/>
    <col min="3089" max="3089" width="9" style="93"/>
    <col min="3090" max="3090" width="7.75" style="93" customWidth="1"/>
    <col min="3091" max="3091" width="13.125" style="93" customWidth="1"/>
    <col min="3092" max="3092" width="6.125" style="93" customWidth="1"/>
    <col min="3093" max="3093" width="9.75" style="93" customWidth="1"/>
    <col min="3094" max="3094" width="1.375" style="93" customWidth="1"/>
    <col min="3095" max="3334" width="9" style="93"/>
    <col min="3335" max="3335" width="1.375" style="93" customWidth="1"/>
    <col min="3336" max="3336" width="3.5" style="93" customWidth="1"/>
    <col min="3337" max="3337" width="22.125" style="93" customWidth="1"/>
    <col min="3338" max="3338" width="9.75" style="93" customWidth="1"/>
    <col min="3339" max="3339" width="7.375" style="93" customWidth="1"/>
    <col min="3340" max="3340" width="9" style="93"/>
    <col min="3341" max="3341" width="9.25" style="93" customWidth="1"/>
    <col min="3342" max="3342" width="3.5" style="93" customWidth="1"/>
    <col min="3343" max="3344" width="12.625" style="93" customWidth="1"/>
    <col min="3345" max="3345" width="9" style="93"/>
    <col min="3346" max="3346" width="7.75" style="93" customWidth="1"/>
    <col min="3347" max="3347" width="13.125" style="93" customWidth="1"/>
    <col min="3348" max="3348" width="6.125" style="93" customWidth="1"/>
    <col min="3349" max="3349" width="9.75" style="93" customWidth="1"/>
    <col min="3350" max="3350" width="1.375" style="93" customWidth="1"/>
    <col min="3351" max="3590" width="9" style="93"/>
    <col min="3591" max="3591" width="1.375" style="93" customWidth="1"/>
    <col min="3592" max="3592" width="3.5" style="93" customWidth="1"/>
    <col min="3593" max="3593" width="22.125" style="93" customWidth="1"/>
    <col min="3594" max="3594" width="9.75" style="93" customWidth="1"/>
    <col min="3595" max="3595" width="7.375" style="93" customWidth="1"/>
    <col min="3596" max="3596" width="9" style="93"/>
    <col min="3597" max="3597" width="9.25" style="93" customWidth="1"/>
    <col min="3598" max="3598" width="3.5" style="93" customWidth="1"/>
    <col min="3599" max="3600" width="12.625" style="93" customWidth="1"/>
    <col min="3601" max="3601" width="9" style="93"/>
    <col min="3602" max="3602" width="7.75" style="93" customWidth="1"/>
    <col min="3603" max="3603" width="13.125" style="93" customWidth="1"/>
    <col min="3604" max="3604" width="6.125" style="93" customWidth="1"/>
    <col min="3605" max="3605" width="9.75" style="93" customWidth="1"/>
    <col min="3606" max="3606" width="1.375" style="93" customWidth="1"/>
    <col min="3607" max="3846" width="9" style="93"/>
    <col min="3847" max="3847" width="1.375" style="93" customWidth="1"/>
    <col min="3848" max="3848" width="3.5" style="93" customWidth="1"/>
    <col min="3849" max="3849" width="22.125" style="93" customWidth="1"/>
    <col min="3850" max="3850" width="9.75" style="93" customWidth="1"/>
    <col min="3851" max="3851" width="7.375" style="93" customWidth="1"/>
    <col min="3852" max="3852" width="9" style="93"/>
    <col min="3853" max="3853" width="9.25" style="93" customWidth="1"/>
    <col min="3854" max="3854" width="3.5" style="93" customWidth="1"/>
    <col min="3855" max="3856" width="12.625" style="93" customWidth="1"/>
    <col min="3857" max="3857" width="9" style="93"/>
    <col min="3858" max="3858" width="7.75" style="93" customWidth="1"/>
    <col min="3859" max="3859" width="13.125" style="93" customWidth="1"/>
    <col min="3860" max="3860" width="6.125" style="93" customWidth="1"/>
    <col min="3861" max="3861" width="9.75" style="93" customWidth="1"/>
    <col min="3862" max="3862" width="1.375" style="93" customWidth="1"/>
    <col min="3863" max="4102" width="9" style="93"/>
    <col min="4103" max="4103" width="1.375" style="93" customWidth="1"/>
    <col min="4104" max="4104" width="3.5" style="93" customWidth="1"/>
    <col min="4105" max="4105" width="22.125" style="93" customWidth="1"/>
    <col min="4106" max="4106" width="9.75" style="93" customWidth="1"/>
    <col min="4107" max="4107" width="7.375" style="93" customWidth="1"/>
    <col min="4108" max="4108" width="9" style="93"/>
    <col min="4109" max="4109" width="9.25" style="93" customWidth="1"/>
    <col min="4110" max="4110" width="3.5" style="93" customWidth="1"/>
    <col min="4111" max="4112" width="12.625" style="93" customWidth="1"/>
    <col min="4113" max="4113" width="9" style="93"/>
    <col min="4114" max="4114" width="7.75" style="93" customWidth="1"/>
    <col min="4115" max="4115" width="13.125" style="93" customWidth="1"/>
    <col min="4116" max="4116" width="6.125" style="93" customWidth="1"/>
    <col min="4117" max="4117" width="9.75" style="93" customWidth="1"/>
    <col min="4118" max="4118" width="1.375" style="93" customWidth="1"/>
    <col min="4119" max="4358" width="9" style="93"/>
    <col min="4359" max="4359" width="1.375" style="93" customWidth="1"/>
    <col min="4360" max="4360" width="3.5" style="93" customWidth="1"/>
    <col min="4361" max="4361" width="22.125" style="93" customWidth="1"/>
    <col min="4362" max="4362" width="9.75" style="93" customWidth="1"/>
    <col min="4363" max="4363" width="7.375" style="93" customWidth="1"/>
    <col min="4364" max="4364" width="9" style="93"/>
    <col min="4365" max="4365" width="9.25" style="93" customWidth="1"/>
    <col min="4366" max="4366" width="3.5" style="93" customWidth="1"/>
    <col min="4367" max="4368" width="12.625" style="93" customWidth="1"/>
    <col min="4369" max="4369" width="9" style="93"/>
    <col min="4370" max="4370" width="7.75" style="93" customWidth="1"/>
    <col min="4371" max="4371" width="13.125" style="93" customWidth="1"/>
    <col min="4372" max="4372" width="6.125" style="93" customWidth="1"/>
    <col min="4373" max="4373" width="9.75" style="93" customWidth="1"/>
    <col min="4374" max="4374" width="1.375" style="93" customWidth="1"/>
    <col min="4375" max="4614" width="9" style="93"/>
    <col min="4615" max="4615" width="1.375" style="93" customWidth="1"/>
    <col min="4616" max="4616" width="3.5" style="93" customWidth="1"/>
    <col min="4617" max="4617" width="22.125" style="93" customWidth="1"/>
    <col min="4618" max="4618" width="9.75" style="93" customWidth="1"/>
    <col min="4619" max="4619" width="7.375" style="93" customWidth="1"/>
    <col min="4620" max="4620" width="9" style="93"/>
    <col min="4621" max="4621" width="9.25" style="93" customWidth="1"/>
    <col min="4622" max="4622" width="3.5" style="93" customWidth="1"/>
    <col min="4623" max="4624" width="12.625" style="93" customWidth="1"/>
    <col min="4625" max="4625" width="9" style="93"/>
    <col min="4626" max="4626" width="7.75" style="93" customWidth="1"/>
    <col min="4627" max="4627" width="13.125" style="93" customWidth="1"/>
    <col min="4628" max="4628" width="6.125" style="93" customWidth="1"/>
    <col min="4629" max="4629" width="9.75" style="93" customWidth="1"/>
    <col min="4630" max="4630" width="1.375" style="93" customWidth="1"/>
    <col min="4631" max="4870" width="9" style="93"/>
    <col min="4871" max="4871" width="1.375" style="93" customWidth="1"/>
    <col min="4872" max="4872" width="3.5" style="93" customWidth="1"/>
    <col min="4873" max="4873" width="22.125" style="93" customWidth="1"/>
    <col min="4874" max="4874" width="9.75" style="93" customWidth="1"/>
    <col min="4875" max="4875" width="7.375" style="93" customWidth="1"/>
    <col min="4876" max="4876" width="9" style="93"/>
    <col min="4877" max="4877" width="9.25" style="93" customWidth="1"/>
    <col min="4878" max="4878" width="3.5" style="93" customWidth="1"/>
    <col min="4879" max="4880" width="12.625" style="93" customWidth="1"/>
    <col min="4881" max="4881" width="9" style="93"/>
    <col min="4882" max="4882" width="7.75" style="93" customWidth="1"/>
    <col min="4883" max="4883" width="13.125" style="93" customWidth="1"/>
    <col min="4884" max="4884" width="6.125" style="93" customWidth="1"/>
    <col min="4885" max="4885" width="9.75" style="93" customWidth="1"/>
    <col min="4886" max="4886" width="1.375" style="93" customWidth="1"/>
    <col min="4887" max="5126" width="9" style="93"/>
    <col min="5127" max="5127" width="1.375" style="93" customWidth="1"/>
    <col min="5128" max="5128" width="3.5" style="93" customWidth="1"/>
    <col min="5129" max="5129" width="22.125" style="93" customWidth="1"/>
    <col min="5130" max="5130" width="9.75" style="93" customWidth="1"/>
    <col min="5131" max="5131" width="7.375" style="93" customWidth="1"/>
    <col min="5132" max="5132" width="9" style="93"/>
    <col min="5133" max="5133" width="9.25" style="93" customWidth="1"/>
    <col min="5134" max="5134" width="3.5" style="93" customWidth="1"/>
    <col min="5135" max="5136" width="12.625" style="93" customWidth="1"/>
    <col min="5137" max="5137" width="9" style="93"/>
    <col min="5138" max="5138" width="7.75" style="93" customWidth="1"/>
    <col min="5139" max="5139" width="13.125" style="93" customWidth="1"/>
    <col min="5140" max="5140" width="6.125" style="93" customWidth="1"/>
    <col min="5141" max="5141" width="9.75" style="93" customWidth="1"/>
    <col min="5142" max="5142" width="1.375" style="93" customWidth="1"/>
    <col min="5143" max="5382" width="9" style="93"/>
    <col min="5383" max="5383" width="1.375" style="93" customWidth="1"/>
    <col min="5384" max="5384" width="3.5" style="93" customWidth="1"/>
    <col min="5385" max="5385" width="22.125" style="93" customWidth="1"/>
    <col min="5386" max="5386" width="9.75" style="93" customWidth="1"/>
    <col min="5387" max="5387" width="7.375" style="93" customWidth="1"/>
    <col min="5388" max="5388" width="9" style="93"/>
    <col min="5389" max="5389" width="9.25" style="93" customWidth="1"/>
    <col min="5390" max="5390" width="3.5" style="93" customWidth="1"/>
    <col min="5391" max="5392" width="12.625" style="93" customWidth="1"/>
    <col min="5393" max="5393" width="9" style="93"/>
    <col min="5394" max="5394" width="7.75" style="93" customWidth="1"/>
    <col min="5395" max="5395" width="13.125" style="93" customWidth="1"/>
    <col min="5396" max="5396" width="6.125" style="93" customWidth="1"/>
    <col min="5397" max="5397" width="9.75" style="93" customWidth="1"/>
    <col min="5398" max="5398" width="1.375" style="93" customWidth="1"/>
    <col min="5399" max="5638" width="9" style="93"/>
    <col min="5639" max="5639" width="1.375" style="93" customWidth="1"/>
    <col min="5640" max="5640" width="3.5" style="93" customWidth="1"/>
    <col min="5641" max="5641" width="22.125" style="93" customWidth="1"/>
    <col min="5642" max="5642" width="9.75" style="93" customWidth="1"/>
    <col min="5643" max="5643" width="7.375" style="93" customWidth="1"/>
    <col min="5644" max="5644" width="9" style="93"/>
    <col min="5645" max="5645" width="9.25" style="93" customWidth="1"/>
    <col min="5646" max="5646" width="3.5" style="93" customWidth="1"/>
    <col min="5647" max="5648" width="12.625" style="93" customWidth="1"/>
    <col min="5649" max="5649" width="9" style="93"/>
    <col min="5650" max="5650" width="7.75" style="93" customWidth="1"/>
    <col min="5651" max="5651" width="13.125" style="93" customWidth="1"/>
    <col min="5652" max="5652" width="6.125" style="93" customWidth="1"/>
    <col min="5653" max="5653" width="9.75" style="93" customWidth="1"/>
    <col min="5654" max="5654" width="1.375" style="93" customWidth="1"/>
    <col min="5655" max="5894" width="9" style="93"/>
    <col min="5895" max="5895" width="1.375" style="93" customWidth="1"/>
    <col min="5896" max="5896" width="3.5" style="93" customWidth="1"/>
    <col min="5897" max="5897" width="22.125" style="93" customWidth="1"/>
    <col min="5898" max="5898" width="9.75" style="93" customWidth="1"/>
    <col min="5899" max="5899" width="7.375" style="93" customWidth="1"/>
    <col min="5900" max="5900" width="9" style="93"/>
    <col min="5901" max="5901" width="9.25" style="93" customWidth="1"/>
    <col min="5902" max="5902" width="3.5" style="93" customWidth="1"/>
    <col min="5903" max="5904" width="12.625" style="93" customWidth="1"/>
    <col min="5905" max="5905" width="9" style="93"/>
    <col min="5906" max="5906" width="7.75" style="93" customWidth="1"/>
    <col min="5907" max="5907" width="13.125" style="93" customWidth="1"/>
    <col min="5908" max="5908" width="6.125" style="93" customWidth="1"/>
    <col min="5909" max="5909" width="9.75" style="93" customWidth="1"/>
    <col min="5910" max="5910" width="1.375" style="93" customWidth="1"/>
    <col min="5911" max="6150" width="9" style="93"/>
    <col min="6151" max="6151" width="1.375" style="93" customWidth="1"/>
    <col min="6152" max="6152" width="3.5" style="93" customWidth="1"/>
    <col min="6153" max="6153" width="22.125" style="93" customWidth="1"/>
    <col min="6154" max="6154" width="9.75" style="93" customWidth="1"/>
    <col min="6155" max="6155" width="7.375" style="93" customWidth="1"/>
    <col min="6156" max="6156" width="9" style="93"/>
    <col min="6157" max="6157" width="9.25" style="93" customWidth="1"/>
    <col min="6158" max="6158" width="3.5" style="93" customWidth="1"/>
    <col min="6159" max="6160" width="12.625" style="93" customWidth="1"/>
    <col min="6161" max="6161" width="9" style="93"/>
    <col min="6162" max="6162" width="7.75" style="93" customWidth="1"/>
    <col min="6163" max="6163" width="13.125" style="93" customWidth="1"/>
    <col min="6164" max="6164" width="6.125" style="93" customWidth="1"/>
    <col min="6165" max="6165" width="9.75" style="93" customWidth="1"/>
    <col min="6166" max="6166" width="1.375" style="93" customWidth="1"/>
    <col min="6167" max="6406" width="9" style="93"/>
    <col min="6407" max="6407" width="1.375" style="93" customWidth="1"/>
    <col min="6408" max="6408" width="3.5" style="93" customWidth="1"/>
    <col min="6409" max="6409" width="22.125" style="93" customWidth="1"/>
    <col min="6410" max="6410" width="9.75" style="93" customWidth="1"/>
    <col min="6411" max="6411" width="7.375" style="93" customWidth="1"/>
    <col min="6412" max="6412" width="9" style="93"/>
    <col min="6413" max="6413" width="9.25" style="93" customWidth="1"/>
    <col min="6414" max="6414" width="3.5" style="93" customWidth="1"/>
    <col min="6415" max="6416" width="12.625" style="93" customWidth="1"/>
    <col min="6417" max="6417" width="9" style="93"/>
    <col min="6418" max="6418" width="7.75" style="93" customWidth="1"/>
    <col min="6419" max="6419" width="13.125" style="93" customWidth="1"/>
    <col min="6420" max="6420" width="6.125" style="93" customWidth="1"/>
    <col min="6421" max="6421" width="9.75" style="93" customWidth="1"/>
    <col min="6422" max="6422" width="1.375" style="93" customWidth="1"/>
    <col min="6423" max="6662" width="9" style="93"/>
    <col min="6663" max="6663" width="1.375" style="93" customWidth="1"/>
    <col min="6664" max="6664" width="3.5" style="93" customWidth="1"/>
    <col min="6665" max="6665" width="22.125" style="93" customWidth="1"/>
    <col min="6666" max="6666" width="9.75" style="93" customWidth="1"/>
    <col min="6667" max="6667" width="7.375" style="93" customWidth="1"/>
    <col min="6668" max="6668" width="9" style="93"/>
    <col min="6669" max="6669" width="9.25" style="93" customWidth="1"/>
    <col min="6670" max="6670" width="3.5" style="93" customWidth="1"/>
    <col min="6671" max="6672" width="12.625" style="93" customWidth="1"/>
    <col min="6673" max="6673" width="9" style="93"/>
    <col min="6674" max="6674" width="7.75" style="93" customWidth="1"/>
    <col min="6675" max="6675" width="13.125" style="93" customWidth="1"/>
    <col min="6676" max="6676" width="6.125" style="93" customWidth="1"/>
    <col min="6677" max="6677" width="9.75" style="93" customWidth="1"/>
    <col min="6678" max="6678" width="1.375" style="93" customWidth="1"/>
    <col min="6679" max="6918" width="9" style="93"/>
    <col min="6919" max="6919" width="1.375" style="93" customWidth="1"/>
    <col min="6920" max="6920" width="3.5" style="93" customWidth="1"/>
    <col min="6921" max="6921" width="22.125" style="93" customWidth="1"/>
    <col min="6922" max="6922" width="9.75" style="93" customWidth="1"/>
    <col min="6923" max="6923" width="7.375" style="93" customWidth="1"/>
    <col min="6924" max="6924" width="9" style="93"/>
    <col min="6925" max="6925" width="9.25" style="93" customWidth="1"/>
    <col min="6926" max="6926" width="3.5" style="93" customWidth="1"/>
    <col min="6927" max="6928" width="12.625" style="93" customWidth="1"/>
    <col min="6929" max="6929" width="9" style="93"/>
    <col min="6930" max="6930" width="7.75" style="93" customWidth="1"/>
    <col min="6931" max="6931" width="13.125" style="93" customWidth="1"/>
    <col min="6932" max="6932" width="6.125" style="93" customWidth="1"/>
    <col min="6933" max="6933" width="9.75" style="93" customWidth="1"/>
    <col min="6934" max="6934" width="1.375" style="93" customWidth="1"/>
    <col min="6935" max="7174" width="9" style="93"/>
    <col min="7175" max="7175" width="1.375" style="93" customWidth="1"/>
    <col min="7176" max="7176" width="3.5" style="93" customWidth="1"/>
    <col min="7177" max="7177" width="22.125" style="93" customWidth="1"/>
    <col min="7178" max="7178" width="9.75" style="93" customWidth="1"/>
    <col min="7179" max="7179" width="7.375" style="93" customWidth="1"/>
    <col min="7180" max="7180" width="9" style="93"/>
    <col min="7181" max="7181" width="9.25" style="93" customWidth="1"/>
    <col min="7182" max="7182" width="3.5" style="93" customWidth="1"/>
    <col min="7183" max="7184" width="12.625" style="93" customWidth="1"/>
    <col min="7185" max="7185" width="9" style="93"/>
    <col min="7186" max="7186" width="7.75" style="93" customWidth="1"/>
    <col min="7187" max="7187" width="13.125" style="93" customWidth="1"/>
    <col min="7188" max="7188" width="6.125" style="93" customWidth="1"/>
    <col min="7189" max="7189" width="9.75" style="93" customWidth="1"/>
    <col min="7190" max="7190" width="1.375" style="93" customWidth="1"/>
    <col min="7191" max="7430" width="9" style="93"/>
    <col min="7431" max="7431" width="1.375" style="93" customWidth="1"/>
    <col min="7432" max="7432" width="3.5" style="93" customWidth="1"/>
    <col min="7433" max="7433" width="22.125" style="93" customWidth="1"/>
    <col min="7434" max="7434" width="9.75" style="93" customWidth="1"/>
    <col min="7435" max="7435" width="7.375" style="93" customWidth="1"/>
    <col min="7436" max="7436" width="9" style="93"/>
    <col min="7437" max="7437" width="9.25" style="93" customWidth="1"/>
    <col min="7438" max="7438" width="3.5" style="93" customWidth="1"/>
    <col min="7439" max="7440" width="12.625" style="93" customWidth="1"/>
    <col min="7441" max="7441" width="9" style="93"/>
    <col min="7442" max="7442" width="7.75" style="93" customWidth="1"/>
    <col min="7443" max="7443" width="13.125" style="93" customWidth="1"/>
    <col min="7444" max="7444" width="6.125" style="93" customWidth="1"/>
    <col min="7445" max="7445" width="9.75" style="93" customWidth="1"/>
    <col min="7446" max="7446" width="1.375" style="93" customWidth="1"/>
    <col min="7447" max="7686" width="9" style="93"/>
    <col min="7687" max="7687" width="1.375" style="93" customWidth="1"/>
    <col min="7688" max="7688" width="3.5" style="93" customWidth="1"/>
    <col min="7689" max="7689" width="22.125" style="93" customWidth="1"/>
    <col min="7690" max="7690" width="9.75" style="93" customWidth="1"/>
    <col min="7691" max="7691" width="7.375" style="93" customWidth="1"/>
    <col min="7692" max="7692" width="9" style="93"/>
    <col min="7693" max="7693" width="9.25" style="93" customWidth="1"/>
    <col min="7694" max="7694" width="3.5" style="93" customWidth="1"/>
    <col min="7695" max="7696" width="12.625" style="93" customWidth="1"/>
    <col min="7697" max="7697" width="9" style="93"/>
    <col min="7698" max="7698" width="7.75" style="93" customWidth="1"/>
    <col min="7699" max="7699" width="13.125" style="93" customWidth="1"/>
    <col min="7700" max="7700" width="6.125" style="93" customWidth="1"/>
    <col min="7701" max="7701" width="9.75" style="93" customWidth="1"/>
    <col min="7702" max="7702" width="1.375" style="93" customWidth="1"/>
    <col min="7703" max="7942" width="9" style="93"/>
    <col min="7943" max="7943" width="1.375" style="93" customWidth="1"/>
    <col min="7944" max="7944" width="3.5" style="93" customWidth="1"/>
    <col min="7945" max="7945" width="22.125" style="93" customWidth="1"/>
    <col min="7946" max="7946" width="9.75" style="93" customWidth="1"/>
    <col min="7947" max="7947" width="7.375" style="93" customWidth="1"/>
    <col min="7948" max="7948" width="9" style="93"/>
    <col min="7949" max="7949" width="9.25" style="93" customWidth="1"/>
    <col min="7950" max="7950" width="3.5" style="93" customWidth="1"/>
    <col min="7951" max="7952" width="12.625" style="93" customWidth="1"/>
    <col min="7953" max="7953" width="9" style="93"/>
    <col min="7954" max="7954" width="7.75" style="93" customWidth="1"/>
    <col min="7955" max="7955" width="13.125" style="93" customWidth="1"/>
    <col min="7956" max="7956" width="6.125" style="93" customWidth="1"/>
    <col min="7957" max="7957" width="9.75" style="93" customWidth="1"/>
    <col min="7958" max="7958" width="1.375" style="93" customWidth="1"/>
    <col min="7959" max="8198" width="9" style="93"/>
    <col min="8199" max="8199" width="1.375" style="93" customWidth="1"/>
    <col min="8200" max="8200" width="3.5" style="93" customWidth="1"/>
    <col min="8201" max="8201" width="22.125" style="93" customWidth="1"/>
    <col min="8202" max="8202" width="9.75" style="93" customWidth="1"/>
    <col min="8203" max="8203" width="7.375" style="93" customWidth="1"/>
    <col min="8204" max="8204" width="9" style="93"/>
    <col min="8205" max="8205" width="9.25" style="93" customWidth="1"/>
    <col min="8206" max="8206" width="3.5" style="93" customWidth="1"/>
    <col min="8207" max="8208" width="12.625" style="93" customWidth="1"/>
    <col min="8209" max="8209" width="9" style="93"/>
    <col min="8210" max="8210" width="7.75" style="93" customWidth="1"/>
    <col min="8211" max="8211" width="13.125" style="93" customWidth="1"/>
    <col min="8212" max="8212" width="6.125" style="93" customWidth="1"/>
    <col min="8213" max="8213" width="9.75" style="93" customWidth="1"/>
    <col min="8214" max="8214" width="1.375" style="93" customWidth="1"/>
    <col min="8215" max="8454" width="9" style="93"/>
    <col min="8455" max="8455" width="1.375" style="93" customWidth="1"/>
    <col min="8456" max="8456" width="3.5" style="93" customWidth="1"/>
    <col min="8457" max="8457" width="22.125" style="93" customWidth="1"/>
    <col min="8458" max="8458" width="9.75" style="93" customWidth="1"/>
    <col min="8459" max="8459" width="7.375" style="93" customWidth="1"/>
    <col min="8460" max="8460" width="9" style="93"/>
    <col min="8461" max="8461" width="9.25" style="93" customWidth="1"/>
    <col min="8462" max="8462" width="3.5" style="93" customWidth="1"/>
    <col min="8463" max="8464" width="12.625" style="93" customWidth="1"/>
    <col min="8465" max="8465" width="9" style="93"/>
    <col min="8466" max="8466" width="7.75" style="93" customWidth="1"/>
    <col min="8467" max="8467" width="13.125" style="93" customWidth="1"/>
    <col min="8468" max="8468" width="6.125" style="93" customWidth="1"/>
    <col min="8469" max="8469" width="9.75" style="93" customWidth="1"/>
    <col min="8470" max="8470" width="1.375" style="93" customWidth="1"/>
    <col min="8471" max="8710" width="9" style="93"/>
    <col min="8711" max="8711" width="1.375" style="93" customWidth="1"/>
    <col min="8712" max="8712" width="3.5" style="93" customWidth="1"/>
    <col min="8713" max="8713" width="22.125" style="93" customWidth="1"/>
    <col min="8714" max="8714" width="9.75" style="93" customWidth="1"/>
    <col min="8715" max="8715" width="7.375" style="93" customWidth="1"/>
    <col min="8716" max="8716" width="9" style="93"/>
    <col min="8717" max="8717" width="9.25" style="93" customWidth="1"/>
    <col min="8718" max="8718" width="3.5" style="93" customWidth="1"/>
    <col min="8719" max="8720" width="12.625" style="93" customWidth="1"/>
    <col min="8721" max="8721" width="9" style="93"/>
    <col min="8722" max="8722" width="7.75" style="93" customWidth="1"/>
    <col min="8723" max="8723" width="13.125" style="93" customWidth="1"/>
    <col min="8724" max="8724" width="6.125" style="93" customWidth="1"/>
    <col min="8725" max="8725" width="9.75" style="93" customWidth="1"/>
    <col min="8726" max="8726" width="1.375" style="93" customWidth="1"/>
    <col min="8727" max="8966" width="9" style="93"/>
    <col min="8967" max="8967" width="1.375" style="93" customWidth="1"/>
    <col min="8968" max="8968" width="3.5" style="93" customWidth="1"/>
    <col min="8969" max="8969" width="22.125" style="93" customWidth="1"/>
    <col min="8970" max="8970" width="9.75" style="93" customWidth="1"/>
    <col min="8971" max="8971" width="7.375" style="93" customWidth="1"/>
    <col min="8972" max="8972" width="9" style="93"/>
    <col min="8973" max="8973" width="9.25" style="93" customWidth="1"/>
    <col min="8974" max="8974" width="3.5" style="93" customWidth="1"/>
    <col min="8975" max="8976" width="12.625" style="93" customWidth="1"/>
    <col min="8977" max="8977" width="9" style="93"/>
    <col min="8978" max="8978" width="7.75" style="93" customWidth="1"/>
    <col min="8979" max="8979" width="13.125" style="93" customWidth="1"/>
    <col min="8980" max="8980" width="6.125" style="93" customWidth="1"/>
    <col min="8981" max="8981" width="9.75" style="93" customWidth="1"/>
    <col min="8982" max="8982" width="1.375" style="93" customWidth="1"/>
    <col min="8983" max="9222" width="9" style="93"/>
    <col min="9223" max="9223" width="1.375" style="93" customWidth="1"/>
    <col min="9224" max="9224" width="3.5" style="93" customWidth="1"/>
    <col min="9225" max="9225" width="22.125" style="93" customWidth="1"/>
    <col min="9226" max="9226" width="9.75" style="93" customWidth="1"/>
    <col min="9227" max="9227" width="7.375" style="93" customWidth="1"/>
    <col min="9228" max="9228" width="9" style="93"/>
    <col min="9229" max="9229" width="9.25" style="93" customWidth="1"/>
    <col min="9230" max="9230" width="3.5" style="93" customWidth="1"/>
    <col min="9231" max="9232" width="12.625" style="93" customWidth="1"/>
    <col min="9233" max="9233" width="9" style="93"/>
    <col min="9234" max="9234" width="7.75" style="93" customWidth="1"/>
    <col min="9235" max="9235" width="13.125" style="93" customWidth="1"/>
    <col min="9236" max="9236" width="6.125" style="93" customWidth="1"/>
    <col min="9237" max="9237" width="9.75" style="93" customWidth="1"/>
    <col min="9238" max="9238" width="1.375" style="93" customWidth="1"/>
    <col min="9239" max="9478" width="9" style="93"/>
    <col min="9479" max="9479" width="1.375" style="93" customWidth="1"/>
    <col min="9480" max="9480" width="3.5" style="93" customWidth="1"/>
    <col min="9481" max="9481" width="22.125" style="93" customWidth="1"/>
    <col min="9482" max="9482" width="9.75" style="93" customWidth="1"/>
    <col min="9483" max="9483" width="7.375" style="93" customWidth="1"/>
    <col min="9484" max="9484" width="9" style="93"/>
    <col min="9485" max="9485" width="9.25" style="93" customWidth="1"/>
    <col min="9486" max="9486" width="3.5" style="93" customWidth="1"/>
    <col min="9487" max="9488" width="12.625" style="93" customWidth="1"/>
    <col min="9489" max="9489" width="9" style="93"/>
    <col min="9490" max="9490" width="7.75" style="93" customWidth="1"/>
    <col min="9491" max="9491" width="13.125" style="93" customWidth="1"/>
    <col min="9492" max="9492" width="6.125" style="93" customWidth="1"/>
    <col min="9493" max="9493" width="9.75" style="93" customWidth="1"/>
    <col min="9494" max="9494" width="1.375" style="93" customWidth="1"/>
    <col min="9495" max="9734" width="9" style="93"/>
    <col min="9735" max="9735" width="1.375" style="93" customWidth="1"/>
    <col min="9736" max="9736" width="3.5" style="93" customWidth="1"/>
    <col min="9737" max="9737" width="22.125" style="93" customWidth="1"/>
    <col min="9738" max="9738" width="9.75" style="93" customWidth="1"/>
    <col min="9739" max="9739" width="7.375" style="93" customWidth="1"/>
    <col min="9740" max="9740" width="9" style="93"/>
    <col min="9741" max="9741" width="9.25" style="93" customWidth="1"/>
    <col min="9742" max="9742" width="3.5" style="93" customWidth="1"/>
    <col min="9743" max="9744" width="12.625" style="93" customWidth="1"/>
    <col min="9745" max="9745" width="9" style="93"/>
    <col min="9746" max="9746" width="7.75" style="93" customWidth="1"/>
    <col min="9747" max="9747" width="13.125" style="93" customWidth="1"/>
    <col min="9748" max="9748" width="6.125" style="93" customWidth="1"/>
    <col min="9749" max="9749" width="9.75" style="93" customWidth="1"/>
    <col min="9750" max="9750" width="1.375" style="93" customWidth="1"/>
    <col min="9751" max="9990" width="9" style="93"/>
    <col min="9991" max="9991" width="1.375" style="93" customWidth="1"/>
    <col min="9992" max="9992" width="3.5" style="93" customWidth="1"/>
    <col min="9993" max="9993" width="22.125" style="93" customWidth="1"/>
    <col min="9994" max="9994" width="9.75" style="93" customWidth="1"/>
    <col min="9995" max="9995" width="7.375" style="93" customWidth="1"/>
    <col min="9996" max="9996" width="9" style="93"/>
    <col min="9997" max="9997" width="9.25" style="93" customWidth="1"/>
    <col min="9998" max="9998" width="3.5" style="93" customWidth="1"/>
    <col min="9999" max="10000" width="12.625" style="93" customWidth="1"/>
    <col min="10001" max="10001" width="9" style="93"/>
    <col min="10002" max="10002" width="7.75" style="93" customWidth="1"/>
    <col min="10003" max="10003" width="13.125" style="93" customWidth="1"/>
    <col min="10004" max="10004" width="6.125" style="93" customWidth="1"/>
    <col min="10005" max="10005" width="9.75" style="93" customWidth="1"/>
    <col min="10006" max="10006" width="1.375" style="93" customWidth="1"/>
    <col min="10007" max="10246" width="9" style="93"/>
    <col min="10247" max="10247" width="1.375" style="93" customWidth="1"/>
    <col min="10248" max="10248" width="3.5" style="93" customWidth="1"/>
    <col min="10249" max="10249" width="22.125" style="93" customWidth="1"/>
    <col min="10250" max="10250" width="9.75" style="93" customWidth="1"/>
    <col min="10251" max="10251" width="7.375" style="93" customWidth="1"/>
    <col min="10252" max="10252" width="9" style="93"/>
    <col min="10253" max="10253" width="9.25" style="93" customWidth="1"/>
    <col min="10254" max="10254" width="3.5" style="93" customWidth="1"/>
    <col min="10255" max="10256" width="12.625" style="93" customWidth="1"/>
    <col min="10257" max="10257" width="9" style="93"/>
    <col min="10258" max="10258" width="7.75" style="93" customWidth="1"/>
    <col min="10259" max="10259" width="13.125" style="93" customWidth="1"/>
    <col min="10260" max="10260" width="6.125" style="93" customWidth="1"/>
    <col min="10261" max="10261" width="9.75" style="93" customWidth="1"/>
    <col min="10262" max="10262" width="1.375" style="93" customWidth="1"/>
    <col min="10263" max="10502" width="9" style="93"/>
    <col min="10503" max="10503" width="1.375" style="93" customWidth="1"/>
    <col min="10504" max="10504" width="3.5" style="93" customWidth="1"/>
    <col min="10505" max="10505" width="22.125" style="93" customWidth="1"/>
    <col min="10506" max="10506" width="9.75" style="93" customWidth="1"/>
    <col min="10507" max="10507" width="7.375" style="93" customWidth="1"/>
    <col min="10508" max="10508" width="9" style="93"/>
    <col min="10509" max="10509" width="9.25" style="93" customWidth="1"/>
    <col min="10510" max="10510" width="3.5" style="93" customWidth="1"/>
    <col min="10511" max="10512" width="12.625" style="93" customWidth="1"/>
    <col min="10513" max="10513" width="9" style="93"/>
    <col min="10514" max="10514" width="7.75" style="93" customWidth="1"/>
    <col min="10515" max="10515" width="13.125" style="93" customWidth="1"/>
    <col min="10516" max="10516" width="6.125" style="93" customWidth="1"/>
    <col min="10517" max="10517" width="9.75" style="93" customWidth="1"/>
    <col min="10518" max="10518" width="1.375" style="93" customWidth="1"/>
    <col min="10519" max="10758" width="9" style="93"/>
    <col min="10759" max="10759" width="1.375" style="93" customWidth="1"/>
    <col min="10760" max="10760" width="3.5" style="93" customWidth="1"/>
    <col min="10761" max="10761" width="22.125" style="93" customWidth="1"/>
    <col min="10762" max="10762" width="9.75" style="93" customWidth="1"/>
    <col min="10763" max="10763" width="7.375" style="93" customWidth="1"/>
    <col min="10764" max="10764" width="9" style="93"/>
    <col min="10765" max="10765" width="9.25" style="93" customWidth="1"/>
    <col min="10766" max="10766" width="3.5" style="93" customWidth="1"/>
    <col min="10767" max="10768" width="12.625" style="93" customWidth="1"/>
    <col min="10769" max="10769" width="9" style="93"/>
    <col min="10770" max="10770" width="7.75" style="93" customWidth="1"/>
    <col min="10771" max="10771" width="13.125" style="93" customWidth="1"/>
    <col min="10772" max="10772" width="6.125" style="93" customWidth="1"/>
    <col min="10773" max="10773" width="9.75" style="93" customWidth="1"/>
    <col min="10774" max="10774" width="1.375" style="93" customWidth="1"/>
    <col min="10775" max="11014" width="9" style="93"/>
    <col min="11015" max="11015" width="1.375" style="93" customWidth="1"/>
    <col min="11016" max="11016" width="3.5" style="93" customWidth="1"/>
    <col min="11017" max="11017" width="22.125" style="93" customWidth="1"/>
    <col min="11018" max="11018" width="9.75" style="93" customWidth="1"/>
    <col min="11019" max="11019" width="7.375" style="93" customWidth="1"/>
    <col min="11020" max="11020" width="9" style="93"/>
    <col min="11021" max="11021" width="9.25" style="93" customWidth="1"/>
    <col min="11022" max="11022" width="3.5" style="93" customWidth="1"/>
    <col min="11023" max="11024" width="12.625" style="93" customWidth="1"/>
    <col min="11025" max="11025" width="9" style="93"/>
    <col min="11026" max="11026" width="7.75" style="93" customWidth="1"/>
    <col min="11027" max="11027" width="13.125" style="93" customWidth="1"/>
    <col min="11028" max="11028" width="6.125" style="93" customWidth="1"/>
    <col min="11029" max="11029" width="9.75" style="93" customWidth="1"/>
    <col min="11030" max="11030" width="1.375" style="93" customWidth="1"/>
    <col min="11031" max="11270" width="9" style="93"/>
    <col min="11271" max="11271" width="1.375" style="93" customWidth="1"/>
    <col min="11272" max="11272" width="3.5" style="93" customWidth="1"/>
    <col min="11273" max="11273" width="22.125" style="93" customWidth="1"/>
    <col min="11274" max="11274" width="9.75" style="93" customWidth="1"/>
    <col min="11275" max="11275" width="7.375" style="93" customWidth="1"/>
    <col min="11276" max="11276" width="9" style="93"/>
    <col min="11277" max="11277" width="9.25" style="93" customWidth="1"/>
    <col min="11278" max="11278" width="3.5" style="93" customWidth="1"/>
    <col min="11279" max="11280" width="12.625" style="93" customWidth="1"/>
    <col min="11281" max="11281" width="9" style="93"/>
    <col min="11282" max="11282" width="7.75" style="93" customWidth="1"/>
    <col min="11283" max="11283" width="13.125" style="93" customWidth="1"/>
    <col min="11284" max="11284" width="6.125" style="93" customWidth="1"/>
    <col min="11285" max="11285" width="9.75" style="93" customWidth="1"/>
    <col min="11286" max="11286" width="1.375" style="93" customWidth="1"/>
    <col min="11287" max="11526" width="9" style="93"/>
    <col min="11527" max="11527" width="1.375" style="93" customWidth="1"/>
    <col min="11528" max="11528" width="3.5" style="93" customWidth="1"/>
    <col min="11529" max="11529" width="22.125" style="93" customWidth="1"/>
    <col min="11530" max="11530" width="9.75" style="93" customWidth="1"/>
    <col min="11531" max="11531" width="7.375" style="93" customWidth="1"/>
    <col min="11532" max="11532" width="9" style="93"/>
    <col min="11533" max="11533" width="9.25" style="93" customWidth="1"/>
    <col min="11534" max="11534" width="3.5" style="93" customWidth="1"/>
    <col min="11535" max="11536" width="12.625" style="93" customWidth="1"/>
    <col min="11537" max="11537" width="9" style="93"/>
    <col min="11538" max="11538" width="7.75" style="93" customWidth="1"/>
    <col min="11539" max="11539" width="13.125" style="93" customWidth="1"/>
    <col min="11540" max="11540" width="6.125" style="93" customWidth="1"/>
    <col min="11541" max="11541" width="9.75" style="93" customWidth="1"/>
    <col min="11542" max="11542" width="1.375" style="93" customWidth="1"/>
    <col min="11543" max="11782" width="9" style="93"/>
    <col min="11783" max="11783" width="1.375" style="93" customWidth="1"/>
    <col min="11784" max="11784" width="3.5" style="93" customWidth="1"/>
    <col min="11785" max="11785" width="22.125" style="93" customWidth="1"/>
    <col min="11786" max="11786" width="9.75" style="93" customWidth="1"/>
    <col min="11787" max="11787" width="7.375" style="93" customWidth="1"/>
    <col min="11788" max="11788" width="9" style="93"/>
    <col min="11789" max="11789" width="9.25" style="93" customWidth="1"/>
    <col min="11790" max="11790" width="3.5" style="93" customWidth="1"/>
    <col min="11791" max="11792" width="12.625" style="93" customWidth="1"/>
    <col min="11793" max="11793" width="9" style="93"/>
    <col min="11794" max="11794" width="7.75" style="93" customWidth="1"/>
    <col min="11795" max="11795" width="13.125" style="93" customWidth="1"/>
    <col min="11796" max="11796" width="6.125" style="93" customWidth="1"/>
    <col min="11797" max="11797" width="9.75" style="93" customWidth="1"/>
    <col min="11798" max="11798" width="1.375" style="93" customWidth="1"/>
    <col min="11799" max="12038" width="9" style="93"/>
    <col min="12039" max="12039" width="1.375" style="93" customWidth="1"/>
    <col min="12040" max="12040" width="3.5" style="93" customWidth="1"/>
    <col min="12041" max="12041" width="22.125" style="93" customWidth="1"/>
    <col min="12042" max="12042" width="9.75" style="93" customWidth="1"/>
    <col min="12043" max="12043" width="7.375" style="93" customWidth="1"/>
    <col min="12044" max="12044" width="9" style="93"/>
    <col min="12045" max="12045" width="9.25" style="93" customWidth="1"/>
    <col min="12046" max="12046" width="3.5" style="93" customWidth="1"/>
    <col min="12047" max="12048" width="12.625" style="93" customWidth="1"/>
    <col min="12049" max="12049" width="9" style="93"/>
    <col min="12050" max="12050" width="7.75" style="93" customWidth="1"/>
    <col min="12051" max="12051" width="13.125" style="93" customWidth="1"/>
    <col min="12052" max="12052" width="6.125" style="93" customWidth="1"/>
    <col min="12053" max="12053" width="9.75" style="93" customWidth="1"/>
    <col min="12054" max="12054" width="1.375" style="93" customWidth="1"/>
    <col min="12055" max="12294" width="9" style="93"/>
    <col min="12295" max="12295" width="1.375" style="93" customWidth="1"/>
    <col min="12296" max="12296" width="3.5" style="93" customWidth="1"/>
    <col min="12297" max="12297" width="22.125" style="93" customWidth="1"/>
    <col min="12298" max="12298" width="9.75" style="93" customWidth="1"/>
    <col min="12299" max="12299" width="7.375" style="93" customWidth="1"/>
    <col min="12300" max="12300" width="9" style="93"/>
    <col min="12301" max="12301" width="9.25" style="93" customWidth="1"/>
    <col min="12302" max="12302" width="3.5" style="93" customWidth="1"/>
    <col min="12303" max="12304" width="12.625" style="93" customWidth="1"/>
    <col min="12305" max="12305" width="9" style="93"/>
    <col min="12306" max="12306" width="7.75" style="93" customWidth="1"/>
    <col min="12307" max="12307" width="13.125" style="93" customWidth="1"/>
    <col min="12308" max="12308" width="6.125" style="93" customWidth="1"/>
    <col min="12309" max="12309" width="9.75" style="93" customWidth="1"/>
    <col min="12310" max="12310" width="1.375" style="93" customWidth="1"/>
    <col min="12311" max="12550" width="9" style="93"/>
    <col min="12551" max="12551" width="1.375" style="93" customWidth="1"/>
    <col min="12552" max="12552" width="3.5" style="93" customWidth="1"/>
    <col min="12553" max="12553" width="22.125" style="93" customWidth="1"/>
    <col min="12554" max="12554" width="9.75" style="93" customWidth="1"/>
    <col min="12555" max="12555" width="7.375" style="93" customWidth="1"/>
    <col min="12556" max="12556" width="9" style="93"/>
    <col min="12557" max="12557" width="9.25" style="93" customWidth="1"/>
    <col min="12558" max="12558" width="3.5" style="93" customWidth="1"/>
    <col min="12559" max="12560" width="12.625" style="93" customWidth="1"/>
    <col min="12561" max="12561" width="9" style="93"/>
    <col min="12562" max="12562" width="7.75" style="93" customWidth="1"/>
    <col min="12563" max="12563" width="13.125" style="93" customWidth="1"/>
    <col min="12564" max="12564" width="6.125" style="93" customWidth="1"/>
    <col min="12565" max="12565" width="9.75" style="93" customWidth="1"/>
    <col min="12566" max="12566" width="1.375" style="93" customWidth="1"/>
    <col min="12567" max="12806" width="9" style="93"/>
    <col min="12807" max="12807" width="1.375" style="93" customWidth="1"/>
    <col min="12808" max="12808" width="3.5" style="93" customWidth="1"/>
    <col min="12809" max="12809" width="22.125" style="93" customWidth="1"/>
    <col min="12810" max="12810" width="9.75" style="93" customWidth="1"/>
    <col min="12811" max="12811" width="7.375" style="93" customWidth="1"/>
    <col min="12812" max="12812" width="9" style="93"/>
    <col min="12813" max="12813" width="9.25" style="93" customWidth="1"/>
    <col min="12814" max="12814" width="3.5" style="93" customWidth="1"/>
    <col min="12815" max="12816" width="12.625" style="93" customWidth="1"/>
    <col min="12817" max="12817" width="9" style="93"/>
    <col min="12818" max="12818" width="7.75" style="93" customWidth="1"/>
    <col min="12819" max="12819" width="13.125" style="93" customWidth="1"/>
    <col min="12820" max="12820" width="6.125" style="93" customWidth="1"/>
    <col min="12821" max="12821" width="9.75" style="93" customWidth="1"/>
    <col min="12822" max="12822" width="1.375" style="93" customWidth="1"/>
    <col min="12823" max="13062" width="9" style="93"/>
    <col min="13063" max="13063" width="1.375" style="93" customWidth="1"/>
    <col min="13064" max="13064" width="3.5" style="93" customWidth="1"/>
    <col min="13065" max="13065" width="22.125" style="93" customWidth="1"/>
    <col min="13066" max="13066" width="9.75" style="93" customWidth="1"/>
    <col min="13067" max="13067" width="7.375" style="93" customWidth="1"/>
    <col min="13068" max="13068" width="9" style="93"/>
    <col min="13069" max="13069" width="9.25" style="93" customWidth="1"/>
    <col min="13070" max="13070" width="3.5" style="93" customWidth="1"/>
    <col min="13071" max="13072" width="12.625" style="93" customWidth="1"/>
    <col min="13073" max="13073" width="9" style="93"/>
    <col min="13074" max="13074" width="7.75" style="93" customWidth="1"/>
    <col min="13075" max="13075" width="13.125" style="93" customWidth="1"/>
    <col min="13076" max="13076" width="6.125" style="93" customWidth="1"/>
    <col min="13077" max="13077" width="9.75" style="93" customWidth="1"/>
    <col min="13078" max="13078" width="1.375" style="93" customWidth="1"/>
    <col min="13079" max="13318" width="9" style="93"/>
    <col min="13319" max="13319" width="1.375" style="93" customWidth="1"/>
    <col min="13320" max="13320" width="3.5" style="93" customWidth="1"/>
    <col min="13321" max="13321" width="22.125" style="93" customWidth="1"/>
    <col min="13322" max="13322" width="9.75" style="93" customWidth="1"/>
    <col min="13323" max="13323" width="7.375" style="93" customWidth="1"/>
    <col min="13324" max="13324" width="9" style="93"/>
    <col min="13325" max="13325" width="9.25" style="93" customWidth="1"/>
    <col min="13326" max="13326" width="3.5" style="93" customWidth="1"/>
    <col min="13327" max="13328" width="12.625" style="93" customWidth="1"/>
    <col min="13329" max="13329" width="9" style="93"/>
    <col min="13330" max="13330" width="7.75" style="93" customWidth="1"/>
    <col min="13331" max="13331" width="13.125" style="93" customWidth="1"/>
    <col min="13332" max="13332" width="6.125" style="93" customWidth="1"/>
    <col min="13333" max="13333" width="9.75" style="93" customWidth="1"/>
    <col min="13334" max="13334" width="1.375" style="93" customWidth="1"/>
    <col min="13335" max="13574" width="9" style="93"/>
    <col min="13575" max="13575" width="1.375" style="93" customWidth="1"/>
    <col min="13576" max="13576" width="3.5" style="93" customWidth="1"/>
    <col min="13577" max="13577" width="22.125" style="93" customWidth="1"/>
    <col min="13578" max="13578" width="9.75" style="93" customWidth="1"/>
    <col min="13579" max="13579" width="7.375" style="93" customWidth="1"/>
    <col min="13580" max="13580" width="9" style="93"/>
    <col min="13581" max="13581" width="9.25" style="93" customWidth="1"/>
    <col min="13582" max="13582" width="3.5" style="93" customWidth="1"/>
    <col min="13583" max="13584" width="12.625" style="93" customWidth="1"/>
    <col min="13585" max="13585" width="9" style="93"/>
    <col min="13586" max="13586" width="7.75" style="93" customWidth="1"/>
    <col min="13587" max="13587" width="13.125" style="93" customWidth="1"/>
    <col min="13588" max="13588" width="6.125" style="93" customWidth="1"/>
    <col min="13589" max="13589" width="9.75" style="93" customWidth="1"/>
    <col min="13590" max="13590" width="1.375" style="93" customWidth="1"/>
    <col min="13591" max="13830" width="9" style="93"/>
    <col min="13831" max="13831" width="1.375" style="93" customWidth="1"/>
    <col min="13832" max="13832" width="3.5" style="93" customWidth="1"/>
    <col min="13833" max="13833" width="22.125" style="93" customWidth="1"/>
    <col min="13834" max="13834" width="9.75" style="93" customWidth="1"/>
    <col min="13835" max="13835" width="7.375" style="93" customWidth="1"/>
    <col min="13836" max="13836" width="9" style="93"/>
    <col min="13837" max="13837" width="9.25" style="93" customWidth="1"/>
    <col min="13838" max="13838" width="3.5" style="93" customWidth="1"/>
    <col min="13839" max="13840" width="12.625" style="93" customWidth="1"/>
    <col min="13841" max="13841" width="9" style="93"/>
    <col min="13842" max="13842" width="7.75" style="93" customWidth="1"/>
    <col min="13843" max="13843" width="13.125" style="93" customWidth="1"/>
    <col min="13844" max="13844" width="6.125" style="93" customWidth="1"/>
    <col min="13845" max="13845" width="9.75" style="93" customWidth="1"/>
    <col min="13846" max="13846" width="1.375" style="93" customWidth="1"/>
    <col min="13847" max="14086" width="9" style="93"/>
    <col min="14087" max="14087" width="1.375" style="93" customWidth="1"/>
    <col min="14088" max="14088" width="3.5" style="93" customWidth="1"/>
    <col min="14089" max="14089" width="22.125" style="93" customWidth="1"/>
    <col min="14090" max="14090" width="9.75" style="93" customWidth="1"/>
    <col min="14091" max="14091" width="7.375" style="93" customWidth="1"/>
    <col min="14092" max="14092" width="9" style="93"/>
    <col min="14093" max="14093" width="9.25" style="93" customWidth="1"/>
    <col min="14094" max="14094" width="3.5" style="93" customWidth="1"/>
    <col min="14095" max="14096" width="12.625" style="93" customWidth="1"/>
    <col min="14097" max="14097" width="9" style="93"/>
    <col min="14098" max="14098" width="7.75" style="93" customWidth="1"/>
    <col min="14099" max="14099" width="13.125" style="93" customWidth="1"/>
    <col min="14100" max="14100" width="6.125" style="93" customWidth="1"/>
    <col min="14101" max="14101" width="9.75" style="93" customWidth="1"/>
    <col min="14102" max="14102" width="1.375" style="93" customWidth="1"/>
    <col min="14103" max="14342" width="9" style="93"/>
    <col min="14343" max="14343" width="1.375" style="93" customWidth="1"/>
    <col min="14344" max="14344" width="3.5" style="93" customWidth="1"/>
    <col min="14345" max="14345" width="22.125" style="93" customWidth="1"/>
    <col min="14346" max="14346" width="9.75" style="93" customWidth="1"/>
    <col min="14347" max="14347" width="7.375" style="93" customWidth="1"/>
    <col min="14348" max="14348" width="9" style="93"/>
    <col min="14349" max="14349" width="9.25" style="93" customWidth="1"/>
    <col min="14350" max="14350" width="3.5" style="93" customWidth="1"/>
    <col min="14351" max="14352" width="12.625" style="93" customWidth="1"/>
    <col min="14353" max="14353" width="9" style="93"/>
    <col min="14354" max="14354" width="7.75" style="93" customWidth="1"/>
    <col min="14355" max="14355" width="13.125" style="93" customWidth="1"/>
    <col min="14356" max="14356" width="6.125" style="93" customWidth="1"/>
    <col min="14357" max="14357" width="9.75" style="93" customWidth="1"/>
    <col min="14358" max="14358" width="1.375" style="93" customWidth="1"/>
    <col min="14359" max="14598" width="9" style="93"/>
    <col min="14599" max="14599" width="1.375" style="93" customWidth="1"/>
    <col min="14600" max="14600" width="3.5" style="93" customWidth="1"/>
    <col min="14601" max="14601" width="22.125" style="93" customWidth="1"/>
    <col min="14602" max="14602" width="9.75" style="93" customWidth="1"/>
    <col min="14603" max="14603" width="7.375" style="93" customWidth="1"/>
    <col min="14604" max="14604" width="9" style="93"/>
    <col min="14605" max="14605" width="9.25" style="93" customWidth="1"/>
    <col min="14606" max="14606" width="3.5" style="93" customWidth="1"/>
    <col min="14607" max="14608" width="12.625" style="93" customWidth="1"/>
    <col min="14609" max="14609" width="9" style="93"/>
    <col min="14610" max="14610" width="7.75" style="93" customWidth="1"/>
    <col min="14611" max="14611" width="13.125" style="93" customWidth="1"/>
    <col min="14612" max="14612" width="6.125" style="93" customWidth="1"/>
    <col min="14613" max="14613" width="9.75" style="93" customWidth="1"/>
    <col min="14614" max="14614" width="1.375" style="93" customWidth="1"/>
    <col min="14615" max="14854" width="9" style="93"/>
    <col min="14855" max="14855" width="1.375" style="93" customWidth="1"/>
    <col min="14856" max="14856" width="3.5" style="93" customWidth="1"/>
    <col min="14857" max="14857" width="22.125" style="93" customWidth="1"/>
    <col min="14858" max="14858" width="9.75" style="93" customWidth="1"/>
    <col min="14859" max="14859" width="7.375" style="93" customWidth="1"/>
    <col min="14860" max="14860" width="9" style="93"/>
    <col min="14861" max="14861" width="9.25" style="93" customWidth="1"/>
    <col min="14862" max="14862" width="3.5" style="93" customWidth="1"/>
    <col min="14863" max="14864" width="12.625" style="93" customWidth="1"/>
    <col min="14865" max="14865" width="9" style="93"/>
    <col min="14866" max="14866" width="7.75" style="93" customWidth="1"/>
    <col min="14867" max="14867" width="13.125" style="93" customWidth="1"/>
    <col min="14868" max="14868" width="6.125" style="93" customWidth="1"/>
    <col min="14869" max="14869" width="9.75" style="93" customWidth="1"/>
    <col min="14870" max="14870" width="1.375" style="93" customWidth="1"/>
    <col min="14871" max="15110" width="9" style="93"/>
    <col min="15111" max="15111" width="1.375" style="93" customWidth="1"/>
    <col min="15112" max="15112" width="3.5" style="93" customWidth="1"/>
    <col min="15113" max="15113" width="22.125" style="93" customWidth="1"/>
    <col min="15114" max="15114" width="9.75" style="93" customWidth="1"/>
    <col min="15115" max="15115" width="7.375" style="93" customWidth="1"/>
    <col min="15116" max="15116" width="9" style="93"/>
    <col min="15117" max="15117" width="9.25" style="93" customWidth="1"/>
    <col min="15118" max="15118" width="3.5" style="93" customWidth="1"/>
    <col min="15119" max="15120" width="12.625" style="93" customWidth="1"/>
    <col min="15121" max="15121" width="9" style="93"/>
    <col min="15122" max="15122" width="7.75" style="93" customWidth="1"/>
    <col min="15123" max="15123" width="13.125" style="93" customWidth="1"/>
    <col min="15124" max="15124" width="6.125" style="93" customWidth="1"/>
    <col min="15125" max="15125" width="9.75" style="93" customWidth="1"/>
    <col min="15126" max="15126" width="1.375" style="93" customWidth="1"/>
    <col min="15127" max="15366" width="9" style="93"/>
    <col min="15367" max="15367" width="1.375" style="93" customWidth="1"/>
    <col min="15368" max="15368" width="3.5" style="93" customWidth="1"/>
    <col min="15369" max="15369" width="22.125" style="93" customWidth="1"/>
    <col min="15370" max="15370" width="9.75" style="93" customWidth="1"/>
    <col min="15371" max="15371" width="7.375" style="93" customWidth="1"/>
    <col min="15372" max="15372" width="9" style="93"/>
    <col min="15373" max="15373" width="9.25" style="93" customWidth="1"/>
    <col min="15374" max="15374" width="3.5" style="93" customWidth="1"/>
    <col min="15375" max="15376" width="12.625" style="93" customWidth="1"/>
    <col min="15377" max="15377" width="9" style="93"/>
    <col min="15378" max="15378" width="7.75" style="93" customWidth="1"/>
    <col min="15379" max="15379" width="13.125" style="93" customWidth="1"/>
    <col min="15380" max="15380" width="6.125" style="93" customWidth="1"/>
    <col min="15381" max="15381" width="9.75" style="93" customWidth="1"/>
    <col min="15382" max="15382" width="1.375" style="93" customWidth="1"/>
    <col min="15383" max="15622" width="9" style="93"/>
    <col min="15623" max="15623" width="1.375" style="93" customWidth="1"/>
    <col min="15624" max="15624" width="3.5" style="93" customWidth="1"/>
    <col min="15625" max="15625" width="22.125" style="93" customWidth="1"/>
    <col min="15626" max="15626" width="9.75" style="93" customWidth="1"/>
    <col min="15627" max="15627" width="7.375" style="93" customWidth="1"/>
    <col min="15628" max="15628" width="9" style="93"/>
    <col min="15629" max="15629" width="9.25" style="93" customWidth="1"/>
    <col min="15630" max="15630" width="3.5" style="93" customWidth="1"/>
    <col min="15631" max="15632" width="12.625" style="93" customWidth="1"/>
    <col min="15633" max="15633" width="9" style="93"/>
    <col min="15634" max="15634" width="7.75" style="93" customWidth="1"/>
    <col min="15635" max="15635" width="13.125" style="93" customWidth="1"/>
    <col min="15636" max="15636" width="6.125" style="93" customWidth="1"/>
    <col min="15637" max="15637" width="9.75" style="93" customWidth="1"/>
    <col min="15638" max="15638" width="1.375" style="93" customWidth="1"/>
    <col min="15639" max="15878" width="9" style="93"/>
    <col min="15879" max="15879" width="1.375" style="93" customWidth="1"/>
    <col min="15880" max="15880" width="3.5" style="93" customWidth="1"/>
    <col min="15881" max="15881" width="22.125" style="93" customWidth="1"/>
    <col min="15882" max="15882" width="9.75" style="93" customWidth="1"/>
    <col min="15883" max="15883" width="7.375" style="93" customWidth="1"/>
    <col min="15884" max="15884" width="9" style="93"/>
    <col min="15885" max="15885" width="9.25" style="93" customWidth="1"/>
    <col min="15886" max="15886" width="3.5" style="93" customWidth="1"/>
    <col min="15887" max="15888" width="12.625" style="93" customWidth="1"/>
    <col min="15889" max="15889" width="9" style="93"/>
    <col min="15890" max="15890" width="7.75" style="93" customWidth="1"/>
    <col min="15891" max="15891" width="13.125" style="93" customWidth="1"/>
    <col min="15892" max="15892" width="6.125" style="93" customWidth="1"/>
    <col min="15893" max="15893" width="9.75" style="93" customWidth="1"/>
    <col min="15894" max="15894" width="1.375" style="93" customWidth="1"/>
    <col min="15895" max="16134" width="9" style="93"/>
    <col min="16135" max="16135" width="1.375" style="93" customWidth="1"/>
    <col min="16136" max="16136" width="3.5" style="93" customWidth="1"/>
    <col min="16137" max="16137" width="22.125" style="93" customWidth="1"/>
    <col min="16138" max="16138" width="9.75" style="93" customWidth="1"/>
    <col min="16139" max="16139" width="7.375" style="93" customWidth="1"/>
    <col min="16140" max="16140" width="9" style="93"/>
    <col min="16141" max="16141" width="9.25" style="93" customWidth="1"/>
    <col min="16142" max="16142" width="3.5" style="93" customWidth="1"/>
    <col min="16143" max="16144" width="12.625" style="93" customWidth="1"/>
    <col min="16145" max="16145" width="9" style="93"/>
    <col min="16146" max="16146" width="7.75" style="93" customWidth="1"/>
    <col min="16147" max="16147" width="13.125" style="93" customWidth="1"/>
    <col min="16148" max="16148" width="6.125" style="93" customWidth="1"/>
    <col min="16149" max="16149" width="9.75" style="93" customWidth="1"/>
    <col min="16150" max="16150" width="1.375" style="93" customWidth="1"/>
    <col min="16151" max="16384" width="9" style="93"/>
  </cols>
  <sheetData>
    <row r="1" spans="2:25" ht="9.9499999999999993" customHeight="1" x14ac:dyDescent="0.15"/>
    <row r="2" spans="2:25" ht="24.95" customHeight="1" x14ac:dyDescent="0.15">
      <c r="B2" s="1" t="s">
        <v>757</v>
      </c>
      <c r="C2" s="95"/>
      <c r="D2" s="13"/>
      <c r="E2" s="13"/>
      <c r="F2" s="95"/>
      <c r="G2" s="162"/>
      <c r="H2" s="172"/>
      <c r="I2" s="162"/>
      <c r="J2" s="162"/>
      <c r="K2" s="162"/>
      <c r="L2" s="162"/>
      <c r="M2" s="162"/>
      <c r="N2" s="162"/>
      <c r="O2" s="13"/>
    </row>
    <row r="3" spans="2:25" ht="15" customHeight="1" thickBot="1" x14ac:dyDescent="0.2">
      <c r="B3" s="93" t="s">
        <v>223</v>
      </c>
      <c r="I3" s="13" t="s">
        <v>224</v>
      </c>
      <c r="P3" s="93" t="s">
        <v>249</v>
      </c>
    </row>
    <row r="4" spans="2:25" ht="15" customHeight="1" x14ac:dyDescent="0.15">
      <c r="B4" s="337" t="s">
        <v>74</v>
      </c>
      <c r="C4" s="211" t="s">
        <v>176</v>
      </c>
      <c r="D4" s="211" t="s">
        <v>134</v>
      </c>
      <c r="E4" s="211" t="s">
        <v>135</v>
      </c>
      <c r="F4" s="211" t="s">
        <v>23</v>
      </c>
      <c r="G4" s="199" t="s">
        <v>136</v>
      </c>
      <c r="H4" s="212"/>
      <c r="I4" s="1118" t="s">
        <v>74</v>
      </c>
      <c r="J4" s="1114" t="s">
        <v>180</v>
      </c>
      <c r="K4" s="217" t="s">
        <v>177</v>
      </c>
      <c r="L4" s="217" t="s">
        <v>137</v>
      </c>
      <c r="M4" s="1114" t="s">
        <v>23</v>
      </c>
      <c r="N4" s="1116" t="s">
        <v>136</v>
      </c>
      <c r="O4" s="239"/>
      <c r="P4" s="338" t="s">
        <v>183</v>
      </c>
      <c r="Q4" s="339" t="s">
        <v>184</v>
      </c>
      <c r="R4" s="339" t="s">
        <v>185</v>
      </c>
      <c r="S4" s="339" t="s">
        <v>186</v>
      </c>
      <c r="T4" s="1120" t="s">
        <v>187</v>
      </c>
      <c r="U4" s="1057"/>
      <c r="V4" s="340" t="s">
        <v>188</v>
      </c>
      <c r="W4" s="718" t="s">
        <v>342</v>
      </c>
      <c r="X4" s="718" t="s">
        <v>343</v>
      </c>
      <c r="Y4" s="718"/>
    </row>
    <row r="5" spans="2:25" ht="15" customHeight="1" x14ac:dyDescent="0.15">
      <c r="B5" s="987" t="s">
        <v>170</v>
      </c>
      <c r="C5" s="92" t="s">
        <v>298</v>
      </c>
      <c r="D5" s="92">
        <f>+肥料算出基礎!C4*10/1000</f>
        <v>30</v>
      </c>
      <c r="E5" s="103" t="s">
        <v>174</v>
      </c>
      <c r="F5" s="92">
        <f>+肥料算出基礎!K4/肥料算出基礎!J4*1000</f>
        <v>22160</v>
      </c>
      <c r="G5" s="200">
        <f>D5*F5</f>
        <v>664800</v>
      </c>
      <c r="H5" s="213"/>
      <c r="I5" s="1119"/>
      <c r="J5" s="1115"/>
      <c r="K5" s="219" t="s">
        <v>139</v>
      </c>
      <c r="L5" s="729" t="s">
        <v>284</v>
      </c>
      <c r="M5" s="1115"/>
      <c r="N5" s="1117"/>
      <c r="O5" s="239"/>
      <c r="P5" s="341" t="s">
        <v>347</v>
      </c>
      <c r="Q5" s="197">
        <v>30</v>
      </c>
      <c r="R5" s="233" t="s">
        <v>352</v>
      </c>
      <c r="S5" s="197">
        <f>ROUNDDOWN(W5*1.1,-1)</f>
        <v>2290</v>
      </c>
      <c r="T5" s="1112">
        <v>5</v>
      </c>
      <c r="U5" s="1113"/>
      <c r="V5" s="228">
        <f>Q5*S5/T5</f>
        <v>13740</v>
      </c>
      <c r="W5" s="718">
        <v>2088</v>
      </c>
      <c r="X5" s="718">
        <v>500</v>
      </c>
      <c r="Y5" s="718" t="s">
        <v>54</v>
      </c>
    </row>
    <row r="6" spans="2:25" ht="15" customHeight="1" x14ac:dyDescent="0.15">
      <c r="B6" s="988"/>
      <c r="C6" s="92"/>
      <c r="D6" s="92"/>
      <c r="E6" s="103"/>
      <c r="F6" s="92"/>
      <c r="G6" s="201">
        <f t="shared" ref="G6" si="0">D6*F6</f>
        <v>0</v>
      </c>
      <c r="H6" s="213"/>
      <c r="I6" s="1089" t="s">
        <v>179</v>
      </c>
      <c r="J6" s="92" t="s">
        <v>443</v>
      </c>
      <c r="K6" s="220">
        <v>9</v>
      </c>
      <c r="L6" s="220">
        <v>1</v>
      </c>
      <c r="M6" s="220">
        <v>123.2</v>
      </c>
      <c r="N6" s="201">
        <f>K6*L6*M6</f>
        <v>1108.8</v>
      </c>
      <c r="O6" s="239"/>
      <c r="P6" s="341" t="s">
        <v>348</v>
      </c>
      <c r="Q6" s="197">
        <v>50</v>
      </c>
      <c r="R6" s="233" t="s">
        <v>352</v>
      </c>
      <c r="S6" s="197">
        <f t="shared" ref="S6:S9" si="1">ROUNDDOWN(W6*1.1,-1)</f>
        <v>2560</v>
      </c>
      <c r="T6" s="1112">
        <v>1</v>
      </c>
      <c r="U6" s="1113"/>
      <c r="V6" s="228">
        <f t="shared" ref="V6:V8" si="2">Q6*S6/T6</f>
        <v>128000</v>
      </c>
      <c r="W6" s="718">
        <v>2333</v>
      </c>
      <c r="X6" s="718">
        <v>100</v>
      </c>
      <c r="Y6" s="718" t="s">
        <v>54</v>
      </c>
    </row>
    <row r="7" spans="2:25" ht="15" customHeight="1" thickBot="1" x14ac:dyDescent="0.2">
      <c r="B7" s="1085"/>
      <c r="C7" s="202" t="s">
        <v>140</v>
      </c>
      <c r="D7" s="202"/>
      <c r="E7" s="202"/>
      <c r="F7" s="202"/>
      <c r="G7" s="203">
        <f>SUM(G5:G6)</f>
        <v>664800</v>
      </c>
      <c r="H7" s="213"/>
      <c r="I7" s="988"/>
      <c r="J7" s="92" t="s">
        <v>438</v>
      </c>
      <c r="K7" s="220">
        <v>6</v>
      </c>
      <c r="L7" s="220">
        <v>3</v>
      </c>
      <c r="M7" s="220">
        <v>123.2</v>
      </c>
      <c r="N7" s="201">
        <f t="shared" ref="N7:N10" si="3">K7*L7*M7</f>
        <v>2217.6</v>
      </c>
      <c r="O7" s="239"/>
      <c r="P7" s="341" t="s">
        <v>349</v>
      </c>
      <c r="Q7" s="197">
        <v>80</v>
      </c>
      <c r="R7" s="233" t="s">
        <v>353</v>
      </c>
      <c r="S7" s="197">
        <f t="shared" si="1"/>
        <v>2240</v>
      </c>
      <c r="T7" s="1112">
        <v>5</v>
      </c>
      <c r="U7" s="1113"/>
      <c r="V7" s="228">
        <f t="shared" si="2"/>
        <v>35840</v>
      </c>
      <c r="W7" s="718">
        <v>2042</v>
      </c>
      <c r="X7" s="718">
        <v>200</v>
      </c>
      <c r="Y7" s="718" t="s">
        <v>344</v>
      </c>
    </row>
    <row r="8" spans="2:25" ht="15" customHeight="1" thickTop="1" x14ac:dyDescent="0.15">
      <c r="B8" s="1084" t="s">
        <v>167</v>
      </c>
      <c r="C8" s="92" t="s">
        <v>775</v>
      </c>
      <c r="D8" s="133">
        <f>+肥料算出基礎!C5*10/肥料算出基礎!J5</f>
        <v>7.5</v>
      </c>
      <c r="E8" s="103" t="s">
        <v>138</v>
      </c>
      <c r="F8" s="92">
        <v>860</v>
      </c>
      <c r="G8" s="201">
        <f>D8*F8</f>
        <v>6450</v>
      </c>
      <c r="H8" s="213"/>
      <c r="I8" s="988"/>
      <c r="J8" s="92" t="s">
        <v>439</v>
      </c>
      <c r="K8" s="220">
        <v>6</v>
      </c>
      <c r="L8" s="220">
        <v>3</v>
      </c>
      <c r="M8" s="220">
        <v>123.2</v>
      </c>
      <c r="N8" s="201">
        <f t="shared" si="3"/>
        <v>2217.6</v>
      </c>
      <c r="O8" s="239"/>
      <c r="P8" s="341" t="s">
        <v>350</v>
      </c>
      <c r="Q8" s="197">
        <v>3</v>
      </c>
      <c r="R8" s="233" t="s">
        <v>354</v>
      </c>
      <c r="S8" s="197">
        <f t="shared" si="1"/>
        <v>1180</v>
      </c>
      <c r="T8" s="1112">
        <v>1</v>
      </c>
      <c r="U8" s="1113"/>
      <c r="V8" s="228">
        <f t="shared" si="2"/>
        <v>3540</v>
      </c>
      <c r="W8" s="718">
        <v>1080</v>
      </c>
      <c r="X8" s="718">
        <v>10</v>
      </c>
      <c r="Y8" s="718" t="s">
        <v>345</v>
      </c>
    </row>
    <row r="9" spans="2:25" ht="15" customHeight="1" x14ac:dyDescent="0.15">
      <c r="B9" s="988"/>
      <c r="C9" s="377" t="s">
        <v>776</v>
      </c>
      <c r="D9" s="377">
        <f>+肥料算出基礎!C8*10/肥料算出基礎!J8</f>
        <v>20</v>
      </c>
      <c r="E9" s="103" t="s">
        <v>138</v>
      </c>
      <c r="F9" s="377">
        <f>+肥料算出基礎!K8</f>
        <v>730</v>
      </c>
      <c r="G9" s="201">
        <f>D9*F9</f>
        <v>14600</v>
      </c>
      <c r="H9" s="213"/>
      <c r="I9" s="988"/>
      <c r="J9" s="377"/>
      <c r="K9" s="482"/>
      <c r="L9" s="482"/>
      <c r="M9" s="482"/>
      <c r="N9" s="201"/>
      <c r="O9" s="239"/>
      <c r="P9" s="341" t="s">
        <v>351</v>
      </c>
      <c r="Q9" s="197">
        <v>300</v>
      </c>
      <c r="R9" s="394" t="s">
        <v>341</v>
      </c>
      <c r="S9" s="197">
        <f t="shared" si="1"/>
        <v>370</v>
      </c>
      <c r="T9" s="1133">
        <v>1</v>
      </c>
      <c r="U9" s="1113"/>
      <c r="V9" s="228">
        <f>Q9*S9/T9</f>
        <v>111000</v>
      </c>
      <c r="W9" s="718">
        <v>337</v>
      </c>
      <c r="X9" s="718">
        <v>100</v>
      </c>
      <c r="Y9" s="718" t="s">
        <v>346</v>
      </c>
    </row>
    <row r="10" spans="2:25" ht="15" customHeight="1" x14ac:dyDescent="0.15">
      <c r="B10" s="988"/>
      <c r="C10" s="92" t="s">
        <v>777</v>
      </c>
      <c r="D10" s="377">
        <f>+肥料算出基礎!C10*10/肥料算出基礎!J10</f>
        <v>20</v>
      </c>
      <c r="E10" s="103" t="s">
        <v>138</v>
      </c>
      <c r="F10" s="92">
        <f>+肥料算出基礎!K10</f>
        <v>4930</v>
      </c>
      <c r="G10" s="201">
        <f>D10*F10</f>
        <v>98600</v>
      </c>
      <c r="H10" s="213"/>
      <c r="I10" s="988"/>
      <c r="J10" s="92"/>
      <c r="K10" s="220"/>
      <c r="L10" s="220"/>
      <c r="M10" s="220"/>
      <c r="N10" s="201">
        <f t="shared" si="3"/>
        <v>0</v>
      </c>
      <c r="O10" s="485"/>
      <c r="P10" s="190" t="s">
        <v>435</v>
      </c>
      <c r="Q10" s="197">
        <v>4</v>
      </c>
      <c r="R10" s="233" t="s">
        <v>437</v>
      </c>
      <c r="S10" s="197">
        <v>64600</v>
      </c>
      <c r="T10" s="1112">
        <v>5</v>
      </c>
      <c r="U10" s="1113"/>
      <c r="V10" s="228">
        <f>Q10*S10/T10</f>
        <v>51680</v>
      </c>
      <c r="W10" s="718"/>
      <c r="X10" s="718" t="s">
        <v>436</v>
      </c>
      <c r="Y10" s="718"/>
    </row>
    <row r="11" spans="2:25" ht="15" customHeight="1" thickBot="1" x14ac:dyDescent="0.2">
      <c r="B11" s="988"/>
      <c r="C11" s="92" t="s">
        <v>778</v>
      </c>
      <c r="D11" s="377">
        <f>+肥料算出基礎!C9*10/肥料算出基礎!J9</f>
        <v>20</v>
      </c>
      <c r="E11" s="103" t="s">
        <v>138</v>
      </c>
      <c r="F11" s="92">
        <f>+肥料算出基礎!K9</f>
        <v>4410</v>
      </c>
      <c r="G11" s="201">
        <f>D11*F11</f>
        <v>88200</v>
      </c>
      <c r="H11" s="213"/>
      <c r="I11" s="1085"/>
      <c r="J11" s="342" t="s">
        <v>253</v>
      </c>
      <c r="K11" s="221">
        <f t="shared" ref="K11:L11" si="4">SUM(K6:K10)</f>
        <v>21</v>
      </c>
      <c r="L11" s="221">
        <f t="shared" si="4"/>
        <v>7</v>
      </c>
      <c r="M11" s="221"/>
      <c r="N11" s="216">
        <f>SUM(N6:N10)</f>
        <v>5544</v>
      </c>
      <c r="O11" s="239"/>
      <c r="P11" s="341" t="s">
        <v>588</v>
      </c>
      <c r="Q11" s="197">
        <v>12</v>
      </c>
      <c r="R11" s="547" t="s">
        <v>352</v>
      </c>
      <c r="S11" s="197">
        <f>ROUNDDOWN(W11*1.1,-1)</f>
        <v>6220</v>
      </c>
      <c r="T11" s="1112">
        <v>5</v>
      </c>
      <c r="U11" s="1113"/>
      <c r="V11" s="228">
        <f>Q11*S11/T11</f>
        <v>14928</v>
      </c>
      <c r="W11" s="718">
        <v>5657</v>
      </c>
      <c r="X11" s="718" t="s">
        <v>589</v>
      </c>
      <c r="Y11" s="718"/>
    </row>
    <row r="12" spans="2:25" ht="15" customHeight="1" thickTop="1" thickBot="1" x14ac:dyDescent="0.2">
      <c r="B12" s="1085"/>
      <c r="C12" s="204" t="s">
        <v>141</v>
      </c>
      <c r="D12" s="205"/>
      <c r="E12" s="205"/>
      <c r="F12" s="205"/>
      <c r="G12" s="206">
        <f>SUM(G8:G11)</f>
        <v>207850</v>
      </c>
      <c r="H12" s="213"/>
      <c r="I12" s="1084" t="s">
        <v>254</v>
      </c>
      <c r="J12" s="92" t="s">
        <v>440</v>
      </c>
      <c r="K12" s="220">
        <v>25</v>
      </c>
      <c r="L12" s="220">
        <v>1</v>
      </c>
      <c r="M12" s="220">
        <v>169.9</v>
      </c>
      <c r="N12" s="201">
        <f>K12*L12*M12</f>
        <v>4247.5</v>
      </c>
      <c r="O12" s="239"/>
      <c r="P12" s="341"/>
      <c r="Q12" s="197"/>
      <c r="R12" s="233"/>
      <c r="S12" s="197"/>
      <c r="T12" s="1112"/>
      <c r="U12" s="1113"/>
      <c r="V12" s="228"/>
      <c r="W12" s="718"/>
      <c r="X12" s="718"/>
      <c r="Y12" s="718"/>
    </row>
    <row r="13" spans="2:25" ht="15" customHeight="1" thickTop="1" x14ac:dyDescent="0.15">
      <c r="B13" s="1084" t="s">
        <v>168</v>
      </c>
      <c r="C13" s="92" t="s">
        <v>772</v>
      </c>
      <c r="D13" s="92">
        <f>+肥料算出基礎!C5*10/肥料算出基礎!J5</f>
        <v>7.5</v>
      </c>
      <c r="E13" s="103" t="s">
        <v>138</v>
      </c>
      <c r="F13" s="92">
        <f>+肥料算出基礎!K5</f>
        <v>3200</v>
      </c>
      <c r="G13" s="201">
        <f>D13*F13</f>
        <v>24000</v>
      </c>
      <c r="H13" s="213"/>
      <c r="I13" s="988"/>
      <c r="J13" s="92" t="s">
        <v>441</v>
      </c>
      <c r="K13" s="220">
        <v>10</v>
      </c>
      <c r="L13" s="220">
        <v>1</v>
      </c>
      <c r="M13" s="220">
        <v>169.9</v>
      </c>
      <c r="N13" s="201">
        <f t="shared" ref="N13:N15" si="5">K13*L13*M13</f>
        <v>1699</v>
      </c>
      <c r="O13" s="239"/>
      <c r="P13" s="341"/>
      <c r="Q13" s="197"/>
      <c r="R13" s="233"/>
      <c r="S13" s="197"/>
      <c r="T13" s="1112"/>
      <c r="U13" s="1113"/>
      <c r="V13" s="228"/>
      <c r="W13" s="718"/>
      <c r="X13" s="718"/>
      <c r="Y13" s="718"/>
    </row>
    <row r="14" spans="2:25" ht="15" customHeight="1" x14ac:dyDescent="0.15">
      <c r="B14" s="988"/>
      <c r="C14" s="92" t="s">
        <v>774</v>
      </c>
      <c r="D14" s="92">
        <f>+肥料算出基礎!C6*10/肥料算出基礎!J6</f>
        <v>20</v>
      </c>
      <c r="E14" s="103" t="s">
        <v>138</v>
      </c>
      <c r="F14" s="92">
        <f>+肥料算出基礎!K6</f>
        <v>2880</v>
      </c>
      <c r="G14" s="201">
        <f>D14*F14</f>
        <v>57600</v>
      </c>
      <c r="H14" s="213"/>
      <c r="I14" s="988"/>
      <c r="J14" s="92" t="s">
        <v>442</v>
      </c>
      <c r="K14" s="220">
        <v>5</v>
      </c>
      <c r="L14" s="220">
        <v>1</v>
      </c>
      <c r="M14" s="220">
        <v>169.9</v>
      </c>
      <c r="N14" s="201">
        <f t="shared" si="5"/>
        <v>849.5</v>
      </c>
      <c r="O14" s="239"/>
      <c r="P14" s="341"/>
      <c r="Q14" s="197"/>
      <c r="R14" s="233"/>
      <c r="S14" s="197"/>
      <c r="T14" s="1112"/>
      <c r="U14" s="1113"/>
      <c r="V14" s="228"/>
      <c r="W14" s="718"/>
      <c r="X14" s="718"/>
      <c r="Y14" s="718"/>
    </row>
    <row r="15" spans="2:25" ht="15" customHeight="1" x14ac:dyDescent="0.15">
      <c r="B15" s="988"/>
      <c r="C15" s="92"/>
      <c r="D15" s="92"/>
      <c r="E15" s="103"/>
      <c r="F15" s="92"/>
      <c r="G15" s="201">
        <f>D15*F15</f>
        <v>0</v>
      </c>
      <c r="H15" s="213"/>
      <c r="I15" s="988"/>
      <c r="J15" s="92" t="s">
        <v>446</v>
      </c>
      <c r="K15" s="220">
        <v>50</v>
      </c>
      <c r="L15" s="220">
        <v>1</v>
      </c>
      <c r="M15" s="220">
        <v>169.9</v>
      </c>
      <c r="N15" s="201">
        <f t="shared" si="5"/>
        <v>8495</v>
      </c>
      <c r="O15" s="239"/>
      <c r="P15" s="341"/>
      <c r="Q15" s="197"/>
      <c r="R15" s="233"/>
      <c r="S15" s="197"/>
      <c r="T15" s="1112"/>
      <c r="U15" s="1113"/>
      <c r="V15" s="228"/>
      <c r="W15" s="718"/>
      <c r="X15" s="718"/>
      <c r="Y15" s="718"/>
    </row>
    <row r="16" spans="2:25" ht="15" customHeight="1" thickBot="1" x14ac:dyDescent="0.2">
      <c r="B16" s="988"/>
      <c r="C16" s="92"/>
      <c r="D16" s="92"/>
      <c r="E16" s="92"/>
      <c r="F16" s="92"/>
      <c r="G16" s="201">
        <f t="shared" ref="G16" si="6">D16*F16</f>
        <v>0</v>
      </c>
      <c r="H16" s="213"/>
      <c r="I16" s="1085"/>
      <c r="J16" s="342" t="s">
        <v>253</v>
      </c>
      <c r="K16" s="221">
        <f t="shared" ref="K16:L16" si="7">SUM(K12:K15)</f>
        <v>90</v>
      </c>
      <c r="L16" s="221">
        <f t="shared" si="7"/>
        <v>4</v>
      </c>
      <c r="M16" s="221"/>
      <c r="N16" s="216">
        <f>SUM(N12:N15)</f>
        <v>15291</v>
      </c>
      <c r="O16" s="239"/>
      <c r="P16" s="341"/>
      <c r="Q16" s="197"/>
      <c r="R16" s="233"/>
      <c r="S16" s="197"/>
      <c r="T16" s="1112"/>
      <c r="U16" s="1113"/>
      <c r="V16" s="228"/>
      <c r="W16" s="718"/>
      <c r="X16" s="718"/>
      <c r="Y16" s="718"/>
    </row>
    <row r="17" spans="2:25" ht="15" customHeight="1" thickTop="1" thickBot="1" x14ac:dyDescent="0.2">
      <c r="B17" s="1085"/>
      <c r="C17" s="204" t="s">
        <v>141</v>
      </c>
      <c r="D17" s="205"/>
      <c r="E17" s="205"/>
      <c r="F17" s="205"/>
      <c r="G17" s="206">
        <f>SUM(G13:G16)</f>
        <v>81600</v>
      </c>
      <c r="H17" s="213"/>
      <c r="I17" s="1084" t="s">
        <v>181</v>
      </c>
      <c r="J17" s="92" t="s">
        <v>444</v>
      </c>
      <c r="K17" s="220">
        <v>22</v>
      </c>
      <c r="L17" s="220">
        <v>0.5</v>
      </c>
      <c r="M17" s="220">
        <v>179.9</v>
      </c>
      <c r="N17" s="201">
        <f>K17*L17*M17</f>
        <v>1978.9</v>
      </c>
      <c r="O17" s="239"/>
      <c r="P17" s="341"/>
      <c r="Q17" s="197"/>
      <c r="R17" s="375"/>
      <c r="S17" s="197"/>
      <c r="T17" s="1112"/>
      <c r="U17" s="1113"/>
      <c r="V17" s="228"/>
      <c r="W17" s="718"/>
      <c r="X17" s="718"/>
      <c r="Y17" s="718"/>
    </row>
    <row r="18" spans="2:25" ht="15" customHeight="1" thickTop="1" x14ac:dyDescent="0.15">
      <c r="B18" s="1084" t="s">
        <v>171</v>
      </c>
      <c r="C18" s="92" t="s">
        <v>773</v>
      </c>
      <c r="D18" s="92">
        <f>+肥料算出基礎!C11*10/肥料算出基礎!J11</f>
        <v>2</v>
      </c>
      <c r="E18" s="103" t="s">
        <v>142</v>
      </c>
      <c r="F18" s="92">
        <f>+肥料算出基礎!K11</f>
        <v>8250</v>
      </c>
      <c r="G18" s="201">
        <f t="shared" ref="G18" si="8">D18*F18</f>
        <v>16500</v>
      </c>
      <c r="H18" s="213"/>
      <c r="I18" s="988"/>
      <c r="J18" s="92"/>
      <c r="K18" s="220"/>
      <c r="L18" s="220"/>
      <c r="M18" s="220"/>
      <c r="N18" s="201">
        <f t="shared" ref="N18:N19" si="9">K18*L18*M18</f>
        <v>0</v>
      </c>
      <c r="O18" s="239"/>
      <c r="P18" s="341"/>
      <c r="Q18" s="197"/>
      <c r="R18" s="375"/>
      <c r="S18" s="197"/>
      <c r="T18" s="1112"/>
      <c r="U18" s="1113"/>
      <c r="V18" s="228"/>
      <c r="W18" s="718"/>
      <c r="X18" s="718"/>
      <c r="Y18" s="718"/>
    </row>
    <row r="19" spans="2:25" ht="15" customHeight="1" x14ac:dyDescent="0.15">
      <c r="B19" s="988"/>
      <c r="C19" s="92"/>
      <c r="D19" s="92"/>
      <c r="E19" s="103"/>
      <c r="F19" s="92"/>
      <c r="G19" s="201">
        <f>D19*F19</f>
        <v>0</v>
      </c>
      <c r="H19" s="213"/>
      <c r="I19" s="988"/>
      <c r="J19" s="92"/>
      <c r="K19" s="220"/>
      <c r="L19" s="220"/>
      <c r="M19" s="220"/>
      <c r="N19" s="201">
        <f t="shared" si="9"/>
        <v>0</v>
      </c>
      <c r="O19" s="239"/>
      <c r="P19" s="341"/>
      <c r="Q19" s="197"/>
      <c r="R19" s="233"/>
      <c r="S19" s="197"/>
      <c r="T19" s="1112"/>
      <c r="U19" s="1113"/>
      <c r="V19" s="228"/>
      <c r="W19" s="718"/>
      <c r="X19" s="718"/>
      <c r="Y19" s="718"/>
    </row>
    <row r="20" spans="2:25" ht="15" customHeight="1" thickBot="1" x14ac:dyDescent="0.2">
      <c r="B20" s="988"/>
      <c r="C20" s="92"/>
      <c r="D20" s="92"/>
      <c r="E20" s="92"/>
      <c r="F20" s="92"/>
      <c r="G20" s="201">
        <f t="shared" ref="G20" si="10">D20*F20</f>
        <v>0</v>
      </c>
      <c r="H20" s="213"/>
      <c r="I20" s="1085"/>
      <c r="J20" s="342" t="s">
        <v>255</v>
      </c>
      <c r="K20" s="221">
        <f>SUM(K17:K19)</f>
        <v>22</v>
      </c>
      <c r="L20" s="222">
        <f>SUM(L17:L19)</f>
        <v>0.5</v>
      </c>
      <c r="M20" s="223"/>
      <c r="N20" s="216">
        <f>SUM(N17:N19)</f>
        <v>1978.9</v>
      </c>
      <c r="O20" s="239"/>
      <c r="P20" s="341"/>
      <c r="Q20" s="197"/>
      <c r="R20" s="233"/>
      <c r="S20" s="197"/>
      <c r="T20" s="1112"/>
      <c r="U20" s="1113"/>
      <c r="V20" s="228"/>
      <c r="W20" s="718"/>
      <c r="X20" s="718"/>
      <c r="Y20" s="718"/>
    </row>
    <row r="21" spans="2:25" ht="15" customHeight="1" thickTop="1" thickBot="1" x14ac:dyDescent="0.2">
      <c r="B21" s="1085"/>
      <c r="C21" s="204" t="s">
        <v>141</v>
      </c>
      <c r="D21" s="205"/>
      <c r="E21" s="205"/>
      <c r="F21" s="205"/>
      <c r="G21" s="206">
        <f>SUM(G18:G20)</f>
        <v>16500</v>
      </c>
      <c r="H21" s="213"/>
      <c r="I21" s="1084" t="s">
        <v>182</v>
      </c>
      <c r="J21" s="92"/>
      <c r="K21" s="220"/>
      <c r="L21" s="220"/>
      <c r="M21" s="220"/>
      <c r="N21" s="201">
        <f>K21*L21*M21</f>
        <v>0</v>
      </c>
      <c r="O21" s="239"/>
      <c r="P21" s="229" t="s">
        <v>28</v>
      </c>
      <c r="Q21" s="230"/>
      <c r="R21" s="230"/>
      <c r="S21" s="230"/>
      <c r="T21" s="1132"/>
      <c r="U21" s="1102"/>
      <c r="V21" s="231">
        <f>SUM(V5:V20)</f>
        <v>358728</v>
      </c>
      <c r="W21" s="718"/>
      <c r="X21" s="718"/>
      <c r="Y21" s="718"/>
    </row>
    <row r="22" spans="2:25" ht="15" customHeight="1" thickTop="1" x14ac:dyDescent="0.15">
      <c r="B22" s="1084" t="s">
        <v>172</v>
      </c>
      <c r="C22" s="92"/>
      <c r="D22" s="92"/>
      <c r="E22" s="103"/>
      <c r="F22" s="92"/>
      <c r="G22" s="201">
        <f>D22*F22</f>
        <v>0</v>
      </c>
      <c r="H22" s="213"/>
      <c r="I22" s="988"/>
      <c r="J22" s="92"/>
      <c r="K22" s="220"/>
      <c r="L22" s="220"/>
      <c r="M22" s="220"/>
      <c r="N22" s="201">
        <f t="shared" ref="N22:N23" si="11">K22*L22*M22</f>
        <v>0</v>
      </c>
      <c r="O22" s="239"/>
      <c r="W22" s="718"/>
      <c r="X22" s="718"/>
      <c r="Y22" s="718"/>
    </row>
    <row r="23" spans="2:25" ht="15" customHeight="1" thickBot="1" x14ac:dyDescent="0.2">
      <c r="B23" s="988"/>
      <c r="C23" s="92"/>
      <c r="D23" s="92"/>
      <c r="E23" s="103"/>
      <c r="F23" s="92"/>
      <c r="G23" s="201">
        <f>D23*F23</f>
        <v>0</v>
      </c>
      <c r="H23" s="213"/>
      <c r="I23" s="988"/>
      <c r="J23" s="92"/>
      <c r="K23" s="220"/>
      <c r="L23" s="220"/>
      <c r="M23" s="220"/>
      <c r="N23" s="201">
        <f t="shared" si="11"/>
        <v>0</v>
      </c>
      <c r="O23" s="239"/>
      <c r="P23" s="93" t="s">
        <v>250</v>
      </c>
      <c r="W23" s="718"/>
      <c r="X23" s="718"/>
      <c r="Y23" s="718"/>
    </row>
    <row r="24" spans="2:25" ht="15" customHeight="1" thickBot="1" x14ac:dyDescent="0.2">
      <c r="B24" s="988"/>
      <c r="C24" s="92"/>
      <c r="D24" s="92"/>
      <c r="E24" s="103"/>
      <c r="F24" s="92"/>
      <c r="G24" s="201">
        <f>D24*F24</f>
        <v>0</v>
      </c>
      <c r="H24" s="213"/>
      <c r="I24" s="1085"/>
      <c r="J24" s="342" t="s">
        <v>255</v>
      </c>
      <c r="K24" s="221">
        <f>SUM(K21:K23)</f>
        <v>0</v>
      </c>
      <c r="L24" s="222">
        <f>SUM(L21:L23)</f>
        <v>0</v>
      </c>
      <c r="M24" s="223"/>
      <c r="N24" s="216">
        <f>SUM(N21:N23)</f>
        <v>0</v>
      </c>
      <c r="O24" s="239"/>
      <c r="P24" s="338" t="s">
        <v>189</v>
      </c>
      <c r="Q24" s="339" t="s">
        <v>184</v>
      </c>
      <c r="R24" s="339" t="s">
        <v>185</v>
      </c>
      <c r="S24" s="339" t="s">
        <v>256</v>
      </c>
      <c r="T24" s="339" t="s">
        <v>187</v>
      </c>
      <c r="U24" s="192" t="s">
        <v>190</v>
      </c>
      <c r="V24" s="340" t="s">
        <v>188</v>
      </c>
      <c r="W24" s="718" t="s">
        <v>361</v>
      </c>
      <c r="X24" s="718" t="s">
        <v>362</v>
      </c>
      <c r="Y24" s="718"/>
    </row>
    <row r="25" spans="2:25" ht="15" customHeight="1" thickTop="1" thickBot="1" x14ac:dyDescent="0.2">
      <c r="B25" s="1090"/>
      <c r="C25" s="207" t="s">
        <v>144</v>
      </c>
      <c r="D25" s="208"/>
      <c r="E25" s="208"/>
      <c r="F25" s="215"/>
      <c r="G25" s="209">
        <f>SUM(G22:G24)</f>
        <v>0</v>
      </c>
      <c r="I25" s="1084" t="s">
        <v>271</v>
      </c>
      <c r="J25" s="92"/>
      <c r="K25" s="220"/>
      <c r="L25" s="220"/>
      <c r="M25" s="220"/>
      <c r="N25" s="201">
        <f>K25*L25*M25</f>
        <v>0</v>
      </c>
      <c r="O25" s="239"/>
      <c r="P25" s="341" t="s">
        <v>355</v>
      </c>
      <c r="Q25" s="197">
        <f>+X25*10</f>
        <v>5</v>
      </c>
      <c r="R25" s="233" t="s">
        <v>408</v>
      </c>
      <c r="S25" s="197">
        <f t="shared" ref="S25:S29" si="12">ROUNDDOWN(W25*1.1,-1)</f>
        <v>5160</v>
      </c>
      <c r="T25" s="197">
        <v>2</v>
      </c>
      <c r="U25" s="198">
        <v>1</v>
      </c>
      <c r="V25" s="228">
        <f>Q25*S25/T25/U25</f>
        <v>12900</v>
      </c>
      <c r="W25" s="718">
        <v>4692</v>
      </c>
      <c r="X25" s="730">
        <v>0.5</v>
      </c>
      <c r="Y25" s="718"/>
    </row>
    <row r="26" spans="2:25" ht="15" customHeight="1" x14ac:dyDescent="0.15">
      <c r="H26" s="214"/>
      <c r="I26" s="988"/>
      <c r="J26" s="92"/>
      <c r="K26" s="220"/>
      <c r="L26" s="220"/>
      <c r="M26" s="220"/>
      <c r="N26" s="201">
        <f t="shared" ref="N26:N27" si="13">K26*L26*M26</f>
        <v>0</v>
      </c>
      <c r="O26" s="239"/>
      <c r="P26" s="341" t="s">
        <v>356</v>
      </c>
      <c r="Q26" s="197">
        <f t="shared" ref="Q26:Q30" si="14">+X26*10</f>
        <v>5</v>
      </c>
      <c r="R26" s="233" t="s">
        <v>407</v>
      </c>
      <c r="S26" s="197">
        <f t="shared" si="12"/>
        <v>3390</v>
      </c>
      <c r="T26" s="197">
        <v>2</v>
      </c>
      <c r="U26" s="198">
        <v>1</v>
      </c>
      <c r="V26" s="228">
        <f t="shared" ref="V26:V30" si="15">Q26*S26/T26/U26</f>
        <v>8475</v>
      </c>
      <c r="W26" s="718">
        <v>3086</v>
      </c>
      <c r="X26" s="730">
        <v>0.5</v>
      </c>
      <c r="Y26" s="718"/>
    </row>
    <row r="27" spans="2:25" ht="15" customHeight="1" thickBot="1" x14ac:dyDescent="0.2">
      <c r="B27" s="13" t="s">
        <v>257</v>
      </c>
      <c r="C27" s="13"/>
      <c r="D27" s="95"/>
      <c r="E27" s="13"/>
      <c r="F27" s="95"/>
      <c r="G27" s="99"/>
      <c r="H27" s="212"/>
      <c r="I27" s="988"/>
      <c r="J27" s="92"/>
      <c r="K27" s="220"/>
      <c r="L27" s="220"/>
      <c r="M27" s="220"/>
      <c r="N27" s="201">
        <f t="shared" si="13"/>
        <v>0</v>
      </c>
      <c r="O27" s="239"/>
      <c r="P27" s="341" t="s">
        <v>357</v>
      </c>
      <c r="Q27" s="197">
        <f t="shared" si="14"/>
        <v>2</v>
      </c>
      <c r="R27" s="233" t="s">
        <v>407</v>
      </c>
      <c r="S27" s="197">
        <v>5720</v>
      </c>
      <c r="T27" s="197">
        <v>2</v>
      </c>
      <c r="U27" s="198">
        <v>1</v>
      </c>
      <c r="V27" s="228">
        <f t="shared" si="15"/>
        <v>5720</v>
      </c>
      <c r="W27" s="718"/>
      <c r="X27" s="730">
        <v>0.2</v>
      </c>
      <c r="Y27" s="718"/>
    </row>
    <row r="28" spans="2:25" ht="15" customHeight="1" thickBot="1" x14ac:dyDescent="0.2">
      <c r="B28" s="337" t="s">
        <v>74</v>
      </c>
      <c r="C28" s="211" t="s">
        <v>133</v>
      </c>
      <c r="D28" s="211" t="s">
        <v>134</v>
      </c>
      <c r="E28" s="211" t="s">
        <v>135</v>
      </c>
      <c r="F28" s="211" t="s">
        <v>23</v>
      </c>
      <c r="G28" s="199" t="s">
        <v>136</v>
      </c>
      <c r="H28" s="213"/>
      <c r="I28" s="1085"/>
      <c r="J28" s="342" t="s">
        <v>253</v>
      </c>
      <c r="K28" s="221">
        <f>SUM(K25:K27)</f>
        <v>0</v>
      </c>
      <c r="L28" s="222">
        <f>SUM(L25:L27)</f>
        <v>0</v>
      </c>
      <c r="M28" s="223"/>
      <c r="N28" s="216">
        <f>SUM(N25:N27)</f>
        <v>0</v>
      </c>
      <c r="O28" s="239"/>
      <c r="P28" s="341" t="s">
        <v>358</v>
      </c>
      <c r="Q28" s="197">
        <f t="shared" si="14"/>
        <v>5</v>
      </c>
      <c r="R28" s="233" t="s">
        <v>407</v>
      </c>
      <c r="S28" s="197">
        <f t="shared" si="12"/>
        <v>970</v>
      </c>
      <c r="T28" s="197">
        <v>2</v>
      </c>
      <c r="U28" s="198">
        <v>1</v>
      </c>
      <c r="V28" s="228">
        <f t="shared" si="15"/>
        <v>2425</v>
      </c>
      <c r="W28" s="718">
        <v>885</v>
      </c>
      <c r="X28" s="730">
        <v>0.5</v>
      </c>
      <c r="Y28" s="718"/>
    </row>
    <row r="29" spans="2:25" ht="15" customHeight="1" thickTop="1" x14ac:dyDescent="0.15">
      <c r="B29" s="987" t="s">
        <v>29</v>
      </c>
      <c r="C29" s="92" t="s">
        <v>762</v>
      </c>
      <c r="D29" s="92">
        <f>+農薬算出基礎!D3*10/農薬算出基礎!C3*1000/農薬算出基礎!E3</f>
        <v>8</v>
      </c>
      <c r="E29" s="103" t="s">
        <v>138</v>
      </c>
      <c r="F29" s="92">
        <f>+農薬算出基礎!F3</f>
        <v>3660</v>
      </c>
      <c r="G29" s="200">
        <f t="shared" ref="G29:G41" si="16">D29*F29</f>
        <v>29280</v>
      </c>
      <c r="H29" s="213"/>
      <c r="I29" s="1084" t="s">
        <v>178</v>
      </c>
      <c r="J29" s="92"/>
      <c r="K29" s="220"/>
      <c r="L29" s="220"/>
      <c r="M29" s="220"/>
      <c r="N29" s="201">
        <f>K29*L29*M29</f>
        <v>0</v>
      </c>
      <c r="O29" s="239"/>
      <c r="P29" s="341" t="s">
        <v>359</v>
      </c>
      <c r="Q29" s="197">
        <v>40</v>
      </c>
      <c r="R29" s="233" t="s">
        <v>408</v>
      </c>
      <c r="S29" s="197">
        <f t="shared" si="12"/>
        <v>1180</v>
      </c>
      <c r="T29" s="197">
        <v>5</v>
      </c>
      <c r="U29" s="198">
        <v>1</v>
      </c>
      <c r="V29" s="228">
        <f t="shared" si="15"/>
        <v>9440</v>
      </c>
      <c r="W29" s="718">
        <v>1080</v>
      </c>
      <c r="X29" s="730">
        <v>8</v>
      </c>
      <c r="Y29" s="718"/>
    </row>
    <row r="30" spans="2:25" ht="15" customHeight="1" x14ac:dyDescent="0.15">
      <c r="B30" s="988"/>
      <c r="C30" s="92" t="s">
        <v>763</v>
      </c>
      <c r="D30" s="92">
        <f>+農薬算出基礎!D4*10/農薬算出基礎!C4*1000/農薬算出基礎!E4</f>
        <v>7.5</v>
      </c>
      <c r="E30" s="103" t="s">
        <v>138</v>
      </c>
      <c r="F30" s="92">
        <f>+農薬算出基礎!F4</f>
        <v>1840</v>
      </c>
      <c r="G30" s="201">
        <f t="shared" si="16"/>
        <v>13800</v>
      </c>
      <c r="H30" s="213"/>
      <c r="I30" s="988"/>
      <c r="J30" s="92"/>
      <c r="K30" s="220"/>
      <c r="L30" s="220"/>
      <c r="M30" s="220"/>
      <c r="N30" s="201">
        <f t="shared" ref="N30:N31" si="17">K30*L30*M30</f>
        <v>0</v>
      </c>
      <c r="O30" s="94"/>
      <c r="P30" s="341" t="s">
        <v>360</v>
      </c>
      <c r="Q30" s="197">
        <f t="shared" si="14"/>
        <v>2</v>
      </c>
      <c r="R30" s="375" t="s">
        <v>366</v>
      </c>
      <c r="S30" s="197">
        <f>ROUNDDOWN(W30*1.08,-1)</f>
        <v>10470</v>
      </c>
      <c r="T30" s="197">
        <v>5</v>
      </c>
      <c r="U30" s="376">
        <v>1</v>
      </c>
      <c r="V30" s="228">
        <f t="shared" si="15"/>
        <v>4188</v>
      </c>
      <c r="W30" s="718">
        <v>9700</v>
      </c>
      <c r="X30" s="730">
        <v>0.2</v>
      </c>
      <c r="Y30" s="718" t="s">
        <v>363</v>
      </c>
    </row>
    <row r="31" spans="2:25" ht="15" customHeight="1" x14ac:dyDescent="0.15">
      <c r="B31" s="988"/>
      <c r="C31" s="92" t="s">
        <v>764</v>
      </c>
      <c r="D31" s="92">
        <f>+農薬算出基礎!D5*10/農薬算出基礎!C5*1000/農薬算出基礎!E5</f>
        <v>4</v>
      </c>
      <c r="E31" s="103" t="s">
        <v>138</v>
      </c>
      <c r="F31" s="92">
        <f>+農薬算出基礎!F5</f>
        <v>6260</v>
      </c>
      <c r="G31" s="201">
        <f t="shared" si="16"/>
        <v>25040</v>
      </c>
      <c r="H31" s="213"/>
      <c r="I31" s="988"/>
      <c r="J31" s="92"/>
      <c r="K31" s="220"/>
      <c r="L31" s="220"/>
      <c r="M31" s="220"/>
      <c r="N31" s="201">
        <f t="shared" si="17"/>
        <v>0</v>
      </c>
      <c r="P31" s="341" t="s">
        <v>365</v>
      </c>
      <c r="Q31" s="197">
        <f>+X31*10</f>
        <v>4</v>
      </c>
      <c r="R31" s="375" t="s">
        <v>366</v>
      </c>
      <c r="S31" s="197">
        <f>ROUNDDOWN(W31*1.08,-1)</f>
        <v>3020</v>
      </c>
      <c r="T31" s="197">
        <v>5</v>
      </c>
      <c r="U31" s="376">
        <v>1</v>
      </c>
      <c r="V31" s="228">
        <f t="shared" ref="V31:V37" si="18">Q31*S31/T31/U31</f>
        <v>2416</v>
      </c>
      <c r="W31" s="718">
        <v>2800</v>
      </c>
      <c r="X31" s="730">
        <v>0.4</v>
      </c>
      <c r="Y31" s="718" t="s">
        <v>364</v>
      </c>
    </row>
    <row r="32" spans="2:25" ht="15" customHeight="1" thickBot="1" x14ac:dyDescent="0.2">
      <c r="B32" s="988"/>
      <c r="C32" s="92" t="s">
        <v>765</v>
      </c>
      <c r="D32" s="92">
        <f>+農薬算出基礎!D6*10/農薬算出基礎!C6*1000/農薬算出基礎!E6</f>
        <v>3</v>
      </c>
      <c r="E32" s="103" t="s">
        <v>138</v>
      </c>
      <c r="F32" s="92">
        <f>+農薬算出基礎!F6</f>
        <v>3690</v>
      </c>
      <c r="G32" s="201">
        <f t="shared" si="16"/>
        <v>11070</v>
      </c>
      <c r="H32" s="213"/>
      <c r="I32" s="1090"/>
      <c r="J32" s="343" t="s">
        <v>258</v>
      </c>
      <c r="K32" s="224">
        <f>SUM(K29:K31)</f>
        <v>0</v>
      </c>
      <c r="L32" s="226">
        <f>SUM(L29:L31)</f>
        <v>0</v>
      </c>
      <c r="M32" s="227"/>
      <c r="N32" s="218">
        <f>SUM(N29:N31)</f>
        <v>0</v>
      </c>
      <c r="P32" s="341" t="s">
        <v>411</v>
      </c>
      <c r="Q32" s="197">
        <v>1</v>
      </c>
      <c r="R32" s="233" t="s">
        <v>412</v>
      </c>
      <c r="S32" s="197">
        <v>30000</v>
      </c>
      <c r="T32" s="197">
        <v>10</v>
      </c>
      <c r="U32" s="198">
        <v>1</v>
      </c>
      <c r="V32" s="228">
        <f t="shared" si="18"/>
        <v>3000</v>
      </c>
    </row>
    <row r="33" spans="2:22" ht="15" customHeight="1" x14ac:dyDescent="0.15">
      <c r="B33" s="988"/>
      <c r="C33" s="377" t="s">
        <v>766</v>
      </c>
      <c r="D33" s="377">
        <f>+農薬算出基礎!D7*10/農薬算出基礎!C7*1000/農薬算出基礎!E7</f>
        <v>3</v>
      </c>
      <c r="E33" s="103" t="s">
        <v>138</v>
      </c>
      <c r="F33" s="377">
        <f>+農薬算出基礎!F7</f>
        <v>4570</v>
      </c>
      <c r="G33" s="201">
        <f>D33*F33</f>
        <v>13710</v>
      </c>
      <c r="H33" s="213"/>
      <c r="I33" s="489"/>
      <c r="J33" s="212"/>
      <c r="K33" s="508"/>
      <c r="L33" s="508"/>
      <c r="M33" s="508"/>
      <c r="N33" s="213"/>
      <c r="P33" s="490" t="s">
        <v>415</v>
      </c>
      <c r="Q33" s="491">
        <v>1</v>
      </c>
      <c r="R33" s="492" t="s">
        <v>416</v>
      </c>
      <c r="S33" s="491">
        <v>30000</v>
      </c>
      <c r="T33" s="491">
        <v>7</v>
      </c>
      <c r="U33" s="493">
        <v>1</v>
      </c>
      <c r="V33" s="494">
        <f t="shared" si="18"/>
        <v>4285.7142857142853</v>
      </c>
    </row>
    <row r="34" spans="2:22" ht="15" customHeight="1" x14ac:dyDescent="0.15">
      <c r="B34" s="988"/>
      <c r="C34" s="377" t="s">
        <v>767</v>
      </c>
      <c r="D34" s="377">
        <f>+農薬算出基礎!D8*10/農薬算出基礎!C8*1000/農薬算出基礎!E8</f>
        <v>2</v>
      </c>
      <c r="E34" s="103" t="s">
        <v>138</v>
      </c>
      <c r="F34" s="377">
        <f>+農薬算出基礎!F8</f>
        <v>6350</v>
      </c>
      <c r="G34" s="201">
        <f>D34*F34</f>
        <v>12700</v>
      </c>
      <c r="H34" s="213"/>
      <c r="I34" s="489"/>
      <c r="J34" s="212"/>
      <c r="K34" s="508"/>
      <c r="L34" s="508"/>
      <c r="M34" s="508"/>
      <c r="N34" s="213"/>
      <c r="P34" s="490" t="s">
        <v>417</v>
      </c>
      <c r="Q34" s="491">
        <v>4</v>
      </c>
      <c r="R34" s="492" t="s">
        <v>419</v>
      </c>
      <c r="S34" s="491">
        <v>7200</v>
      </c>
      <c r="T34" s="491">
        <v>10</v>
      </c>
      <c r="U34" s="493">
        <v>1</v>
      </c>
      <c r="V34" s="494">
        <f t="shared" si="18"/>
        <v>2880</v>
      </c>
    </row>
    <row r="35" spans="2:22" ht="15" customHeight="1" x14ac:dyDescent="0.15">
      <c r="B35" s="988"/>
      <c r="C35" s="92" t="s">
        <v>768</v>
      </c>
      <c r="D35" s="92">
        <f>+農薬算出基礎!D9*10/農薬算出基礎!C9*1000/農薬算出基礎!E9</f>
        <v>2</v>
      </c>
      <c r="E35" s="103" t="s">
        <v>138</v>
      </c>
      <c r="F35" s="92">
        <f>+農薬算出基礎!F9</f>
        <v>8080</v>
      </c>
      <c r="G35" s="201">
        <f>D35*F35</f>
        <v>16160</v>
      </c>
      <c r="H35" s="213"/>
      <c r="I35" s="507"/>
      <c r="J35" s="212"/>
      <c r="K35" s="508"/>
      <c r="L35" s="508"/>
      <c r="M35" s="508"/>
      <c r="N35" s="213"/>
      <c r="P35" s="490" t="s">
        <v>418</v>
      </c>
      <c r="Q35" s="491">
        <v>2</v>
      </c>
      <c r="R35" s="492" t="s">
        <v>412</v>
      </c>
      <c r="S35" s="491">
        <v>10000</v>
      </c>
      <c r="T35" s="491">
        <v>10</v>
      </c>
      <c r="U35" s="493">
        <v>1</v>
      </c>
      <c r="V35" s="494">
        <f t="shared" si="18"/>
        <v>2000</v>
      </c>
    </row>
    <row r="36" spans="2:22" ht="15" customHeight="1" x14ac:dyDescent="0.15">
      <c r="B36" s="988"/>
      <c r="C36" s="92" t="s">
        <v>769</v>
      </c>
      <c r="D36" s="92">
        <f>+農薬算出基礎!D10*10*3/農薬算出基礎!C10*1000/農薬算出基礎!E10</f>
        <v>12</v>
      </c>
      <c r="E36" s="103" t="s">
        <v>138</v>
      </c>
      <c r="F36" s="92">
        <f>+農薬算出基礎!F10</f>
        <v>5970</v>
      </c>
      <c r="G36" s="201">
        <f>D36*F36</f>
        <v>71640</v>
      </c>
      <c r="H36" s="213"/>
      <c r="I36" s="191"/>
      <c r="J36" s="191"/>
      <c r="K36" s="191"/>
      <c r="L36" s="191"/>
      <c r="M36" s="191"/>
      <c r="N36" s="191"/>
      <c r="P36" s="341" t="s">
        <v>413</v>
      </c>
      <c r="Q36" s="197">
        <v>1</v>
      </c>
      <c r="R36" s="233" t="s">
        <v>412</v>
      </c>
      <c r="S36" s="197">
        <v>2500</v>
      </c>
      <c r="T36" s="197">
        <v>10</v>
      </c>
      <c r="U36" s="198">
        <v>1</v>
      </c>
      <c r="V36" s="228">
        <f t="shared" si="18"/>
        <v>250</v>
      </c>
    </row>
    <row r="37" spans="2:22" ht="15" customHeight="1" thickBot="1" x14ac:dyDescent="0.2">
      <c r="B37" s="988"/>
      <c r="D37" s="510"/>
      <c r="E37" s="510"/>
      <c r="F37" s="510"/>
      <c r="H37" s="509"/>
      <c r="I37" s="181" t="s">
        <v>248</v>
      </c>
      <c r="J37" s="181"/>
      <c r="K37" s="181"/>
      <c r="L37" s="181"/>
      <c r="M37" s="181"/>
      <c r="P37" s="341" t="s">
        <v>414</v>
      </c>
      <c r="Q37" s="197">
        <v>1</v>
      </c>
      <c r="R37" s="233" t="s">
        <v>412</v>
      </c>
      <c r="S37" s="197">
        <v>3000</v>
      </c>
      <c r="T37" s="197">
        <v>10</v>
      </c>
      <c r="U37" s="198">
        <v>1</v>
      </c>
      <c r="V37" s="228">
        <f t="shared" si="18"/>
        <v>300</v>
      </c>
    </row>
    <row r="38" spans="2:22" ht="15" customHeight="1" thickBot="1" x14ac:dyDescent="0.2">
      <c r="B38" s="988"/>
      <c r="C38" s="500"/>
      <c r="D38" s="502"/>
      <c r="E38" s="502"/>
      <c r="F38" s="496"/>
      <c r="G38" s="506"/>
      <c r="H38" s="213"/>
      <c r="I38" s="317" t="s">
        <v>233</v>
      </c>
      <c r="J38" s="318" t="s">
        <v>5</v>
      </c>
      <c r="K38" s="1086" t="s">
        <v>234</v>
      </c>
      <c r="L38" s="1087"/>
      <c r="M38" s="344" t="s">
        <v>190</v>
      </c>
      <c r="N38" s="345" t="s">
        <v>259</v>
      </c>
      <c r="P38" s="346" t="s">
        <v>238</v>
      </c>
      <c r="Q38" s="230"/>
      <c r="R38" s="230"/>
      <c r="S38" s="230"/>
      <c r="T38" s="230"/>
      <c r="U38" s="232"/>
      <c r="V38" s="231">
        <f>SUM(V25:V37)</f>
        <v>58279.714285714283</v>
      </c>
    </row>
    <row r="39" spans="2:22" ht="15" customHeight="1" x14ac:dyDescent="0.15">
      <c r="B39" s="988"/>
      <c r="C39" s="501"/>
      <c r="D39" s="483"/>
      <c r="E39" s="483"/>
      <c r="F39" s="498"/>
      <c r="G39" s="331"/>
      <c r="H39" s="213"/>
      <c r="I39" s="1104" t="s">
        <v>2</v>
      </c>
      <c r="J39" s="210" t="s">
        <v>561</v>
      </c>
      <c r="K39" s="1103">
        <f>+'６　固定資本装備と減価償却費'!I6</f>
        <v>6480000</v>
      </c>
      <c r="L39" s="1103"/>
      <c r="M39" s="608">
        <v>3</v>
      </c>
      <c r="N39" s="331">
        <f>+K39/M39*0.014*0.3</f>
        <v>9072</v>
      </c>
    </row>
    <row r="40" spans="2:22" ht="15" customHeight="1" thickBot="1" x14ac:dyDescent="0.2">
      <c r="B40" s="988"/>
      <c r="C40" s="497"/>
      <c r="D40" s="503"/>
      <c r="E40" s="505"/>
      <c r="F40" s="504"/>
      <c r="G40" s="495">
        <f t="shared" si="16"/>
        <v>0</v>
      </c>
      <c r="H40" s="213"/>
      <c r="I40" s="1105"/>
      <c r="J40" s="210"/>
      <c r="K40" s="1103"/>
      <c r="L40" s="1103"/>
      <c r="M40" s="316"/>
      <c r="N40" s="331"/>
      <c r="P40" s="181" t="s">
        <v>239</v>
      </c>
      <c r="Q40" s="181"/>
      <c r="R40" s="181"/>
      <c r="S40" s="181"/>
      <c r="T40" s="181"/>
    </row>
    <row r="41" spans="2:22" ht="15" customHeight="1" x14ac:dyDescent="0.15">
      <c r="B41" s="988"/>
      <c r="C41" s="92"/>
      <c r="D41" s="92"/>
      <c r="E41" s="103"/>
      <c r="F41" s="92"/>
      <c r="G41" s="201">
        <f t="shared" si="16"/>
        <v>0</v>
      </c>
      <c r="H41" s="213"/>
      <c r="I41" s="1105"/>
      <c r="J41" s="210"/>
      <c r="K41" s="1103"/>
      <c r="L41" s="1103"/>
      <c r="M41" s="316"/>
      <c r="N41" s="331"/>
      <c r="O41" s="225"/>
      <c r="P41" s="317" t="s">
        <v>232</v>
      </c>
      <c r="Q41" s="1088" t="s">
        <v>240</v>
      </c>
      <c r="R41" s="1088"/>
      <c r="S41" s="330" t="s">
        <v>244</v>
      </c>
      <c r="T41" s="330" t="s">
        <v>243</v>
      </c>
      <c r="U41" s="347" t="s">
        <v>190</v>
      </c>
      <c r="V41" s="348" t="s">
        <v>259</v>
      </c>
    </row>
    <row r="42" spans="2:22" ht="15" customHeight="1" thickBot="1" x14ac:dyDescent="0.2">
      <c r="B42" s="1085"/>
      <c r="C42" s="202" t="s">
        <v>140</v>
      </c>
      <c r="D42" s="202"/>
      <c r="E42" s="202"/>
      <c r="F42" s="202"/>
      <c r="G42" s="203">
        <f>SUM(G29:G41)</f>
        <v>193400</v>
      </c>
      <c r="H42" s="213"/>
      <c r="I42" s="1105"/>
      <c r="J42" s="210"/>
      <c r="K42" s="1103"/>
      <c r="L42" s="1103"/>
      <c r="M42" s="316"/>
      <c r="N42" s="331"/>
      <c r="O42" s="225"/>
      <c r="P42" s="1099" t="s">
        <v>241</v>
      </c>
      <c r="Q42" s="323"/>
      <c r="R42" s="352"/>
      <c r="S42" s="324"/>
      <c r="T42" s="353"/>
      <c r="U42" s="324"/>
      <c r="V42" s="331"/>
    </row>
    <row r="43" spans="2:22" ht="15" customHeight="1" thickTop="1" x14ac:dyDescent="0.15">
      <c r="B43" s="1084" t="s">
        <v>173</v>
      </c>
      <c r="C43" s="92" t="s">
        <v>762</v>
      </c>
      <c r="D43" s="92">
        <f>+農薬算出基礎!D12*10/農薬算出基礎!C12*1000/農薬算出基礎!E12</f>
        <v>11.111111111111111</v>
      </c>
      <c r="E43" s="103" t="s">
        <v>138</v>
      </c>
      <c r="F43" s="92">
        <f>+農薬算出基礎!F12</f>
        <v>2560</v>
      </c>
      <c r="G43" s="201">
        <f>D43*F43</f>
        <v>28444.444444444445</v>
      </c>
      <c r="H43" s="213"/>
      <c r="I43" s="1105"/>
      <c r="J43" s="210"/>
      <c r="K43" s="1103"/>
      <c r="L43" s="1103"/>
      <c r="M43" s="316"/>
      <c r="N43" s="331"/>
      <c r="O43" s="225"/>
      <c r="P43" s="1097"/>
      <c r="Q43" s="323" t="s">
        <v>447</v>
      </c>
      <c r="R43" s="352" t="s">
        <v>644</v>
      </c>
      <c r="S43" s="324"/>
      <c r="T43" s="353"/>
      <c r="U43" s="324">
        <v>1</v>
      </c>
      <c r="V43" s="331">
        <v>64150</v>
      </c>
    </row>
    <row r="44" spans="2:22" ht="15" customHeight="1" x14ac:dyDescent="0.15">
      <c r="B44" s="988"/>
      <c r="C44" s="92" t="s">
        <v>763</v>
      </c>
      <c r="D44" s="92">
        <f>+農薬算出基礎!D13*10/農薬算出基礎!C13*1000/農薬算出基礎!E13</f>
        <v>4</v>
      </c>
      <c r="E44" s="103" t="s">
        <v>138</v>
      </c>
      <c r="F44" s="92">
        <f>+農薬算出基礎!F13</f>
        <v>2380</v>
      </c>
      <c r="G44" s="201">
        <f t="shared" ref="G44:G48" si="19">D44*F44</f>
        <v>9520</v>
      </c>
      <c r="H44" s="213"/>
      <c r="I44" s="1105"/>
      <c r="J44" s="210"/>
      <c r="K44" s="1103"/>
      <c r="L44" s="1103"/>
      <c r="M44" s="316"/>
      <c r="N44" s="331"/>
      <c r="O44" s="225"/>
      <c r="P44" s="1097"/>
      <c r="Q44" s="323"/>
      <c r="R44" s="352"/>
      <c r="S44" s="324"/>
      <c r="T44" s="353"/>
      <c r="U44" s="324"/>
      <c r="V44" s="331"/>
    </row>
    <row r="45" spans="2:22" ht="15" customHeight="1" x14ac:dyDescent="0.15">
      <c r="B45" s="988"/>
      <c r="C45" s="92" t="s">
        <v>764</v>
      </c>
      <c r="D45" s="92">
        <f>+農薬算出基礎!D14*10/農薬算出基礎!C14*1000/農薬算出基礎!E14+農薬算出基礎!D18*10/農薬算出基礎!C18*1000/農薬算出基礎!E18</f>
        <v>4.5</v>
      </c>
      <c r="E45" s="103" t="s">
        <v>138</v>
      </c>
      <c r="F45" s="92">
        <f>+農薬算出基礎!F14+農薬算出基礎!F17</f>
        <v>11640</v>
      </c>
      <c r="G45" s="201">
        <f t="shared" si="19"/>
        <v>52380</v>
      </c>
      <c r="H45" s="213"/>
      <c r="I45" s="1105"/>
      <c r="J45" s="210"/>
      <c r="K45" s="1103"/>
      <c r="L45" s="1103"/>
      <c r="M45" s="316"/>
      <c r="N45" s="331"/>
      <c r="O45" s="225"/>
      <c r="P45" s="1097"/>
      <c r="Q45" s="323" t="s">
        <v>247</v>
      </c>
      <c r="R45" s="352"/>
      <c r="S45" s="324"/>
      <c r="T45" s="353"/>
      <c r="U45" s="324"/>
      <c r="V45" s="331"/>
    </row>
    <row r="46" spans="2:22" ht="15" customHeight="1" thickBot="1" x14ac:dyDescent="0.2">
      <c r="B46" s="988"/>
      <c r="C46" s="92" t="s">
        <v>765</v>
      </c>
      <c r="D46" s="377">
        <f>+農薬算出基礎!D15*10/農薬算出基礎!C15*1000/農薬算出基礎!E15</f>
        <v>3</v>
      </c>
      <c r="E46" s="103" t="s">
        <v>138</v>
      </c>
      <c r="F46" s="377">
        <f>+農薬算出基礎!F15</f>
        <v>3180</v>
      </c>
      <c r="G46" s="201">
        <f t="shared" si="19"/>
        <v>9540</v>
      </c>
      <c r="H46" s="213"/>
      <c r="I46" s="1106"/>
      <c r="J46" s="319" t="s">
        <v>141</v>
      </c>
      <c r="K46" s="1107"/>
      <c r="L46" s="1108"/>
      <c r="M46" s="320"/>
      <c r="N46" s="327">
        <f>SUM(N39:N45)</f>
        <v>9072</v>
      </c>
      <c r="O46" s="225"/>
      <c r="P46" s="1097"/>
      <c r="Q46" s="323"/>
      <c r="R46" s="352"/>
      <c r="S46" s="324"/>
      <c r="T46" s="353"/>
      <c r="U46" s="324"/>
      <c r="V46" s="331"/>
    </row>
    <row r="47" spans="2:22" ht="15" customHeight="1" thickTop="1" x14ac:dyDescent="0.15">
      <c r="B47" s="988"/>
      <c r="C47" s="377" t="s">
        <v>766</v>
      </c>
      <c r="D47" s="377">
        <f>+農薬算出基礎!D16*10/農薬算出基礎!C16*1000/農薬算出基礎!E16</f>
        <v>4</v>
      </c>
      <c r="E47" s="103" t="s">
        <v>138</v>
      </c>
      <c r="F47" s="377">
        <f>+農薬算出基礎!F16</f>
        <v>4900</v>
      </c>
      <c r="G47" s="201">
        <f t="shared" si="19"/>
        <v>19600</v>
      </c>
      <c r="H47" s="213"/>
      <c r="I47" s="1121" t="s">
        <v>235</v>
      </c>
      <c r="J47" s="321" t="s">
        <v>735</v>
      </c>
      <c r="K47" s="1111">
        <v>8200</v>
      </c>
      <c r="L47" s="1111"/>
      <c r="M47" s="659">
        <v>3</v>
      </c>
      <c r="N47" s="331">
        <f t="shared" ref="N47" si="20">+K47/M47</f>
        <v>2733.3333333333335</v>
      </c>
      <c r="O47" s="225"/>
      <c r="P47" s="1097"/>
      <c r="Q47" s="323"/>
      <c r="R47" s="352"/>
      <c r="S47" s="324"/>
      <c r="T47" s="353"/>
      <c r="U47" s="324"/>
      <c r="V47" s="331"/>
    </row>
    <row r="48" spans="2:22" ht="15" customHeight="1" thickBot="1" x14ac:dyDescent="0.2">
      <c r="B48" s="988"/>
      <c r="C48" s="377" t="s">
        <v>767</v>
      </c>
      <c r="D48" s="92">
        <f>+農薬算出基礎!D17*10/農薬算出基礎!C17*1000/農薬算出基礎!E17</f>
        <v>4</v>
      </c>
      <c r="E48" s="103" t="s">
        <v>138</v>
      </c>
      <c r="F48" s="92">
        <f>+農薬算出基礎!F17</f>
        <v>3300</v>
      </c>
      <c r="G48" s="201">
        <f t="shared" si="19"/>
        <v>13200</v>
      </c>
      <c r="H48" s="213"/>
      <c r="I48" s="1122"/>
      <c r="J48" s="323"/>
      <c r="K48" s="1103"/>
      <c r="L48" s="1103"/>
      <c r="M48" s="316"/>
      <c r="N48" s="331"/>
      <c r="O48" s="225"/>
      <c r="P48" s="1100"/>
      <c r="Q48" s="332" t="s">
        <v>246</v>
      </c>
      <c r="R48" s="333"/>
      <c r="S48" s="333"/>
      <c r="T48" s="333"/>
      <c r="U48" s="333"/>
      <c r="V48" s="334">
        <f>SUM(V42:V47)</f>
        <v>64150</v>
      </c>
    </row>
    <row r="49" spans="2:22" ht="15" customHeight="1" thickTop="1" x14ac:dyDescent="0.15">
      <c r="B49" s="988"/>
      <c r="C49" s="92"/>
      <c r="D49" s="92"/>
      <c r="E49" s="103"/>
      <c r="F49" s="92"/>
      <c r="G49" s="201">
        <f t="shared" ref="G49:G50" si="21">D49*F49</f>
        <v>0</v>
      </c>
      <c r="H49" s="213"/>
      <c r="I49" s="1122"/>
      <c r="J49" s="210"/>
      <c r="K49" s="1103"/>
      <c r="L49" s="1103"/>
      <c r="M49" s="316"/>
      <c r="N49" s="331"/>
      <c r="O49" s="225"/>
      <c r="P49" s="1096" t="s">
        <v>252</v>
      </c>
      <c r="Q49" s="1093" t="s">
        <v>261</v>
      </c>
      <c r="R49" s="354"/>
      <c r="S49" s="321"/>
      <c r="T49" s="355"/>
      <c r="U49" s="321"/>
      <c r="V49" s="349"/>
    </row>
    <row r="50" spans="2:22" ht="15" customHeight="1" thickBot="1" x14ac:dyDescent="0.2">
      <c r="B50" s="988"/>
      <c r="C50" s="92"/>
      <c r="D50" s="92"/>
      <c r="E50" s="92"/>
      <c r="F50" s="92"/>
      <c r="G50" s="201">
        <f t="shared" si="21"/>
        <v>0</v>
      </c>
      <c r="H50" s="213"/>
      <c r="I50" s="1131"/>
      <c r="J50" s="319" t="s">
        <v>141</v>
      </c>
      <c r="K50" s="1107"/>
      <c r="L50" s="1108"/>
      <c r="M50" s="320"/>
      <c r="N50" s="327">
        <f>SUM(N47:N49)</f>
        <v>2733.3333333333335</v>
      </c>
      <c r="O50" s="225"/>
      <c r="P50" s="1097"/>
      <c r="Q50" s="1094"/>
      <c r="R50" s="356"/>
      <c r="S50" s="323"/>
      <c r="T50" s="353"/>
      <c r="U50" s="323"/>
      <c r="V50" s="331"/>
    </row>
    <row r="51" spans="2:22" ht="15" customHeight="1" thickTop="1" x14ac:dyDescent="0.15">
      <c r="B51" s="988"/>
      <c r="C51" s="92"/>
      <c r="D51" s="92"/>
      <c r="E51" s="92"/>
      <c r="F51" s="92"/>
      <c r="G51" s="201">
        <f t="shared" ref="G51:G56" si="22">D51*F51</f>
        <v>0</v>
      </c>
      <c r="H51" s="213"/>
      <c r="I51" s="1121" t="s">
        <v>236</v>
      </c>
      <c r="J51" s="321"/>
      <c r="K51" s="1111"/>
      <c r="L51" s="1111"/>
      <c r="M51" s="322"/>
      <c r="N51" s="349"/>
      <c r="O51" s="225"/>
      <c r="P51" s="1097"/>
      <c r="Q51" s="1094"/>
      <c r="R51" s="356"/>
      <c r="S51" s="323"/>
      <c r="T51" s="323"/>
      <c r="U51" s="210"/>
      <c r="V51" s="357"/>
    </row>
    <row r="52" spans="2:22" ht="15" customHeight="1" x14ac:dyDescent="0.15">
      <c r="B52" s="988"/>
      <c r="C52" s="92"/>
      <c r="D52" s="92"/>
      <c r="E52" s="92"/>
      <c r="F52" s="92"/>
      <c r="G52" s="201">
        <f t="shared" si="22"/>
        <v>0</v>
      </c>
      <c r="H52" s="213"/>
      <c r="I52" s="1122"/>
      <c r="J52" s="323"/>
      <c r="K52" s="1103"/>
      <c r="L52" s="1103"/>
      <c r="M52" s="316"/>
      <c r="N52" s="331"/>
      <c r="O52" s="225"/>
      <c r="P52" s="1097"/>
      <c r="Q52" s="1094"/>
      <c r="R52" s="356" t="s">
        <v>251</v>
      </c>
      <c r="S52" s="323">
        <v>15600</v>
      </c>
      <c r="T52" s="353">
        <v>1</v>
      </c>
      <c r="U52" s="609">
        <v>3</v>
      </c>
      <c r="V52" s="331">
        <f>+S52*T52/U52</f>
        <v>5200</v>
      </c>
    </row>
    <row r="53" spans="2:22" ht="15" customHeight="1" thickBot="1" x14ac:dyDescent="0.2">
      <c r="B53" s="1085"/>
      <c r="C53" s="204" t="s">
        <v>141</v>
      </c>
      <c r="D53" s="205"/>
      <c r="E53" s="205"/>
      <c r="F53" s="205"/>
      <c r="G53" s="206">
        <f>SUM(G43:G52)</f>
        <v>132684.44444444444</v>
      </c>
      <c r="H53" s="213"/>
      <c r="I53" s="1122"/>
      <c r="J53" s="210"/>
      <c r="K53" s="1103"/>
      <c r="L53" s="1103"/>
      <c r="M53" s="316"/>
      <c r="N53" s="331"/>
      <c r="O53" s="225"/>
      <c r="P53" s="1097"/>
      <c r="Q53" s="1095"/>
      <c r="R53" s="356"/>
      <c r="S53" s="323"/>
      <c r="T53" s="323"/>
      <c r="U53" s="210"/>
      <c r="V53" s="357"/>
    </row>
    <row r="54" spans="2:22" ht="15" customHeight="1" thickTop="1" thickBot="1" x14ac:dyDescent="0.2">
      <c r="B54" s="1084" t="s">
        <v>31</v>
      </c>
      <c r="C54" s="92" t="s">
        <v>770</v>
      </c>
      <c r="D54" s="92">
        <f>+農薬算出基礎!D20*10*2/農薬算出基礎!C20*1000/農薬算出基礎!E20</f>
        <v>0.90909090909090906</v>
      </c>
      <c r="E54" s="103" t="s">
        <v>138</v>
      </c>
      <c r="F54" s="92">
        <f>+農薬算出基礎!F20</f>
        <v>45740</v>
      </c>
      <c r="G54" s="201">
        <f t="shared" ref="G54" si="23">D54*F54</f>
        <v>41581.818181818184</v>
      </c>
      <c r="H54" s="213"/>
      <c r="I54" s="1131"/>
      <c r="J54" s="319" t="s">
        <v>141</v>
      </c>
      <c r="K54" s="1107"/>
      <c r="L54" s="1108"/>
      <c r="M54" s="320"/>
      <c r="N54" s="327">
        <f>SUM(N51:N53)</f>
        <v>0</v>
      </c>
      <c r="O54" s="225"/>
      <c r="P54" s="1097"/>
      <c r="Q54" s="332" t="s">
        <v>246</v>
      </c>
      <c r="R54" s="333"/>
      <c r="S54" s="333"/>
      <c r="T54" s="333"/>
      <c r="U54" s="333"/>
      <c r="V54" s="334">
        <f>SUM(V49:V53)</f>
        <v>5200</v>
      </c>
    </row>
    <row r="55" spans="2:22" ht="15" customHeight="1" thickTop="1" x14ac:dyDescent="0.15">
      <c r="B55" s="988"/>
      <c r="C55" s="92"/>
      <c r="D55" s="92"/>
      <c r="E55" s="92"/>
      <c r="F55" s="92"/>
      <c r="G55" s="201">
        <f t="shared" si="22"/>
        <v>0</v>
      </c>
      <c r="H55" s="213"/>
      <c r="I55" s="1121" t="s">
        <v>237</v>
      </c>
      <c r="J55" s="321"/>
      <c r="K55" s="1123"/>
      <c r="L55" s="1124"/>
      <c r="M55" s="335">
        <v>0</v>
      </c>
      <c r="N55" s="350"/>
      <c r="O55" s="225"/>
      <c r="P55" s="1097"/>
      <c r="Q55" s="1093" t="s">
        <v>262</v>
      </c>
      <c r="R55" s="354"/>
      <c r="S55" s="321"/>
      <c r="T55" s="355"/>
      <c r="U55" s="321"/>
      <c r="V55" s="349"/>
    </row>
    <row r="56" spans="2:22" ht="15" customHeight="1" x14ac:dyDescent="0.15">
      <c r="B56" s="988"/>
      <c r="C56" s="92"/>
      <c r="D56" s="92"/>
      <c r="E56" s="92"/>
      <c r="F56" s="92"/>
      <c r="G56" s="201">
        <f t="shared" si="22"/>
        <v>0</v>
      </c>
      <c r="H56" s="213"/>
      <c r="I56" s="1122"/>
      <c r="J56" s="323" t="s">
        <v>736</v>
      </c>
      <c r="K56" s="1125">
        <v>1600</v>
      </c>
      <c r="L56" s="1126"/>
      <c r="M56" s="336">
        <v>3</v>
      </c>
      <c r="N56" s="331">
        <f t="shared" ref="N56:N58" si="24">+K56/M56</f>
        <v>533.33333333333337</v>
      </c>
      <c r="O56" s="225"/>
      <c r="P56" s="1097"/>
      <c r="Q56" s="1094"/>
      <c r="R56" s="356"/>
      <c r="S56" s="323"/>
      <c r="T56" s="353"/>
      <c r="U56" s="323"/>
      <c r="V56" s="331"/>
    </row>
    <row r="57" spans="2:22" ht="14.25" thickBot="1" x14ac:dyDescent="0.2">
      <c r="B57" s="1085"/>
      <c r="C57" s="204" t="s">
        <v>141</v>
      </c>
      <c r="D57" s="205"/>
      <c r="E57" s="205"/>
      <c r="F57" s="205"/>
      <c r="G57" s="206">
        <f>SUM(G54:G56)</f>
        <v>41581.818181818184</v>
      </c>
      <c r="I57" s="1122"/>
      <c r="J57" s="323"/>
      <c r="K57" s="1125"/>
      <c r="L57" s="1126"/>
      <c r="M57" s="336"/>
      <c r="N57" s="331"/>
      <c r="O57" s="225"/>
      <c r="P57" s="1097"/>
      <c r="Q57" s="1094"/>
      <c r="R57" s="356"/>
      <c r="S57" s="323"/>
      <c r="T57" s="323"/>
      <c r="U57" s="210"/>
      <c r="V57" s="357"/>
    </row>
    <row r="58" spans="2:22" ht="14.25" thickTop="1" x14ac:dyDescent="0.15">
      <c r="B58" s="1084" t="s">
        <v>175</v>
      </c>
      <c r="C58" s="92" t="s">
        <v>771</v>
      </c>
      <c r="D58" s="92">
        <f>+農薬算出基礎!G24*10/農薬算出基礎!E24</f>
        <v>10</v>
      </c>
      <c r="E58" s="103" t="s">
        <v>341</v>
      </c>
      <c r="F58" s="92">
        <f>+農薬算出基礎!F24</f>
        <v>840</v>
      </c>
      <c r="G58" s="201">
        <f>D58*F58</f>
        <v>8400</v>
      </c>
      <c r="I58" s="1122"/>
      <c r="J58" s="316" t="s">
        <v>735</v>
      </c>
      <c r="K58" s="1127">
        <v>10000</v>
      </c>
      <c r="L58" s="1128"/>
      <c r="M58" s="336">
        <v>3</v>
      </c>
      <c r="N58" s="331">
        <f t="shared" si="24"/>
        <v>3333.3333333333335</v>
      </c>
      <c r="O58" s="225"/>
      <c r="P58" s="1097"/>
      <c r="Q58" s="1094"/>
      <c r="R58" s="356" t="s">
        <v>251</v>
      </c>
      <c r="S58" s="323">
        <v>25000</v>
      </c>
      <c r="T58" s="353">
        <v>1</v>
      </c>
      <c r="U58" s="609">
        <v>3</v>
      </c>
      <c r="V58" s="331">
        <f>+S58*T58/U58</f>
        <v>8333.3333333333339</v>
      </c>
    </row>
    <row r="59" spans="2:22" x14ac:dyDescent="0.15">
      <c r="B59" s="988"/>
      <c r="C59" s="92" t="s">
        <v>771</v>
      </c>
      <c r="D59" s="92">
        <f>+農薬算出基礎!G25*10/農薬算出基礎!E25</f>
        <v>10</v>
      </c>
      <c r="E59" s="103" t="s">
        <v>143</v>
      </c>
      <c r="F59" s="92">
        <f>+農薬算出基礎!F25</f>
        <v>1680</v>
      </c>
      <c r="G59" s="201">
        <f>D59*F59</f>
        <v>16800</v>
      </c>
      <c r="I59" s="1122"/>
      <c r="J59" s="323"/>
      <c r="K59" s="1125"/>
      <c r="L59" s="1126"/>
      <c r="M59" s="336"/>
      <c r="N59" s="351"/>
      <c r="O59" s="225"/>
      <c r="P59" s="1097"/>
      <c r="Q59" s="1095"/>
      <c r="R59" s="356"/>
      <c r="S59" s="323"/>
      <c r="T59" s="323"/>
      <c r="U59" s="210"/>
      <c r="V59" s="357"/>
    </row>
    <row r="60" spans="2:22" x14ac:dyDescent="0.15">
      <c r="B60" s="988"/>
      <c r="C60" s="92" t="s">
        <v>771</v>
      </c>
      <c r="D60" s="92">
        <f>+農薬算出基礎!D26*10/農薬算出基礎!C26*1000/農薬算出基礎!E26</f>
        <v>18.75</v>
      </c>
      <c r="E60" s="103" t="s">
        <v>143</v>
      </c>
      <c r="F60" s="92">
        <f>+農薬算出基礎!F26</f>
        <v>5540</v>
      </c>
      <c r="G60" s="201">
        <f>D60*F60</f>
        <v>103875</v>
      </c>
      <c r="I60" s="1104"/>
      <c r="J60" s="325" t="s">
        <v>141</v>
      </c>
      <c r="K60" s="1129"/>
      <c r="L60" s="1130"/>
      <c r="M60" s="326"/>
      <c r="N60" s="328">
        <f>SUM(N55:N59)</f>
        <v>3866.666666666667</v>
      </c>
      <c r="O60" s="225"/>
      <c r="P60" s="1098"/>
      <c r="Q60" s="360" t="s">
        <v>246</v>
      </c>
      <c r="R60" s="361"/>
      <c r="S60" s="361"/>
      <c r="T60" s="361"/>
      <c r="U60" s="361"/>
      <c r="V60" s="362">
        <f>SUM(V55:V59)</f>
        <v>8333.3333333333339</v>
      </c>
    </row>
    <row r="61" spans="2:22" ht="14.25" thickBot="1" x14ac:dyDescent="0.2">
      <c r="B61" s="1090"/>
      <c r="C61" s="207" t="s">
        <v>144</v>
      </c>
      <c r="D61" s="208"/>
      <c r="E61" s="208"/>
      <c r="F61" s="208"/>
      <c r="G61" s="209">
        <f>SUM(G58:G60)</f>
        <v>129075</v>
      </c>
      <c r="I61" s="1101" t="s">
        <v>238</v>
      </c>
      <c r="J61" s="1102"/>
      <c r="K61" s="1109"/>
      <c r="L61" s="1110"/>
      <c r="M61" s="232"/>
      <c r="N61" s="329">
        <f>SUM(N46,N50,N54,N60)</f>
        <v>15672</v>
      </c>
      <c r="O61" s="225"/>
      <c r="P61" s="1091" t="s">
        <v>238</v>
      </c>
      <c r="Q61" s="1092"/>
      <c r="R61" s="358"/>
      <c r="S61" s="358"/>
      <c r="T61" s="358"/>
      <c r="U61" s="358"/>
      <c r="V61" s="359">
        <f>SUM(V48,V54,V60)</f>
        <v>77683.333333333328</v>
      </c>
    </row>
    <row r="62" spans="2:22" x14ac:dyDescent="0.15">
      <c r="O62" s="225"/>
      <c r="V62" s="93"/>
    </row>
    <row r="63" spans="2:22" x14ac:dyDescent="0.15">
      <c r="B63" s="93" t="s">
        <v>340</v>
      </c>
      <c r="I63" s="225"/>
      <c r="J63" s="225"/>
      <c r="K63" s="225"/>
      <c r="L63" s="225"/>
      <c r="M63" s="225"/>
      <c r="N63" s="225"/>
      <c r="O63" s="225"/>
    </row>
    <row r="64" spans="2:22" x14ac:dyDescent="0.15">
      <c r="B64" s="93" t="s">
        <v>485</v>
      </c>
      <c r="I64" s="225"/>
      <c r="J64" s="225"/>
      <c r="K64" s="225"/>
      <c r="L64" s="225"/>
      <c r="M64" s="225"/>
      <c r="N64" s="225"/>
      <c r="O64" s="225"/>
    </row>
    <row r="65" spans="2:15" x14ac:dyDescent="0.15">
      <c r="B65" s="93" t="s">
        <v>445</v>
      </c>
      <c r="I65" s="225"/>
      <c r="J65" s="225"/>
      <c r="K65" s="225"/>
      <c r="L65" s="225"/>
      <c r="M65" s="225"/>
      <c r="N65" s="225"/>
      <c r="O65" s="225"/>
    </row>
    <row r="66" spans="2:15" x14ac:dyDescent="0.15">
      <c r="I66" s="225"/>
      <c r="J66" s="225"/>
      <c r="K66" s="225"/>
      <c r="L66" s="225"/>
      <c r="M66" s="225"/>
      <c r="N66" s="225"/>
      <c r="O66" s="225"/>
    </row>
    <row r="67" spans="2:15" x14ac:dyDescent="0.15">
      <c r="I67" s="225"/>
      <c r="J67" s="225"/>
      <c r="K67" s="225"/>
      <c r="L67" s="225"/>
      <c r="M67" s="225"/>
      <c r="N67" s="225"/>
      <c r="O67" s="225"/>
    </row>
    <row r="68" spans="2:15" x14ac:dyDescent="0.15">
      <c r="I68" s="225"/>
      <c r="J68" s="225"/>
      <c r="K68" s="225"/>
      <c r="L68" s="225"/>
      <c r="M68" s="225"/>
      <c r="N68" s="225"/>
      <c r="O68" s="225"/>
    </row>
    <row r="69" spans="2:15" x14ac:dyDescent="0.15">
      <c r="I69" s="225"/>
      <c r="J69" s="225"/>
      <c r="K69" s="225"/>
      <c r="L69" s="225"/>
      <c r="M69" s="225"/>
      <c r="N69" s="225"/>
      <c r="O69" s="225"/>
    </row>
    <row r="70" spans="2:15" x14ac:dyDescent="0.15">
      <c r="I70" s="225"/>
      <c r="J70" s="225"/>
      <c r="K70" s="225"/>
      <c r="L70" s="225"/>
      <c r="M70" s="225"/>
      <c r="N70" s="225"/>
      <c r="O70" s="225"/>
    </row>
    <row r="71" spans="2:15" x14ac:dyDescent="0.15">
      <c r="I71" s="225"/>
      <c r="J71" s="225"/>
      <c r="K71" s="225"/>
      <c r="L71" s="225"/>
      <c r="M71" s="225"/>
      <c r="N71" s="225"/>
      <c r="O71" s="225"/>
    </row>
    <row r="72" spans="2:15" x14ac:dyDescent="0.15">
      <c r="I72" s="225"/>
      <c r="J72" s="225"/>
      <c r="K72" s="225"/>
      <c r="L72" s="225"/>
      <c r="M72" s="225"/>
      <c r="N72" s="225"/>
      <c r="O72" s="225"/>
    </row>
    <row r="73" spans="2:15" x14ac:dyDescent="0.15">
      <c r="I73" s="225"/>
      <c r="J73" s="225"/>
      <c r="K73" s="225"/>
      <c r="L73" s="225"/>
      <c r="M73" s="225"/>
      <c r="N73" s="225"/>
      <c r="O73" s="225"/>
    </row>
    <row r="74" spans="2:15" x14ac:dyDescent="0.15">
      <c r="I74" s="225"/>
      <c r="J74" s="225"/>
      <c r="K74" s="225"/>
      <c r="L74" s="225"/>
      <c r="M74" s="225"/>
      <c r="N74" s="225"/>
      <c r="O74" s="225"/>
    </row>
    <row r="75" spans="2:15" x14ac:dyDescent="0.15">
      <c r="I75" s="225"/>
      <c r="J75" s="225"/>
      <c r="K75" s="225"/>
      <c r="L75" s="225"/>
      <c r="M75" s="225"/>
      <c r="N75" s="225"/>
      <c r="O75" s="225"/>
    </row>
    <row r="76" spans="2:15" x14ac:dyDescent="0.15">
      <c r="I76" s="225"/>
      <c r="J76" s="225"/>
      <c r="K76" s="225"/>
      <c r="L76" s="225"/>
      <c r="M76" s="225"/>
      <c r="N76" s="225"/>
      <c r="O76" s="225"/>
    </row>
    <row r="77" spans="2:15" x14ac:dyDescent="0.15">
      <c r="I77" s="225"/>
      <c r="J77" s="225"/>
      <c r="K77" s="225"/>
      <c r="L77" s="225"/>
      <c r="M77" s="225"/>
      <c r="N77" s="225"/>
      <c r="O77" s="225"/>
    </row>
    <row r="78" spans="2:15" x14ac:dyDescent="0.15">
      <c r="I78" s="225"/>
      <c r="J78" s="225"/>
      <c r="K78" s="225"/>
      <c r="L78" s="225"/>
      <c r="M78" s="225"/>
      <c r="N78" s="225"/>
      <c r="O78" s="225"/>
    </row>
    <row r="79" spans="2:15" x14ac:dyDescent="0.15">
      <c r="I79" s="225"/>
      <c r="J79" s="225"/>
      <c r="K79" s="225"/>
      <c r="L79" s="225"/>
      <c r="M79" s="225"/>
      <c r="N79" s="225"/>
      <c r="O79" s="225"/>
    </row>
    <row r="80" spans="2:15" x14ac:dyDescent="0.15">
      <c r="I80" s="225"/>
      <c r="J80" s="225"/>
      <c r="K80" s="225"/>
      <c r="L80" s="225"/>
      <c r="M80" s="225"/>
      <c r="N80" s="225"/>
      <c r="O80" s="225"/>
    </row>
    <row r="81" spans="2:15" x14ac:dyDescent="0.15">
      <c r="I81" s="225"/>
      <c r="J81" s="225"/>
      <c r="K81" s="225"/>
      <c r="L81" s="225"/>
      <c r="M81" s="225"/>
      <c r="N81" s="225"/>
      <c r="O81" s="225"/>
    </row>
    <row r="82" spans="2:15" x14ac:dyDescent="0.15">
      <c r="I82" s="225"/>
      <c r="J82" s="225"/>
      <c r="K82" s="225"/>
      <c r="L82" s="225"/>
      <c r="M82" s="225"/>
      <c r="N82" s="225"/>
      <c r="O82" s="225"/>
    </row>
    <row r="83" spans="2:15" x14ac:dyDescent="0.15">
      <c r="I83" s="225"/>
      <c r="J83" s="225"/>
      <c r="K83" s="225"/>
      <c r="L83" s="225"/>
      <c r="M83" s="225"/>
      <c r="N83" s="225"/>
      <c r="O83" s="225"/>
    </row>
    <row r="84" spans="2:15" x14ac:dyDescent="0.15">
      <c r="I84" s="225"/>
      <c r="J84" s="225"/>
      <c r="K84" s="225"/>
      <c r="L84" s="225"/>
      <c r="M84" s="225"/>
      <c r="N84" s="225"/>
      <c r="O84" s="225"/>
    </row>
    <row r="85" spans="2:15" x14ac:dyDescent="0.15">
      <c r="I85" s="225"/>
      <c r="J85" s="225"/>
      <c r="K85" s="225"/>
      <c r="L85" s="225"/>
      <c r="M85" s="225"/>
      <c r="N85" s="225"/>
      <c r="O85" s="225"/>
    </row>
    <row r="86" spans="2:15" x14ac:dyDescent="0.15">
      <c r="I86" s="225"/>
      <c r="J86" s="225"/>
      <c r="K86" s="225"/>
      <c r="L86" s="225"/>
      <c r="M86" s="225"/>
      <c r="N86" s="225"/>
      <c r="O86" s="225"/>
    </row>
    <row r="87" spans="2:15" x14ac:dyDescent="0.15">
      <c r="B87" s="212"/>
      <c r="C87" s="213"/>
      <c r="D87" s="213"/>
      <c r="E87" s="213"/>
      <c r="F87" s="213"/>
      <c r="I87" s="225"/>
      <c r="J87" s="225"/>
      <c r="K87" s="225"/>
      <c r="L87" s="225"/>
      <c r="M87" s="225"/>
      <c r="N87" s="225"/>
      <c r="O87" s="225"/>
    </row>
    <row r="88" spans="2:15" x14ac:dyDescent="0.15">
      <c r="B88" s="212"/>
      <c r="C88" s="213"/>
      <c r="D88" s="213"/>
      <c r="E88" s="213"/>
      <c r="F88" s="213"/>
      <c r="I88" s="225"/>
      <c r="J88" s="225"/>
      <c r="K88" s="225"/>
      <c r="L88" s="225"/>
      <c r="M88" s="225"/>
      <c r="N88" s="225"/>
      <c r="O88" s="225"/>
    </row>
    <row r="89" spans="2:15" x14ac:dyDescent="0.15">
      <c r="I89" s="225"/>
      <c r="J89" s="225"/>
      <c r="K89" s="225"/>
      <c r="L89" s="225"/>
      <c r="M89" s="225"/>
      <c r="N89" s="225"/>
      <c r="O89" s="225"/>
    </row>
    <row r="90" spans="2:15" x14ac:dyDescent="0.15">
      <c r="I90" s="225"/>
      <c r="J90" s="225"/>
      <c r="K90" s="225"/>
      <c r="L90" s="225"/>
      <c r="M90" s="225"/>
      <c r="N90" s="225"/>
      <c r="O90" s="225"/>
    </row>
    <row r="91" spans="2:15" x14ac:dyDescent="0.15">
      <c r="I91" s="225"/>
      <c r="J91" s="225"/>
      <c r="K91" s="225"/>
      <c r="L91" s="225"/>
      <c r="M91" s="225"/>
      <c r="N91" s="225"/>
      <c r="O91" s="225"/>
    </row>
    <row r="92" spans="2:15" x14ac:dyDescent="0.15">
      <c r="I92" s="225"/>
      <c r="J92" s="225"/>
      <c r="K92" s="225"/>
      <c r="L92" s="225"/>
      <c r="M92" s="225"/>
      <c r="N92" s="225"/>
      <c r="O92" s="225"/>
    </row>
    <row r="93" spans="2:15" x14ac:dyDescent="0.15">
      <c r="I93" s="225"/>
      <c r="J93" s="225"/>
      <c r="K93" s="225"/>
      <c r="L93" s="225"/>
      <c r="M93" s="225"/>
      <c r="N93" s="225"/>
      <c r="O93" s="225"/>
    </row>
    <row r="94" spans="2:15" x14ac:dyDescent="0.15">
      <c r="I94" s="225"/>
      <c r="J94" s="225"/>
      <c r="K94" s="225"/>
      <c r="L94" s="225"/>
      <c r="M94" s="225"/>
      <c r="N94" s="225"/>
      <c r="O94" s="225"/>
    </row>
    <row r="95" spans="2:15" x14ac:dyDescent="0.15">
      <c r="I95" s="225"/>
      <c r="J95" s="225"/>
      <c r="K95" s="225"/>
      <c r="L95" s="225"/>
      <c r="M95" s="225"/>
      <c r="N95" s="225"/>
      <c r="O95" s="225"/>
    </row>
    <row r="96" spans="2:15" x14ac:dyDescent="0.15">
      <c r="I96" s="225"/>
      <c r="J96" s="225"/>
      <c r="K96" s="225"/>
      <c r="L96" s="225"/>
      <c r="M96" s="225"/>
      <c r="N96" s="225"/>
      <c r="O96" s="225"/>
    </row>
    <row r="97" spans="9:15" x14ac:dyDescent="0.15">
      <c r="I97" s="225"/>
      <c r="J97" s="225"/>
      <c r="K97" s="225"/>
      <c r="L97" s="225"/>
      <c r="M97" s="225"/>
      <c r="N97" s="225"/>
      <c r="O97" s="225"/>
    </row>
    <row r="98" spans="9:15" x14ac:dyDescent="0.15">
      <c r="I98" s="225"/>
      <c r="J98" s="225"/>
      <c r="K98" s="225"/>
      <c r="L98" s="225"/>
      <c r="M98" s="225"/>
      <c r="N98" s="225"/>
      <c r="O98" s="225"/>
    </row>
    <row r="99" spans="9:15" x14ac:dyDescent="0.15">
      <c r="I99" s="225"/>
      <c r="J99" s="225"/>
      <c r="K99" s="225"/>
      <c r="L99" s="225"/>
      <c r="M99" s="225"/>
      <c r="N99" s="225"/>
      <c r="O99" s="225"/>
    </row>
    <row r="100" spans="9:15" x14ac:dyDescent="0.15">
      <c r="I100" s="225"/>
      <c r="J100" s="225"/>
      <c r="K100" s="225"/>
      <c r="L100" s="225"/>
      <c r="M100" s="225"/>
      <c r="N100" s="225"/>
      <c r="O100" s="225"/>
    </row>
    <row r="101" spans="9:15" x14ac:dyDescent="0.15">
      <c r="I101" s="225"/>
      <c r="J101" s="225"/>
      <c r="K101" s="225"/>
      <c r="L101" s="225"/>
      <c r="M101" s="225"/>
      <c r="N101" s="225"/>
      <c r="O101" s="225"/>
    </row>
    <row r="102" spans="9:15" x14ac:dyDescent="0.15">
      <c r="I102" s="225"/>
      <c r="J102" s="225"/>
      <c r="K102" s="225"/>
      <c r="L102" s="225"/>
      <c r="M102" s="225"/>
      <c r="N102" s="225"/>
      <c r="O102" s="225"/>
    </row>
    <row r="103" spans="9:15" x14ac:dyDescent="0.15">
      <c r="I103" s="225"/>
      <c r="J103" s="225"/>
      <c r="K103" s="225"/>
      <c r="L103" s="225"/>
      <c r="M103" s="225"/>
      <c r="N103" s="225"/>
      <c r="O103" s="225"/>
    </row>
    <row r="104" spans="9:15" x14ac:dyDescent="0.15">
      <c r="I104" s="225"/>
      <c r="J104" s="225"/>
      <c r="K104" s="225"/>
      <c r="L104" s="225"/>
      <c r="M104" s="225"/>
      <c r="N104" s="225"/>
      <c r="O104" s="225"/>
    </row>
    <row r="105" spans="9:15" x14ac:dyDescent="0.15">
      <c r="I105" s="225"/>
      <c r="J105" s="225"/>
      <c r="K105" s="225"/>
      <c r="L105" s="225"/>
      <c r="M105" s="225"/>
      <c r="N105" s="225"/>
      <c r="O105" s="225"/>
    </row>
    <row r="106" spans="9:15" x14ac:dyDescent="0.15">
      <c r="I106" s="225"/>
      <c r="J106" s="225"/>
      <c r="K106" s="225"/>
      <c r="L106" s="225"/>
      <c r="M106" s="225"/>
      <c r="N106" s="225"/>
      <c r="O106" s="225"/>
    </row>
    <row r="107" spans="9:15" x14ac:dyDescent="0.15">
      <c r="I107" s="225"/>
      <c r="J107" s="225"/>
      <c r="K107" s="225"/>
      <c r="L107" s="225"/>
      <c r="M107" s="225"/>
      <c r="N107" s="225"/>
      <c r="O107" s="225"/>
    </row>
    <row r="108" spans="9:15" x14ac:dyDescent="0.15">
      <c r="I108" s="225"/>
      <c r="J108" s="225"/>
      <c r="K108" s="225"/>
      <c r="L108" s="225"/>
      <c r="M108" s="225"/>
      <c r="N108" s="225"/>
      <c r="O108" s="225"/>
    </row>
    <row r="109" spans="9:15" x14ac:dyDescent="0.15">
      <c r="I109" s="225"/>
      <c r="J109" s="225"/>
      <c r="K109" s="225"/>
      <c r="L109" s="225"/>
      <c r="M109" s="225"/>
      <c r="N109" s="225"/>
      <c r="O109" s="225"/>
    </row>
    <row r="110" spans="9:15" x14ac:dyDescent="0.15">
      <c r="I110" s="225"/>
      <c r="J110" s="225"/>
      <c r="K110" s="225"/>
      <c r="L110" s="225"/>
      <c r="M110" s="225"/>
      <c r="N110" s="225"/>
      <c r="O110" s="225"/>
    </row>
    <row r="111" spans="9:15" x14ac:dyDescent="0.15">
      <c r="I111" s="225"/>
      <c r="J111" s="225"/>
      <c r="K111" s="225"/>
      <c r="L111" s="225"/>
      <c r="M111" s="225"/>
      <c r="N111" s="225"/>
      <c r="O111" s="225"/>
    </row>
    <row r="112" spans="9:15" x14ac:dyDescent="0.15">
      <c r="I112" s="225"/>
      <c r="J112" s="225"/>
      <c r="K112" s="225"/>
      <c r="L112" s="225"/>
      <c r="M112" s="225"/>
      <c r="N112" s="225"/>
      <c r="O112" s="225"/>
    </row>
    <row r="113" spans="9:15" x14ac:dyDescent="0.15">
      <c r="I113" s="225"/>
      <c r="J113" s="225"/>
      <c r="K113" s="225"/>
      <c r="L113" s="225"/>
      <c r="M113" s="225"/>
      <c r="N113" s="225"/>
      <c r="O113" s="225"/>
    </row>
    <row r="114" spans="9:15" x14ac:dyDescent="0.15">
      <c r="I114" s="225"/>
      <c r="J114" s="225"/>
      <c r="K114" s="225"/>
      <c r="L114" s="225"/>
      <c r="M114" s="225"/>
      <c r="N114" s="225"/>
      <c r="O114" s="225"/>
    </row>
    <row r="115" spans="9:15" x14ac:dyDescent="0.15">
      <c r="I115" s="225"/>
      <c r="J115" s="225"/>
      <c r="K115" s="225"/>
      <c r="L115" s="225"/>
      <c r="M115" s="225"/>
      <c r="N115" s="225"/>
      <c r="O115" s="225"/>
    </row>
    <row r="116" spans="9:15" x14ac:dyDescent="0.15">
      <c r="I116" s="225"/>
      <c r="J116" s="225"/>
      <c r="K116" s="225"/>
      <c r="L116" s="225"/>
      <c r="M116" s="225"/>
      <c r="N116" s="225"/>
      <c r="O116" s="225"/>
    </row>
    <row r="117" spans="9:15" x14ac:dyDescent="0.15">
      <c r="I117" s="225"/>
      <c r="J117" s="225"/>
      <c r="K117" s="225"/>
      <c r="L117" s="225"/>
      <c r="M117" s="225"/>
      <c r="N117" s="225"/>
      <c r="O117" s="225"/>
    </row>
    <row r="118" spans="9:15" x14ac:dyDescent="0.15">
      <c r="I118" s="225"/>
      <c r="J118" s="225"/>
      <c r="K118" s="225"/>
      <c r="L118" s="225"/>
      <c r="M118" s="225"/>
      <c r="N118" s="225"/>
      <c r="O118" s="225"/>
    </row>
    <row r="119" spans="9:15" x14ac:dyDescent="0.15">
      <c r="I119" s="225"/>
      <c r="J119" s="225"/>
      <c r="K119" s="225"/>
      <c r="L119" s="225"/>
      <c r="M119" s="225"/>
      <c r="N119" s="225"/>
      <c r="O119" s="225"/>
    </row>
    <row r="120" spans="9:15" x14ac:dyDescent="0.15">
      <c r="I120" s="225"/>
      <c r="J120" s="225"/>
      <c r="K120" s="225"/>
      <c r="L120" s="225"/>
      <c r="M120" s="225"/>
      <c r="N120" s="225"/>
      <c r="O120" s="225"/>
    </row>
    <row r="121" spans="9:15" x14ac:dyDescent="0.15">
      <c r="I121" s="225"/>
      <c r="J121" s="225"/>
      <c r="K121" s="225"/>
      <c r="L121" s="225"/>
      <c r="M121" s="225"/>
      <c r="N121" s="225"/>
      <c r="O121" s="225"/>
    </row>
    <row r="122" spans="9:15" x14ac:dyDescent="0.15">
      <c r="I122" s="225"/>
      <c r="J122" s="225"/>
      <c r="K122" s="225"/>
      <c r="L122" s="225"/>
      <c r="M122" s="225"/>
      <c r="N122" s="225"/>
      <c r="O122" s="225"/>
    </row>
    <row r="123" spans="9:15" x14ac:dyDescent="0.15">
      <c r="I123" s="225"/>
      <c r="J123" s="225"/>
      <c r="K123" s="225"/>
      <c r="L123" s="225"/>
      <c r="M123" s="225"/>
      <c r="N123" s="225"/>
      <c r="O123" s="225"/>
    </row>
    <row r="124" spans="9:15" x14ac:dyDescent="0.15">
      <c r="I124" s="225"/>
      <c r="J124" s="225"/>
      <c r="K124" s="225"/>
      <c r="L124" s="225"/>
      <c r="M124" s="225"/>
      <c r="N124" s="225"/>
      <c r="O124" s="225"/>
    </row>
    <row r="125" spans="9:15" x14ac:dyDescent="0.15">
      <c r="I125" s="225"/>
      <c r="J125" s="225"/>
      <c r="K125" s="225"/>
      <c r="L125" s="225"/>
      <c r="M125" s="225"/>
      <c r="N125" s="225"/>
      <c r="O125" s="225"/>
    </row>
    <row r="126" spans="9:15" x14ac:dyDescent="0.15">
      <c r="I126" s="225"/>
      <c r="J126" s="225"/>
      <c r="K126" s="225"/>
      <c r="L126" s="225"/>
      <c r="M126" s="225"/>
      <c r="N126" s="225"/>
      <c r="O126" s="225"/>
    </row>
    <row r="127" spans="9:15" x14ac:dyDescent="0.15">
      <c r="I127" s="225"/>
      <c r="J127" s="225"/>
      <c r="K127" s="225"/>
      <c r="L127" s="225"/>
      <c r="M127" s="225"/>
      <c r="N127" s="225"/>
      <c r="O127" s="225"/>
    </row>
    <row r="128" spans="9:15" x14ac:dyDescent="0.15">
      <c r="I128" s="225"/>
      <c r="J128" s="225"/>
      <c r="K128" s="225"/>
      <c r="L128" s="225"/>
      <c r="M128" s="225"/>
      <c r="N128" s="225"/>
      <c r="O128" s="225"/>
    </row>
    <row r="129" spans="9:15" x14ac:dyDescent="0.15">
      <c r="I129" s="225"/>
      <c r="J129" s="225"/>
      <c r="K129" s="225"/>
      <c r="L129" s="225"/>
      <c r="M129" s="225"/>
      <c r="N129" s="225"/>
      <c r="O129" s="225"/>
    </row>
    <row r="130" spans="9:15" x14ac:dyDescent="0.15">
      <c r="I130" s="225"/>
      <c r="J130" s="225"/>
      <c r="K130" s="225"/>
      <c r="L130" s="225"/>
      <c r="M130" s="225"/>
      <c r="N130" s="225"/>
      <c r="O130" s="225"/>
    </row>
    <row r="131" spans="9:15" x14ac:dyDescent="0.15">
      <c r="I131" s="225"/>
      <c r="J131" s="225"/>
      <c r="K131" s="225"/>
      <c r="L131" s="225"/>
      <c r="M131" s="225"/>
      <c r="N131" s="225"/>
      <c r="O131" s="225"/>
    </row>
    <row r="132" spans="9:15" x14ac:dyDescent="0.15">
      <c r="I132" s="225"/>
      <c r="J132" s="225"/>
      <c r="K132" s="225"/>
      <c r="L132" s="225"/>
      <c r="M132" s="225"/>
      <c r="N132" s="225"/>
      <c r="O132" s="225"/>
    </row>
    <row r="133" spans="9:15" x14ac:dyDescent="0.15">
      <c r="I133" s="225"/>
      <c r="J133" s="225"/>
      <c r="K133" s="225"/>
      <c r="L133" s="225"/>
      <c r="M133" s="225"/>
      <c r="N133" s="225"/>
      <c r="O133" s="225"/>
    </row>
    <row r="134" spans="9:15" x14ac:dyDescent="0.15">
      <c r="I134" s="225"/>
      <c r="J134" s="225"/>
      <c r="K134" s="225"/>
      <c r="L134" s="225"/>
      <c r="M134" s="225"/>
      <c r="N134" s="225"/>
      <c r="O134" s="225"/>
    </row>
    <row r="135" spans="9:15" x14ac:dyDescent="0.15">
      <c r="I135" s="225"/>
      <c r="J135" s="225"/>
      <c r="K135" s="225"/>
      <c r="L135" s="225"/>
      <c r="M135" s="225"/>
      <c r="N135" s="225"/>
      <c r="O135" s="225"/>
    </row>
    <row r="136" spans="9:15" x14ac:dyDescent="0.15">
      <c r="I136" s="225"/>
      <c r="J136" s="225"/>
      <c r="K136" s="225"/>
      <c r="L136" s="225"/>
      <c r="M136" s="225"/>
      <c r="N136" s="225"/>
      <c r="O136" s="225"/>
    </row>
    <row r="137" spans="9:15" x14ac:dyDescent="0.15">
      <c r="I137" s="225"/>
      <c r="J137" s="225"/>
      <c r="K137" s="225"/>
      <c r="L137" s="225"/>
      <c r="M137" s="225"/>
      <c r="N137" s="225"/>
      <c r="O137" s="225"/>
    </row>
    <row r="138" spans="9:15" x14ac:dyDescent="0.15">
      <c r="I138" s="225"/>
      <c r="J138" s="225"/>
      <c r="K138" s="225"/>
      <c r="L138" s="225"/>
      <c r="M138" s="225"/>
      <c r="N138" s="225"/>
      <c r="O138" s="225"/>
    </row>
    <row r="139" spans="9:15" x14ac:dyDescent="0.15">
      <c r="I139" s="225"/>
      <c r="J139" s="225"/>
      <c r="K139" s="225"/>
      <c r="L139" s="225"/>
      <c r="M139" s="225"/>
      <c r="N139" s="225"/>
      <c r="O139" s="225"/>
    </row>
    <row r="140" spans="9:15" x14ac:dyDescent="0.15">
      <c r="I140" s="225"/>
      <c r="J140" s="225"/>
      <c r="K140" s="225"/>
      <c r="L140" s="225"/>
      <c r="M140" s="225"/>
      <c r="N140" s="225"/>
      <c r="O140" s="225"/>
    </row>
    <row r="141" spans="9:15" x14ac:dyDescent="0.15">
      <c r="I141" s="225"/>
      <c r="J141" s="225"/>
      <c r="K141" s="225"/>
      <c r="L141" s="225"/>
      <c r="M141" s="225"/>
      <c r="N141" s="225"/>
      <c r="O141" s="225"/>
    </row>
    <row r="142" spans="9:15" x14ac:dyDescent="0.15">
      <c r="I142" s="225"/>
      <c r="J142" s="225"/>
      <c r="K142" s="225"/>
      <c r="L142" s="225"/>
      <c r="M142" s="225"/>
      <c r="N142" s="225"/>
      <c r="O142" s="225"/>
    </row>
    <row r="143" spans="9:15" x14ac:dyDescent="0.15">
      <c r="I143" s="225"/>
      <c r="J143" s="225"/>
      <c r="K143" s="225"/>
      <c r="L143" s="225"/>
      <c r="M143" s="225"/>
      <c r="N143" s="225"/>
    </row>
    <row r="144" spans="9:15" x14ac:dyDescent="0.15">
      <c r="I144" s="225"/>
      <c r="J144" s="225"/>
      <c r="K144" s="225"/>
      <c r="L144" s="225"/>
      <c r="M144" s="225"/>
      <c r="N144" s="225"/>
    </row>
    <row r="145" spans="9:14" x14ac:dyDescent="0.15">
      <c r="I145" s="225"/>
      <c r="J145" s="225"/>
      <c r="K145" s="225"/>
      <c r="L145" s="225"/>
      <c r="M145" s="225"/>
      <c r="N145" s="225"/>
    </row>
    <row r="146" spans="9:14" x14ac:dyDescent="0.15">
      <c r="I146" s="225"/>
      <c r="J146" s="225"/>
      <c r="K146" s="225"/>
      <c r="L146" s="225"/>
      <c r="M146" s="225"/>
      <c r="N146" s="225"/>
    </row>
    <row r="147" spans="9:14" x14ac:dyDescent="0.15">
      <c r="I147" s="225"/>
      <c r="J147" s="225"/>
      <c r="K147" s="225"/>
      <c r="L147" s="225"/>
      <c r="M147" s="225"/>
      <c r="N147" s="225"/>
    </row>
    <row r="148" spans="9:14" x14ac:dyDescent="0.15">
      <c r="I148" s="225"/>
      <c r="J148" s="225"/>
      <c r="K148" s="225"/>
      <c r="L148" s="225"/>
      <c r="M148" s="225"/>
      <c r="N148" s="225"/>
    </row>
    <row r="149" spans="9:14" x14ac:dyDescent="0.15">
      <c r="I149" s="225"/>
      <c r="J149" s="225"/>
      <c r="K149" s="225"/>
      <c r="L149" s="225"/>
      <c r="M149" s="225"/>
      <c r="N149" s="225"/>
    </row>
    <row r="150" spans="9:14" x14ac:dyDescent="0.15">
      <c r="I150" s="225"/>
      <c r="J150" s="225"/>
      <c r="K150" s="225"/>
      <c r="L150" s="225"/>
      <c r="M150" s="225"/>
      <c r="N150" s="225"/>
    </row>
    <row r="151" spans="9:14" x14ac:dyDescent="0.15">
      <c r="I151" s="225"/>
      <c r="J151" s="225"/>
      <c r="K151" s="225"/>
      <c r="L151" s="225"/>
      <c r="M151" s="225"/>
      <c r="N151" s="225"/>
    </row>
    <row r="152" spans="9:14" x14ac:dyDescent="0.15">
      <c r="I152" s="225"/>
      <c r="J152" s="225"/>
      <c r="K152" s="225"/>
      <c r="L152" s="225"/>
      <c r="M152" s="225"/>
      <c r="N152" s="225"/>
    </row>
    <row r="153" spans="9:14" x14ac:dyDescent="0.15">
      <c r="I153" s="225"/>
      <c r="J153" s="225"/>
      <c r="K153" s="225"/>
      <c r="L153" s="225"/>
      <c r="M153" s="225"/>
      <c r="N153" s="225"/>
    </row>
    <row r="154" spans="9:14" x14ac:dyDescent="0.15">
      <c r="I154" s="225"/>
      <c r="J154" s="225"/>
      <c r="K154" s="225"/>
      <c r="L154" s="225"/>
      <c r="M154" s="225"/>
      <c r="N154" s="225"/>
    </row>
    <row r="155" spans="9:14" x14ac:dyDescent="0.15">
      <c r="I155" s="225"/>
      <c r="J155" s="225"/>
      <c r="K155" s="225"/>
      <c r="L155" s="225"/>
      <c r="M155" s="225"/>
      <c r="N155" s="225"/>
    </row>
    <row r="156" spans="9:14" x14ac:dyDescent="0.15">
      <c r="I156" s="225"/>
      <c r="J156" s="225"/>
      <c r="K156" s="225"/>
      <c r="L156" s="225"/>
      <c r="M156" s="225"/>
      <c r="N156" s="225"/>
    </row>
    <row r="157" spans="9:14" x14ac:dyDescent="0.15">
      <c r="I157" s="225"/>
      <c r="J157" s="225"/>
      <c r="K157" s="225"/>
      <c r="L157" s="225"/>
      <c r="M157" s="225"/>
      <c r="N157" s="225"/>
    </row>
    <row r="158" spans="9:14" x14ac:dyDescent="0.15">
      <c r="I158" s="225"/>
      <c r="J158" s="225"/>
      <c r="K158" s="225"/>
      <c r="L158" s="225"/>
      <c r="M158" s="225"/>
      <c r="N158" s="225"/>
    </row>
    <row r="159" spans="9:14" x14ac:dyDescent="0.15">
      <c r="J159" s="225"/>
      <c r="K159" s="225"/>
      <c r="L159" s="225"/>
      <c r="M159" s="225"/>
      <c r="N159" s="225"/>
    </row>
    <row r="160" spans="9:14" x14ac:dyDescent="0.15">
      <c r="J160" s="225"/>
      <c r="K160" s="225"/>
      <c r="L160" s="225"/>
      <c r="M160" s="225"/>
      <c r="N160" s="225"/>
    </row>
    <row r="176" spans="15:15" x14ac:dyDescent="0.15">
      <c r="O176" s="225"/>
    </row>
    <row r="177" spans="15:15" x14ac:dyDescent="0.15">
      <c r="O177" s="225"/>
    </row>
    <row r="178" spans="15:15" x14ac:dyDescent="0.15">
      <c r="O178" s="225"/>
    </row>
    <row r="179" spans="15:15" x14ac:dyDescent="0.15">
      <c r="O179" s="225"/>
    </row>
    <row r="180" spans="15:15" x14ac:dyDescent="0.15">
      <c r="O180" s="225"/>
    </row>
    <row r="181" spans="15:15" x14ac:dyDescent="0.15">
      <c r="O181" s="225"/>
    </row>
    <row r="182" spans="15:15" x14ac:dyDescent="0.15">
      <c r="O182" s="225"/>
    </row>
    <row r="183" spans="15:15" x14ac:dyDescent="0.15">
      <c r="O183" s="225"/>
    </row>
    <row r="184" spans="15:15" x14ac:dyDescent="0.15">
      <c r="O184" s="225"/>
    </row>
    <row r="185" spans="15:15" x14ac:dyDescent="0.15">
      <c r="O185" s="225"/>
    </row>
    <row r="186" spans="15:15" x14ac:dyDescent="0.15">
      <c r="O186" s="225"/>
    </row>
    <row r="187" spans="15:15" x14ac:dyDescent="0.15">
      <c r="O187" s="225"/>
    </row>
    <row r="188" spans="15:15" x14ac:dyDescent="0.15">
      <c r="O188" s="225"/>
    </row>
    <row r="189" spans="15:15" x14ac:dyDescent="0.15">
      <c r="O189" s="225"/>
    </row>
    <row r="190" spans="15:15" x14ac:dyDescent="0.15">
      <c r="O190" s="225"/>
    </row>
    <row r="191" spans="15:15" x14ac:dyDescent="0.15">
      <c r="O191" s="225"/>
    </row>
    <row r="192" spans="15:15" x14ac:dyDescent="0.15">
      <c r="O192" s="225"/>
    </row>
    <row r="193" spans="15:15" x14ac:dyDescent="0.15">
      <c r="O193" s="225"/>
    </row>
    <row r="194" spans="15:15" x14ac:dyDescent="0.15">
      <c r="O194" s="225"/>
    </row>
    <row r="195" spans="15:15" x14ac:dyDescent="0.15">
      <c r="O195" s="225"/>
    </row>
  </sheetData>
  <mergeCells count="72">
    <mergeCell ref="I12:I16"/>
    <mergeCell ref="T12:U12"/>
    <mergeCell ref="T17:U17"/>
    <mergeCell ref="T18:U18"/>
    <mergeCell ref="B5:B7"/>
    <mergeCell ref="T5:U5"/>
    <mergeCell ref="I6:I11"/>
    <mergeCell ref="T6:U6"/>
    <mergeCell ref="T7:U7"/>
    <mergeCell ref="I4:I5"/>
    <mergeCell ref="J4:J5"/>
    <mergeCell ref="M4:M5"/>
    <mergeCell ref="N4:N5"/>
    <mergeCell ref="T4:U4"/>
    <mergeCell ref="B8:B12"/>
    <mergeCell ref="T8:U8"/>
    <mergeCell ref="T10:U10"/>
    <mergeCell ref="T11:U11"/>
    <mergeCell ref="B29:B42"/>
    <mergeCell ref="B43:B53"/>
    <mergeCell ref="B13:B17"/>
    <mergeCell ref="T13:U13"/>
    <mergeCell ref="T14:U14"/>
    <mergeCell ref="T15:U15"/>
    <mergeCell ref="T16:U16"/>
    <mergeCell ref="I17:I20"/>
    <mergeCell ref="T19:U19"/>
    <mergeCell ref="B18:B21"/>
    <mergeCell ref="T20:U20"/>
    <mergeCell ref="T21:U21"/>
    <mergeCell ref="I21:I24"/>
    <mergeCell ref="B22:B25"/>
    <mergeCell ref="I29:I32"/>
    <mergeCell ref="I25:I28"/>
    <mergeCell ref="K38:L38"/>
    <mergeCell ref="I39:I46"/>
    <mergeCell ref="K39:L39"/>
    <mergeCell ref="K40:L40"/>
    <mergeCell ref="K41:L41"/>
    <mergeCell ref="Q41:R41"/>
    <mergeCell ref="K42:L42"/>
    <mergeCell ref="P42:P48"/>
    <mergeCell ref="K43:L43"/>
    <mergeCell ref="K44:L44"/>
    <mergeCell ref="K45:L45"/>
    <mergeCell ref="K46:L46"/>
    <mergeCell ref="K47:L47"/>
    <mergeCell ref="K48:L48"/>
    <mergeCell ref="K49:L49"/>
    <mergeCell ref="P49:P60"/>
    <mergeCell ref="Q49:Q53"/>
    <mergeCell ref="K50:L50"/>
    <mergeCell ref="K51:L51"/>
    <mergeCell ref="K52:L52"/>
    <mergeCell ref="K53:L53"/>
    <mergeCell ref="K60:L60"/>
    <mergeCell ref="T9:U9"/>
    <mergeCell ref="I61:J61"/>
    <mergeCell ref="K61:L61"/>
    <mergeCell ref="P61:Q61"/>
    <mergeCell ref="B54:B57"/>
    <mergeCell ref="K54:L54"/>
    <mergeCell ref="I55:I60"/>
    <mergeCell ref="K55:L55"/>
    <mergeCell ref="Q55:Q59"/>
    <mergeCell ref="K56:L56"/>
    <mergeCell ref="K57:L57"/>
    <mergeCell ref="B58:B61"/>
    <mergeCell ref="K58:L58"/>
    <mergeCell ref="K59:L59"/>
    <mergeCell ref="I51:I54"/>
    <mergeCell ref="I47:I50"/>
  </mergeCells>
  <phoneticPr fontId="5"/>
  <pageMargins left="0.78740157480314965" right="0.78740157480314965" top="0.78740157480314965" bottom="0.78740157480314965" header="0.39370078740157483" footer="0.39370078740157483"/>
  <pageSetup paperSize="9" scale="58" orientation="landscape" horizontalDpi="4294967293" verticalDpi="300" r:id="rId1"/>
  <headerFooter alignWithMargins="0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Z196"/>
  <sheetViews>
    <sheetView showZeros="0" zoomScale="75" zoomScaleNormal="75" zoomScaleSheetLayoutView="80" workbookViewId="0"/>
  </sheetViews>
  <sheetFormatPr defaultRowHeight="13.5" x14ac:dyDescent="0.15"/>
  <cols>
    <col min="1" max="1" width="1.625" style="93" customWidth="1"/>
    <col min="2" max="2" width="3.625" style="93" customWidth="1"/>
    <col min="3" max="3" width="15.625" style="93" customWidth="1"/>
    <col min="4" max="7" width="8.625" style="93" customWidth="1"/>
    <col min="8" max="8" width="1.625" style="225" customWidth="1"/>
    <col min="9" max="9" width="3.625" style="93" customWidth="1"/>
    <col min="10" max="10" width="15.625" style="93" customWidth="1"/>
    <col min="11" max="14" width="8.625" style="93" customWidth="1"/>
    <col min="15" max="15" width="3.5" style="93" customWidth="1"/>
    <col min="16" max="16" width="15.625" style="190" customWidth="1"/>
    <col min="17" max="17" width="8.625" style="93" customWidth="1"/>
    <col min="18" max="18" width="8.625" style="94" customWidth="1"/>
    <col min="19" max="21" width="8.625" style="93" customWidth="1"/>
    <col min="22" max="22" width="10.625" style="94" customWidth="1"/>
    <col min="23" max="262" width="9" style="93"/>
    <col min="263" max="263" width="1.375" style="93" customWidth="1"/>
    <col min="264" max="264" width="3.5" style="93" customWidth="1"/>
    <col min="265" max="265" width="22.125" style="93" customWidth="1"/>
    <col min="266" max="266" width="9.75" style="93" customWidth="1"/>
    <col min="267" max="267" width="7.375" style="93" customWidth="1"/>
    <col min="268" max="268" width="9" style="93"/>
    <col min="269" max="269" width="9.25" style="93" customWidth="1"/>
    <col min="270" max="270" width="3.5" style="93" customWidth="1"/>
    <col min="271" max="272" width="12.625" style="93" customWidth="1"/>
    <col min="273" max="273" width="9" style="93"/>
    <col min="274" max="274" width="7.75" style="93" customWidth="1"/>
    <col min="275" max="275" width="13.125" style="93" customWidth="1"/>
    <col min="276" max="276" width="6.125" style="93" customWidth="1"/>
    <col min="277" max="277" width="9.75" style="93" customWidth="1"/>
    <col min="278" max="278" width="1.375" style="93" customWidth="1"/>
    <col min="279" max="518" width="9" style="93"/>
    <col min="519" max="519" width="1.375" style="93" customWidth="1"/>
    <col min="520" max="520" width="3.5" style="93" customWidth="1"/>
    <col min="521" max="521" width="22.125" style="93" customWidth="1"/>
    <col min="522" max="522" width="9.75" style="93" customWidth="1"/>
    <col min="523" max="523" width="7.375" style="93" customWidth="1"/>
    <col min="524" max="524" width="9" style="93"/>
    <col min="525" max="525" width="9.25" style="93" customWidth="1"/>
    <col min="526" max="526" width="3.5" style="93" customWidth="1"/>
    <col min="527" max="528" width="12.625" style="93" customWidth="1"/>
    <col min="529" max="529" width="9" style="93"/>
    <col min="530" max="530" width="7.75" style="93" customWidth="1"/>
    <col min="531" max="531" width="13.125" style="93" customWidth="1"/>
    <col min="532" max="532" width="6.125" style="93" customWidth="1"/>
    <col min="533" max="533" width="9.75" style="93" customWidth="1"/>
    <col min="534" max="534" width="1.375" style="93" customWidth="1"/>
    <col min="535" max="774" width="9" style="93"/>
    <col min="775" max="775" width="1.375" style="93" customWidth="1"/>
    <col min="776" max="776" width="3.5" style="93" customWidth="1"/>
    <col min="777" max="777" width="22.125" style="93" customWidth="1"/>
    <col min="778" max="778" width="9.75" style="93" customWidth="1"/>
    <col min="779" max="779" width="7.375" style="93" customWidth="1"/>
    <col min="780" max="780" width="9" style="93"/>
    <col min="781" max="781" width="9.25" style="93" customWidth="1"/>
    <col min="782" max="782" width="3.5" style="93" customWidth="1"/>
    <col min="783" max="784" width="12.625" style="93" customWidth="1"/>
    <col min="785" max="785" width="9" style="93"/>
    <col min="786" max="786" width="7.75" style="93" customWidth="1"/>
    <col min="787" max="787" width="13.125" style="93" customWidth="1"/>
    <col min="788" max="788" width="6.125" style="93" customWidth="1"/>
    <col min="789" max="789" width="9.75" style="93" customWidth="1"/>
    <col min="790" max="790" width="1.375" style="93" customWidth="1"/>
    <col min="791" max="1030" width="9" style="93"/>
    <col min="1031" max="1031" width="1.375" style="93" customWidth="1"/>
    <col min="1032" max="1032" width="3.5" style="93" customWidth="1"/>
    <col min="1033" max="1033" width="22.125" style="93" customWidth="1"/>
    <col min="1034" max="1034" width="9.75" style="93" customWidth="1"/>
    <col min="1035" max="1035" width="7.375" style="93" customWidth="1"/>
    <col min="1036" max="1036" width="9" style="93"/>
    <col min="1037" max="1037" width="9.25" style="93" customWidth="1"/>
    <col min="1038" max="1038" width="3.5" style="93" customWidth="1"/>
    <col min="1039" max="1040" width="12.625" style="93" customWidth="1"/>
    <col min="1041" max="1041" width="9" style="93"/>
    <col min="1042" max="1042" width="7.75" style="93" customWidth="1"/>
    <col min="1043" max="1043" width="13.125" style="93" customWidth="1"/>
    <col min="1044" max="1044" width="6.125" style="93" customWidth="1"/>
    <col min="1045" max="1045" width="9.75" style="93" customWidth="1"/>
    <col min="1046" max="1046" width="1.375" style="93" customWidth="1"/>
    <col min="1047" max="1286" width="9" style="93"/>
    <col min="1287" max="1287" width="1.375" style="93" customWidth="1"/>
    <col min="1288" max="1288" width="3.5" style="93" customWidth="1"/>
    <col min="1289" max="1289" width="22.125" style="93" customWidth="1"/>
    <col min="1290" max="1290" width="9.75" style="93" customWidth="1"/>
    <col min="1291" max="1291" width="7.375" style="93" customWidth="1"/>
    <col min="1292" max="1292" width="9" style="93"/>
    <col min="1293" max="1293" width="9.25" style="93" customWidth="1"/>
    <col min="1294" max="1294" width="3.5" style="93" customWidth="1"/>
    <col min="1295" max="1296" width="12.625" style="93" customWidth="1"/>
    <col min="1297" max="1297" width="9" style="93"/>
    <col min="1298" max="1298" width="7.75" style="93" customWidth="1"/>
    <col min="1299" max="1299" width="13.125" style="93" customWidth="1"/>
    <col min="1300" max="1300" width="6.125" style="93" customWidth="1"/>
    <col min="1301" max="1301" width="9.75" style="93" customWidth="1"/>
    <col min="1302" max="1302" width="1.375" style="93" customWidth="1"/>
    <col min="1303" max="1542" width="9" style="93"/>
    <col min="1543" max="1543" width="1.375" style="93" customWidth="1"/>
    <col min="1544" max="1544" width="3.5" style="93" customWidth="1"/>
    <col min="1545" max="1545" width="22.125" style="93" customWidth="1"/>
    <col min="1546" max="1546" width="9.75" style="93" customWidth="1"/>
    <col min="1547" max="1547" width="7.375" style="93" customWidth="1"/>
    <col min="1548" max="1548" width="9" style="93"/>
    <col min="1549" max="1549" width="9.25" style="93" customWidth="1"/>
    <col min="1550" max="1550" width="3.5" style="93" customWidth="1"/>
    <col min="1551" max="1552" width="12.625" style="93" customWidth="1"/>
    <col min="1553" max="1553" width="9" style="93"/>
    <col min="1554" max="1554" width="7.75" style="93" customWidth="1"/>
    <col min="1555" max="1555" width="13.125" style="93" customWidth="1"/>
    <col min="1556" max="1556" width="6.125" style="93" customWidth="1"/>
    <col min="1557" max="1557" width="9.75" style="93" customWidth="1"/>
    <col min="1558" max="1558" width="1.375" style="93" customWidth="1"/>
    <col min="1559" max="1798" width="9" style="93"/>
    <col min="1799" max="1799" width="1.375" style="93" customWidth="1"/>
    <col min="1800" max="1800" width="3.5" style="93" customWidth="1"/>
    <col min="1801" max="1801" width="22.125" style="93" customWidth="1"/>
    <col min="1802" max="1802" width="9.75" style="93" customWidth="1"/>
    <col min="1803" max="1803" width="7.375" style="93" customWidth="1"/>
    <col min="1804" max="1804" width="9" style="93"/>
    <col min="1805" max="1805" width="9.25" style="93" customWidth="1"/>
    <col min="1806" max="1806" width="3.5" style="93" customWidth="1"/>
    <col min="1807" max="1808" width="12.625" style="93" customWidth="1"/>
    <col min="1809" max="1809" width="9" style="93"/>
    <col min="1810" max="1810" width="7.75" style="93" customWidth="1"/>
    <col min="1811" max="1811" width="13.125" style="93" customWidth="1"/>
    <col min="1812" max="1812" width="6.125" style="93" customWidth="1"/>
    <col min="1813" max="1813" width="9.75" style="93" customWidth="1"/>
    <col min="1814" max="1814" width="1.375" style="93" customWidth="1"/>
    <col min="1815" max="2054" width="9" style="93"/>
    <col min="2055" max="2055" width="1.375" style="93" customWidth="1"/>
    <col min="2056" max="2056" width="3.5" style="93" customWidth="1"/>
    <col min="2057" max="2057" width="22.125" style="93" customWidth="1"/>
    <col min="2058" max="2058" width="9.75" style="93" customWidth="1"/>
    <col min="2059" max="2059" width="7.375" style="93" customWidth="1"/>
    <col min="2060" max="2060" width="9" style="93"/>
    <col min="2061" max="2061" width="9.25" style="93" customWidth="1"/>
    <col min="2062" max="2062" width="3.5" style="93" customWidth="1"/>
    <col min="2063" max="2064" width="12.625" style="93" customWidth="1"/>
    <col min="2065" max="2065" width="9" style="93"/>
    <col min="2066" max="2066" width="7.75" style="93" customWidth="1"/>
    <col min="2067" max="2067" width="13.125" style="93" customWidth="1"/>
    <col min="2068" max="2068" width="6.125" style="93" customWidth="1"/>
    <col min="2069" max="2069" width="9.75" style="93" customWidth="1"/>
    <col min="2070" max="2070" width="1.375" style="93" customWidth="1"/>
    <col min="2071" max="2310" width="9" style="93"/>
    <col min="2311" max="2311" width="1.375" style="93" customWidth="1"/>
    <col min="2312" max="2312" width="3.5" style="93" customWidth="1"/>
    <col min="2313" max="2313" width="22.125" style="93" customWidth="1"/>
    <col min="2314" max="2314" width="9.75" style="93" customWidth="1"/>
    <col min="2315" max="2315" width="7.375" style="93" customWidth="1"/>
    <col min="2316" max="2316" width="9" style="93"/>
    <col min="2317" max="2317" width="9.25" style="93" customWidth="1"/>
    <col min="2318" max="2318" width="3.5" style="93" customWidth="1"/>
    <col min="2319" max="2320" width="12.625" style="93" customWidth="1"/>
    <col min="2321" max="2321" width="9" style="93"/>
    <col min="2322" max="2322" width="7.75" style="93" customWidth="1"/>
    <col min="2323" max="2323" width="13.125" style="93" customWidth="1"/>
    <col min="2324" max="2324" width="6.125" style="93" customWidth="1"/>
    <col min="2325" max="2325" width="9.75" style="93" customWidth="1"/>
    <col min="2326" max="2326" width="1.375" style="93" customWidth="1"/>
    <col min="2327" max="2566" width="9" style="93"/>
    <col min="2567" max="2567" width="1.375" style="93" customWidth="1"/>
    <col min="2568" max="2568" width="3.5" style="93" customWidth="1"/>
    <col min="2569" max="2569" width="22.125" style="93" customWidth="1"/>
    <col min="2570" max="2570" width="9.75" style="93" customWidth="1"/>
    <col min="2571" max="2571" width="7.375" style="93" customWidth="1"/>
    <col min="2572" max="2572" width="9" style="93"/>
    <col min="2573" max="2573" width="9.25" style="93" customWidth="1"/>
    <col min="2574" max="2574" width="3.5" style="93" customWidth="1"/>
    <col min="2575" max="2576" width="12.625" style="93" customWidth="1"/>
    <col min="2577" max="2577" width="9" style="93"/>
    <col min="2578" max="2578" width="7.75" style="93" customWidth="1"/>
    <col min="2579" max="2579" width="13.125" style="93" customWidth="1"/>
    <col min="2580" max="2580" width="6.125" style="93" customWidth="1"/>
    <col min="2581" max="2581" width="9.75" style="93" customWidth="1"/>
    <col min="2582" max="2582" width="1.375" style="93" customWidth="1"/>
    <col min="2583" max="2822" width="9" style="93"/>
    <col min="2823" max="2823" width="1.375" style="93" customWidth="1"/>
    <col min="2824" max="2824" width="3.5" style="93" customWidth="1"/>
    <col min="2825" max="2825" width="22.125" style="93" customWidth="1"/>
    <col min="2826" max="2826" width="9.75" style="93" customWidth="1"/>
    <col min="2827" max="2827" width="7.375" style="93" customWidth="1"/>
    <col min="2828" max="2828" width="9" style="93"/>
    <col min="2829" max="2829" width="9.25" style="93" customWidth="1"/>
    <col min="2830" max="2830" width="3.5" style="93" customWidth="1"/>
    <col min="2831" max="2832" width="12.625" style="93" customWidth="1"/>
    <col min="2833" max="2833" width="9" style="93"/>
    <col min="2834" max="2834" width="7.75" style="93" customWidth="1"/>
    <col min="2835" max="2835" width="13.125" style="93" customWidth="1"/>
    <col min="2836" max="2836" width="6.125" style="93" customWidth="1"/>
    <col min="2837" max="2837" width="9.75" style="93" customWidth="1"/>
    <col min="2838" max="2838" width="1.375" style="93" customWidth="1"/>
    <col min="2839" max="3078" width="9" style="93"/>
    <col min="3079" max="3079" width="1.375" style="93" customWidth="1"/>
    <col min="3080" max="3080" width="3.5" style="93" customWidth="1"/>
    <col min="3081" max="3081" width="22.125" style="93" customWidth="1"/>
    <col min="3082" max="3082" width="9.75" style="93" customWidth="1"/>
    <col min="3083" max="3083" width="7.375" style="93" customWidth="1"/>
    <col min="3084" max="3084" width="9" style="93"/>
    <col min="3085" max="3085" width="9.25" style="93" customWidth="1"/>
    <col min="3086" max="3086" width="3.5" style="93" customWidth="1"/>
    <col min="3087" max="3088" width="12.625" style="93" customWidth="1"/>
    <col min="3089" max="3089" width="9" style="93"/>
    <col min="3090" max="3090" width="7.75" style="93" customWidth="1"/>
    <col min="3091" max="3091" width="13.125" style="93" customWidth="1"/>
    <col min="3092" max="3092" width="6.125" style="93" customWidth="1"/>
    <col min="3093" max="3093" width="9.75" style="93" customWidth="1"/>
    <col min="3094" max="3094" width="1.375" style="93" customWidth="1"/>
    <col min="3095" max="3334" width="9" style="93"/>
    <col min="3335" max="3335" width="1.375" style="93" customWidth="1"/>
    <col min="3336" max="3336" width="3.5" style="93" customWidth="1"/>
    <col min="3337" max="3337" width="22.125" style="93" customWidth="1"/>
    <col min="3338" max="3338" width="9.75" style="93" customWidth="1"/>
    <col min="3339" max="3339" width="7.375" style="93" customWidth="1"/>
    <col min="3340" max="3340" width="9" style="93"/>
    <col min="3341" max="3341" width="9.25" style="93" customWidth="1"/>
    <col min="3342" max="3342" width="3.5" style="93" customWidth="1"/>
    <col min="3343" max="3344" width="12.625" style="93" customWidth="1"/>
    <col min="3345" max="3345" width="9" style="93"/>
    <col min="3346" max="3346" width="7.75" style="93" customWidth="1"/>
    <col min="3347" max="3347" width="13.125" style="93" customWidth="1"/>
    <col min="3348" max="3348" width="6.125" style="93" customWidth="1"/>
    <col min="3349" max="3349" width="9.75" style="93" customWidth="1"/>
    <col min="3350" max="3350" width="1.375" style="93" customWidth="1"/>
    <col min="3351" max="3590" width="9" style="93"/>
    <col min="3591" max="3591" width="1.375" style="93" customWidth="1"/>
    <col min="3592" max="3592" width="3.5" style="93" customWidth="1"/>
    <col min="3593" max="3593" width="22.125" style="93" customWidth="1"/>
    <col min="3594" max="3594" width="9.75" style="93" customWidth="1"/>
    <col min="3595" max="3595" width="7.375" style="93" customWidth="1"/>
    <col min="3596" max="3596" width="9" style="93"/>
    <col min="3597" max="3597" width="9.25" style="93" customWidth="1"/>
    <col min="3598" max="3598" width="3.5" style="93" customWidth="1"/>
    <col min="3599" max="3600" width="12.625" style="93" customWidth="1"/>
    <col min="3601" max="3601" width="9" style="93"/>
    <col min="3602" max="3602" width="7.75" style="93" customWidth="1"/>
    <col min="3603" max="3603" width="13.125" style="93" customWidth="1"/>
    <col min="3604" max="3604" width="6.125" style="93" customWidth="1"/>
    <col min="3605" max="3605" width="9.75" style="93" customWidth="1"/>
    <col min="3606" max="3606" width="1.375" style="93" customWidth="1"/>
    <col min="3607" max="3846" width="9" style="93"/>
    <col min="3847" max="3847" width="1.375" style="93" customWidth="1"/>
    <col min="3848" max="3848" width="3.5" style="93" customWidth="1"/>
    <col min="3849" max="3849" width="22.125" style="93" customWidth="1"/>
    <col min="3850" max="3850" width="9.75" style="93" customWidth="1"/>
    <col min="3851" max="3851" width="7.375" style="93" customWidth="1"/>
    <col min="3852" max="3852" width="9" style="93"/>
    <col min="3853" max="3853" width="9.25" style="93" customWidth="1"/>
    <col min="3854" max="3854" width="3.5" style="93" customWidth="1"/>
    <col min="3855" max="3856" width="12.625" style="93" customWidth="1"/>
    <col min="3857" max="3857" width="9" style="93"/>
    <col min="3858" max="3858" width="7.75" style="93" customWidth="1"/>
    <col min="3859" max="3859" width="13.125" style="93" customWidth="1"/>
    <col min="3860" max="3860" width="6.125" style="93" customWidth="1"/>
    <col min="3861" max="3861" width="9.75" style="93" customWidth="1"/>
    <col min="3862" max="3862" width="1.375" style="93" customWidth="1"/>
    <col min="3863" max="4102" width="9" style="93"/>
    <col min="4103" max="4103" width="1.375" style="93" customWidth="1"/>
    <col min="4104" max="4104" width="3.5" style="93" customWidth="1"/>
    <col min="4105" max="4105" width="22.125" style="93" customWidth="1"/>
    <col min="4106" max="4106" width="9.75" style="93" customWidth="1"/>
    <col min="4107" max="4107" width="7.375" style="93" customWidth="1"/>
    <col min="4108" max="4108" width="9" style="93"/>
    <col min="4109" max="4109" width="9.25" style="93" customWidth="1"/>
    <col min="4110" max="4110" width="3.5" style="93" customWidth="1"/>
    <col min="4111" max="4112" width="12.625" style="93" customWidth="1"/>
    <col min="4113" max="4113" width="9" style="93"/>
    <col min="4114" max="4114" width="7.75" style="93" customWidth="1"/>
    <col min="4115" max="4115" width="13.125" style="93" customWidth="1"/>
    <col min="4116" max="4116" width="6.125" style="93" customWidth="1"/>
    <col min="4117" max="4117" width="9.75" style="93" customWidth="1"/>
    <col min="4118" max="4118" width="1.375" style="93" customWidth="1"/>
    <col min="4119" max="4358" width="9" style="93"/>
    <col min="4359" max="4359" width="1.375" style="93" customWidth="1"/>
    <col min="4360" max="4360" width="3.5" style="93" customWidth="1"/>
    <col min="4361" max="4361" width="22.125" style="93" customWidth="1"/>
    <col min="4362" max="4362" width="9.75" style="93" customWidth="1"/>
    <col min="4363" max="4363" width="7.375" style="93" customWidth="1"/>
    <col min="4364" max="4364" width="9" style="93"/>
    <col min="4365" max="4365" width="9.25" style="93" customWidth="1"/>
    <col min="4366" max="4366" width="3.5" style="93" customWidth="1"/>
    <col min="4367" max="4368" width="12.625" style="93" customWidth="1"/>
    <col min="4369" max="4369" width="9" style="93"/>
    <col min="4370" max="4370" width="7.75" style="93" customWidth="1"/>
    <col min="4371" max="4371" width="13.125" style="93" customWidth="1"/>
    <col min="4372" max="4372" width="6.125" style="93" customWidth="1"/>
    <col min="4373" max="4373" width="9.75" style="93" customWidth="1"/>
    <col min="4374" max="4374" width="1.375" style="93" customWidth="1"/>
    <col min="4375" max="4614" width="9" style="93"/>
    <col min="4615" max="4615" width="1.375" style="93" customWidth="1"/>
    <col min="4616" max="4616" width="3.5" style="93" customWidth="1"/>
    <col min="4617" max="4617" width="22.125" style="93" customWidth="1"/>
    <col min="4618" max="4618" width="9.75" style="93" customWidth="1"/>
    <col min="4619" max="4619" width="7.375" style="93" customWidth="1"/>
    <col min="4620" max="4620" width="9" style="93"/>
    <col min="4621" max="4621" width="9.25" style="93" customWidth="1"/>
    <col min="4622" max="4622" width="3.5" style="93" customWidth="1"/>
    <col min="4623" max="4624" width="12.625" style="93" customWidth="1"/>
    <col min="4625" max="4625" width="9" style="93"/>
    <col min="4626" max="4626" width="7.75" style="93" customWidth="1"/>
    <col min="4627" max="4627" width="13.125" style="93" customWidth="1"/>
    <col min="4628" max="4628" width="6.125" style="93" customWidth="1"/>
    <col min="4629" max="4629" width="9.75" style="93" customWidth="1"/>
    <col min="4630" max="4630" width="1.375" style="93" customWidth="1"/>
    <col min="4631" max="4870" width="9" style="93"/>
    <col min="4871" max="4871" width="1.375" style="93" customWidth="1"/>
    <col min="4872" max="4872" width="3.5" style="93" customWidth="1"/>
    <col min="4873" max="4873" width="22.125" style="93" customWidth="1"/>
    <col min="4874" max="4874" width="9.75" style="93" customWidth="1"/>
    <col min="4875" max="4875" width="7.375" style="93" customWidth="1"/>
    <col min="4876" max="4876" width="9" style="93"/>
    <col min="4877" max="4877" width="9.25" style="93" customWidth="1"/>
    <col min="4878" max="4878" width="3.5" style="93" customWidth="1"/>
    <col min="4879" max="4880" width="12.625" style="93" customWidth="1"/>
    <col min="4881" max="4881" width="9" style="93"/>
    <col min="4882" max="4882" width="7.75" style="93" customWidth="1"/>
    <col min="4883" max="4883" width="13.125" style="93" customWidth="1"/>
    <col min="4884" max="4884" width="6.125" style="93" customWidth="1"/>
    <col min="4885" max="4885" width="9.75" style="93" customWidth="1"/>
    <col min="4886" max="4886" width="1.375" style="93" customWidth="1"/>
    <col min="4887" max="5126" width="9" style="93"/>
    <col min="5127" max="5127" width="1.375" style="93" customWidth="1"/>
    <col min="5128" max="5128" width="3.5" style="93" customWidth="1"/>
    <col min="5129" max="5129" width="22.125" style="93" customWidth="1"/>
    <col min="5130" max="5130" width="9.75" style="93" customWidth="1"/>
    <col min="5131" max="5131" width="7.375" style="93" customWidth="1"/>
    <col min="5132" max="5132" width="9" style="93"/>
    <col min="5133" max="5133" width="9.25" style="93" customWidth="1"/>
    <col min="5134" max="5134" width="3.5" style="93" customWidth="1"/>
    <col min="5135" max="5136" width="12.625" style="93" customWidth="1"/>
    <col min="5137" max="5137" width="9" style="93"/>
    <col min="5138" max="5138" width="7.75" style="93" customWidth="1"/>
    <col min="5139" max="5139" width="13.125" style="93" customWidth="1"/>
    <col min="5140" max="5140" width="6.125" style="93" customWidth="1"/>
    <col min="5141" max="5141" width="9.75" style="93" customWidth="1"/>
    <col min="5142" max="5142" width="1.375" style="93" customWidth="1"/>
    <col min="5143" max="5382" width="9" style="93"/>
    <col min="5383" max="5383" width="1.375" style="93" customWidth="1"/>
    <col min="5384" max="5384" width="3.5" style="93" customWidth="1"/>
    <col min="5385" max="5385" width="22.125" style="93" customWidth="1"/>
    <col min="5386" max="5386" width="9.75" style="93" customWidth="1"/>
    <col min="5387" max="5387" width="7.375" style="93" customWidth="1"/>
    <col min="5388" max="5388" width="9" style="93"/>
    <col min="5389" max="5389" width="9.25" style="93" customWidth="1"/>
    <col min="5390" max="5390" width="3.5" style="93" customWidth="1"/>
    <col min="5391" max="5392" width="12.625" style="93" customWidth="1"/>
    <col min="5393" max="5393" width="9" style="93"/>
    <col min="5394" max="5394" width="7.75" style="93" customWidth="1"/>
    <col min="5395" max="5395" width="13.125" style="93" customWidth="1"/>
    <col min="5396" max="5396" width="6.125" style="93" customWidth="1"/>
    <col min="5397" max="5397" width="9.75" style="93" customWidth="1"/>
    <col min="5398" max="5398" width="1.375" style="93" customWidth="1"/>
    <col min="5399" max="5638" width="9" style="93"/>
    <col min="5639" max="5639" width="1.375" style="93" customWidth="1"/>
    <col min="5640" max="5640" width="3.5" style="93" customWidth="1"/>
    <col min="5641" max="5641" width="22.125" style="93" customWidth="1"/>
    <col min="5642" max="5642" width="9.75" style="93" customWidth="1"/>
    <col min="5643" max="5643" width="7.375" style="93" customWidth="1"/>
    <col min="5644" max="5644" width="9" style="93"/>
    <col min="5645" max="5645" width="9.25" style="93" customWidth="1"/>
    <col min="5646" max="5646" width="3.5" style="93" customWidth="1"/>
    <col min="5647" max="5648" width="12.625" style="93" customWidth="1"/>
    <col min="5649" max="5649" width="9" style="93"/>
    <col min="5650" max="5650" width="7.75" style="93" customWidth="1"/>
    <col min="5651" max="5651" width="13.125" style="93" customWidth="1"/>
    <col min="5652" max="5652" width="6.125" style="93" customWidth="1"/>
    <col min="5653" max="5653" width="9.75" style="93" customWidth="1"/>
    <col min="5654" max="5654" width="1.375" style="93" customWidth="1"/>
    <col min="5655" max="5894" width="9" style="93"/>
    <col min="5895" max="5895" width="1.375" style="93" customWidth="1"/>
    <col min="5896" max="5896" width="3.5" style="93" customWidth="1"/>
    <col min="5897" max="5897" width="22.125" style="93" customWidth="1"/>
    <col min="5898" max="5898" width="9.75" style="93" customWidth="1"/>
    <col min="5899" max="5899" width="7.375" style="93" customWidth="1"/>
    <col min="5900" max="5900" width="9" style="93"/>
    <col min="5901" max="5901" width="9.25" style="93" customWidth="1"/>
    <col min="5902" max="5902" width="3.5" style="93" customWidth="1"/>
    <col min="5903" max="5904" width="12.625" style="93" customWidth="1"/>
    <col min="5905" max="5905" width="9" style="93"/>
    <col min="5906" max="5906" width="7.75" style="93" customWidth="1"/>
    <col min="5907" max="5907" width="13.125" style="93" customWidth="1"/>
    <col min="5908" max="5908" width="6.125" style="93" customWidth="1"/>
    <col min="5909" max="5909" width="9.75" style="93" customWidth="1"/>
    <col min="5910" max="5910" width="1.375" style="93" customWidth="1"/>
    <col min="5911" max="6150" width="9" style="93"/>
    <col min="6151" max="6151" width="1.375" style="93" customWidth="1"/>
    <col min="6152" max="6152" width="3.5" style="93" customWidth="1"/>
    <col min="6153" max="6153" width="22.125" style="93" customWidth="1"/>
    <col min="6154" max="6154" width="9.75" style="93" customWidth="1"/>
    <col min="6155" max="6155" width="7.375" style="93" customWidth="1"/>
    <col min="6156" max="6156" width="9" style="93"/>
    <col min="6157" max="6157" width="9.25" style="93" customWidth="1"/>
    <col min="6158" max="6158" width="3.5" style="93" customWidth="1"/>
    <col min="6159" max="6160" width="12.625" style="93" customWidth="1"/>
    <col min="6161" max="6161" width="9" style="93"/>
    <col min="6162" max="6162" width="7.75" style="93" customWidth="1"/>
    <col min="6163" max="6163" width="13.125" style="93" customWidth="1"/>
    <col min="6164" max="6164" width="6.125" style="93" customWidth="1"/>
    <col min="6165" max="6165" width="9.75" style="93" customWidth="1"/>
    <col min="6166" max="6166" width="1.375" style="93" customWidth="1"/>
    <col min="6167" max="6406" width="9" style="93"/>
    <col min="6407" max="6407" width="1.375" style="93" customWidth="1"/>
    <col min="6408" max="6408" width="3.5" style="93" customWidth="1"/>
    <col min="6409" max="6409" width="22.125" style="93" customWidth="1"/>
    <col min="6410" max="6410" width="9.75" style="93" customWidth="1"/>
    <col min="6411" max="6411" width="7.375" style="93" customWidth="1"/>
    <col min="6412" max="6412" width="9" style="93"/>
    <col min="6413" max="6413" width="9.25" style="93" customWidth="1"/>
    <col min="6414" max="6414" width="3.5" style="93" customWidth="1"/>
    <col min="6415" max="6416" width="12.625" style="93" customWidth="1"/>
    <col min="6417" max="6417" width="9" style="93"/>
    <col min="6418" max="6418" width="7.75" style="93" customWidth="1"/>
    <col min="6419" max="6419" width="13.125" style="93" customWidth="1"/>
    <col min="6420" max="6420" width="6.125" style="93" customWidth="1"/>
    <col min="6421" max="6421" width="9.75" style="93" customWidth="1"/>
    <col min="6422" max="6422" width="1.375" style="93" customWidth="1"/>
    <col min="6423" max="6662" width="9" style="93"/>
    <col min="6663" max="6663" width="1.375" style="93" customWidth="1"/>
    <col min="6664" max="6664" width="3.5" style="93" customWidth="1"/>
    <col min="6665" max="6665" width="22.125" style="93" customWidth="1"/>
    <col min="6666" max="6666" width="9.75" style="93" customWidth="1"/>
    <col min="6667" max="6667" width="7.375" style="93" customWidth="1"/>
    <col min="6668" max="6668" width="9" style="93"/>
    <col min="6669" max="6669" width="9.25" style="93" customWidth="1"/>
    <col min="6670" max="6670" width="3.5" style="93" customWidth="1"/>
    <col min="6671" max="6672" width="12.625" style="93" customWidth="1"/>
    <col min="6673" max="6673" width="9" style="93"/>
    <col min="6674" max="6674" width="7.75" style="93" customWidth="1"/>
    <col min="6675" max="6675" width="13.125" style="93" customWidth="1"/>
    <col min="6676" max="6676" width="6.125" style="93" customWidth="1"/>
    <col min="6677" max="6677" width="9.75" style="93" customWidth="1"/>
    <col min="6678" max="6678" width="1.375" style="93" customWidth="1"/>
    <col min="6679" max="6918" width="9" style="93"/>
    <col min="6919" max="6919" width="1.375" style="93" customWidth="1"/>
    <col min="6920" max="6920" width="3.5" style="93" customWidth="1"/>
    <col min="6921" max="6921" width="22.125" style="93" customWidth="1"/>
    <col min="6922" max="6922" width="9.75" style="93" customWidth="1"/>
    <col min="6923" max="6923" width="7.375" style="93" customWidth="1"/>
    <col min="6924" max="6924" width="9" style="93"/>
    <col min="6925" max="6925" width="9.25" style="93" customWidth="1"/>
    <col min="6926" max="6926" width="3.5" style="93" customWidth="1"/>
    <col min="6927" max="6928" width="12.625" style="93" customWidth="1"/>
    <col min="6929" max="6929" width="9" style="93"/>
    <col min="6930" max="6930" width="7.75" style="93" customWidth="1"/>
    <col min="6931" max="6931" width="13.125" style="93" customWidth="1"/>
    <col min="6932" max="6932" width="6.125" style="93" customWidth="1"/>
    <col min="6933" max="6933" width="9.75" style="93" customWidth="1"/>
    <col min="6934" max="6934" width="1.375" style="93" customWidth="1"/>
    <col min="6935" max="7174" width="9" style="93"/>
    <col min="7175" max="7175" width="1.375" style="93" customWidth="1"/>
    <col min="7176" max="7176" width="3.5" style="93" customWidth="1"/>
    <col min="7177" max="7177" width="22.125" style="93" customWidth="1"/>
    <col min="7178" max="7178" width="9.75" style="93" customWidth="1"/>
    <col min="7179" max="7179" width="7.375" style="93" customWidth="1"/>
    <col min="7180" max="7180" width="9" style="93"/>
    <col min="7181" max="7181" width="9.25" style="93" customWidth="1"/>
    <col min="7182" max="7182" width="3.5" style="93" customWidth="1"/>
    <col min="7183" max="7184" width="12.625" style="93" customWidth="1"/>
    <col min="7185" max="7185" width="9" style="93"/>
    <col min="7186" max="7186" width="7.75" style="93" customWidth="1"/>
    <col min="7187" max="7187" width="13.125" style="93" customWidth="1"/>
    <col min="7188" max="7188" width="6.125" style="93" customWidth="1"/>
    <col min="7189" max="7189" width="9.75" style="93" customWidth="1"/>
    <col min="7190" max="7190" width="1.375" style="93" customWidth="1"/>
    <col min="7191" max="7430" width="9" style="93"/>
    <col min="7431" max="7431" width="1.375" style="93" customWidth="1"/>
    <col min="7432" max="7432" width="3.5" style="93" customWidth="1"/>
    <col min="7433" max="7433" width="22.125" style="93" customWidth="1"/>
    <col min="7434" max="7434" width="9.75" style="93" customWidth="1"/>
    <col min="7435" max="7435" width="7.375" style="93" customWidth="1"/>
    <col min="7436" max="7436" width="9" style="93"/>
    <col min="7437" max="7437" width="9.25" style="93" customWidth="1"/>
    <col min="7438" max="7438" width="3.5" style="93" customWidth="1"/>
    <col min="7439" max="7440" width="12.625" style="93" customWidth="1"/>
    <col min="7441" max="7441" width="9" style="93"/>
    <col min="7442" max="7442" width="7.75" style="93" customWidth="1"/>
    <col min="7443" max="7443" width="13.125" style="93" customWidth="1"/>
    <col min="7444" max="7444" width="6.125" style="93" customWidth="1"/>
    <col min="7445" max="7445" width="9.75" style="93" customWidth="1"/>
    <col min="7446" max="7446" width="1.375" style="93" customWidth="1"/>
    <col min="7447" max="7686" width="9" style="93"/>
    <col min="7687" max="7687" width="1.375" style="93" customWidth="1"/>
    <col min="7688" max="7688" width="3.5" style="93" customWidth="1"/>
    <col min="7689" max="7689" width="22.125" style="93" customWidth="1"/>
    <col min="7690" max="7690" width="9.75" style="93" customWidth="1"/>
    <col min="7691" max="7691" width="7.375" style="93" customWidth="1"/>
    <col min="7692" max="7692" width="9" style="93"/>
    <col min="7693" max="7693" width="9.25" style="93" customWidth="1"/>
    <col min="7694" max="7694" width="3.5" style="93" customWidth="1"/>
    <col min="7695" max="7696" width="12.625" style="93" customWidth="1"/>
    <col min="7697" max="7697" width="9" style="93"/>
    <col min="7698" max="7698" width="7.75" style="93" customWidth="1"/>
    <col min="7699" max="7699" width="13.125" style="93" customWidth="1"/>
    <col min="7700" max="7700" width="6.125" style="93" customWidth="1"/>
    <col min="7701" max="7701" width="9.75" style="93" customWidth="1"/>
    <col min="7702" max="7702" width="1.375" style="93" customWidth="1"/>
    <col min="7703" max="7942" width="9" style="93"/>
    <col min="7943" max="7943" width="1.375" style="93" customWidth="1"/>
    <col min="7944" max="7944" width="3.5" style="93" customWidth="1"/>
    <col min="7945" max="7945" width="22.125" style="93" customWidth="1"/>
    <col min="7946" max="7946" width="9.75" style="93" customWidth="1"/>
    <col min="7947" max="7947" width="7.375" style="93" customWidth="1"/>
    <col min="7948" max="7948" width="9" style="93"/>
    <col min="7949" max="7949" width="9.25" style="93" customWidth="1"/>
    <col min="7950" max="7950" width="3.5" style="93" customWidth="1"/>
    <col min="7951" max="7952" width="12.625" style="93" customWidth="1"/>
    <col min="7953" max="7953" width="9" style="93"/>
    <col min="7954" max="7954" width="7.75" style="93" customWidth="1"/>
    <col min="7955" max="7955" width="13.125" style="93" customWidth="1"/>
    <col min="7956" max="7956" width="6.125" style="93" customWidth="1"/>
    <col min="7957" max="7957" width="9.75" style="93" customWidth="1"/>
    <col min="7958" max="7958" width="1.375" style="93" customWidth="1"/>
    <col min="7959" max="8198" width="9" style="93"/>
    <col min="8199" max="8199" width="1.375" style="93" customWidth="1"/>
    <col min="8200" max="8200" width="3.5" style="93" customWidth="1"/>
    <col min="8201" max="8201" width="22.125" style="93" customWidth="1"/>
    <col min="8202" max="8202" width="9.75" style="93" customWidth="1"/>
    <col min="8203" max="8203" width="7.375" style="93" customWidth="1"/>
    <col min="8204" max="8204" width="9" style="93"/>
    <col min="8205" max="8205" width="9.25" style="93" customWidth="1"/>
    <col min="8206" max="8206" width="3.5" style="93" customWidth="1"/>
    <col min="8207" max="8208" width="12.625" style="93" customWidth="1"/>
    <col min="8209" max="8209" width="9" style="93"/>
    <col min="8210" max="8210" width="7.75" style="93" customWidth="1"/>
    <col min="8211" max="8211" width="13.125" style="93" customWidth="1"/>
    <col min="8212" max="8212" width="6.125" style="93" customWidth="1"/>
    <col min="8213" max="8213" width="9.75" style="93" customWidth="1"/>
    <col min="8214" max="8214" width="1.375" style="93" customWidth="1"/>
    <col min="8215" max="8454" width="9" style="93"/>
    <col min="8455" max="8455" width="1.375" style="93" customWidth="1"/>
    <col min="8456" max="8456" width="3.5" style="93" customWidth="1"/>
    <col min="8457" max="8457" width="22.125" style="93" customWidth="1"/>
    <col min="8458" max="8458" width="9.75" style="93" customWidth="1"/>
    <col min="8459" max="8459" width="7.375" style="93" customWidth="1"/>
    <col min="8460" max="8460" width="9" style="93"/>
    <col min="8461" max="8461" width="9.25" style="93" customWidth="1"/>
    <col min="8462" max="8462" width="3.5" style="93" customWidth="1"/>
    <col min="8463" max="8464" width="12.625" style="93" customWidth="1"/>
    <col min="8465" max="8465" width="9" style="93"/>
    <col min="8466" max="8466" width="7.75" style="93" customWidth="1"/>
    <col min="8467" max="8467" width="13.125" style="93" customWidth="1"/>
    <col min="8468" max="8468" width="6.125" style="93" customWidth="1"/>
    <col min="8469" max="8469" width="9.75" style="93" customWidth="1"/>
    <col min="8470" max="8470" width="1.375" style="93" customWidth="1"/>
    <col min="8471" max="8710" width="9" style="93"/>
    <col min="8711" max="8711" width="1.375" style="93" customWidth="1"/>
    <col min="8712" max="8712" width="3.5" style="93" customWidth="1"/>
    <col min="8713" max="8713" width="22.125" style="93" customWidth="1"/>
    <col min="8714" max="8714" width="9.75" style="93" customWidth="1"/>
    <col min="8715" max="8715" width="7.375" style="93" customWidth="1"/>
    <col min="8716" max="8716" width="9" style="93"/>
    <col min="8717" max="8717" width="9.25" style="93" customWidth="1"/>
    <col min="8718" max="8718" width="3.5" style="93" customWidth="1"/>
    <col min="8719" max="8720" width="12.625" style="93" customWidth="1"/>
    <col min="8721" max="8721" width="9" style="93"/>
    <col min="8722" max="8722" width="7.75" style="93" customWidth="1"/>
    <col min="8723" max="8723" width="13.125" style="93" customWidth="1"/>
    <col min="8724" max="8724" width="6.125" style="93" customWidth="1"/>
    <col min="8725" max="8725" width="9.75" style="93" customWidth="1"/>
    <col min="8726" max="8726" width="1.375" style="93" customWidth="1"/>
    <col min="8727" max="8966" width="9" style="93"/>
    <col min="8967" max="8967" width="1.375" style="93" customWidth="1"/>
    <col min="8968" max="8968" width="3.5" style="93" customWidth="1"/>
    <col min="8969" max="8969" width="22.125" style="93" customWidth="1"/>
    <col min="8970" max="8970" width="9.75" style="93" customWidth="1"/>
    <col min="8971" max="8971" width="7.375" style="93" customWidth="1"/>
    <col min="8972" max="8972" width="9" style="93"/>
    <col min="8973" max="8973" width="9.25" style="93" customWidth="1"/>
    <col min="8974" max="8974" width="3.5" style="93" customWidth="1"/>
    <col min="8975" max="8976" width="12.625" style="93" customWidth="1"/>
    <col min="8977" max="8977" width="9" style="93"/>
    <col min="8978" max="8978" width="7.75" style="93" customWidth="1"/>
    <col min="8979" max="8979" width="13.125" style="93" customWidth="1"/>
    <col min="8980" max="8980" width="6.125" style="93" customWidth="1"/>
    <col min="8981" max="8981" width="9.75" style="93" customWidth="1"/>
    <col min="8982" max="8982" width="1.375" style="93" customWidth="1"/>
    <col min="8983" max="9222" width="9" style="93"/>
    <col min="9223" max="9223" width="1.375" style="93" customWidth="1"/>
    <col min="9224" max="9224" width="3.5" style="93" customWidth="1"/>
    <col min="9225" max="9225" width="22.125" style="93" customWidth="1"/>
    <col min="9226" max="9226" width="9.75" style="93" customWidth="1"/>
    <col min="9227" max="9227" width="7.375" style="93" customWidth="1"/>
    <col min="9228" max="9228" width="9" style="93"/>
    <col min="9229" max="9229" width="9.25" style="93" customWidth="1"/>
    <col min="9230" max="9230" width="3.5" style="93" customWidth="1"/>
    <col min="9231" max="9232" width="12.625" style="93" customWidth="1"/>
    <col min="9233" max="9233" width="9" style="93"/>
    <col min="9234" max="9234" width="7.75" style="93" customWidth="1"/>
    <col min="9235" max="9235" width="13.125" style="93" customWidth="1"/>
    <col min="9236" max="9236" width="6.125" style="93" customWidth="1"/>
    <col min="9237" max="9237" width="9.75" style="93" customWidth="1"/>
    <col min="9238" max="9238" width="1.375" style="93" customWidth="1"/>
    <col min="9239" max="9478" width="9" style="93"/>
    <col min="9479" max="9479" width="1.375" style="93" customWidth="1"/>
    <col min="9480" max="9480" width="3.5" style="93" customWidth="1"/>
    <col min="9481" max="9481" width="22.125" style="93" customWidth="1"/>
    <col min="9482" max="9482" width="9.75" style="93" customWidth="1"/>
    <col min="9483" max="9483" width="7.375" style="93" customWidth="1"/>
    <col min="9484" max="9484" width="9" style="93"/>
    <col min="9485" max="9485" width="9.25" style="93" customWidth="1"/>
    <col min="9486" max="9486" width="3.5" style="93" customWidth="1"/>
    <col min="9487" max="9488" width="12.625" style="93" customWidth="1"/>
    <col min="9489" max="9489" width="9" style="93"/>
    <col min="9490" max="9490" width="7.75" style="93" customWidth="1"/>
    <col min="9491" max="9491" width="13.125" style="93" customWidth="1"/>
    <col min="9492" max="9492" width="6.125" style="93" customWidth="1"/>
    <col min="9493" max="9493" width="9.75" style="93" customWidth="1"/>
    <col min="9494" max="9494" width="1.375" style="93" customWidth="1"/>
    <col min="9495" max="9734" width="9" style="93"/>
    <col min="9735" max="9735" width="1.375" style="93" customWidth="1"/>
    <col min="9736" max="9736" width="3.5" style="93" customWidth="1"/>
    <col min="9737" max="9737" width="22.125" style="93" customWidth="1"/>
    <col min="9738" max="9738" width="9.75" style="93" customWidth="1"/>
    <col min="9739" max="9739" width="7.375" style="93" customWidth="1"/>
    <col min="9740" max="9740" width="9" style="93"/>
    <col min="9741" max="9741" width="9.25" style="93" customWidth="1"/>
    <col min="9742" max="9742" width="3.5" style="93" customWidth="1"/>
    <col min="9743" max="9744" width="12.625" style="93" customWidth="1"/>
    <col min="9745" max="9745" width="9" style="93"/>
    <col min="9746" max="9746" width="7.75" style="93" customWidth="1"/>
    <col min="9747" max="9747" width="13.125" style="93" customWidth="1"/>
    <col min="9748" max="9748" width="6.125" style="93" customWidth="1"/>
    <col min="9749" max="9749" width="9.75" style="93" customWidth="1"/>
    <col min="9750" max="9750" width="1.375" style="93" customWidth="1"/>
    <col min="9751" max="9990" width="9" style="93"/>
    <col min="9991" max="9991" width="1.375" style="93" customWidth="1"/>
    <col min="9992" max="9992" width="3.5" style="93" customWidth="1"/>
    <col min="9993" max="9993" width="22.125" style="93" customWidth="1"/>
    <col min="9994" max="9994" width="9.75" style="93" customWidth="1"/>
    <col min="9995" max="9995" width="7.375" style="93" customWidth="1"/>
    <col min="9996" max="9996" width="9" style="93"/>
    <col min="9997" max="9997" width="9.25" style="93" customWidth="1"/>
    <col min="9998" max="9998" width="3.5" style="93" customWidth="1"/>
    <col min="9999" max="10000" width="12.625" style="93" customWidth="1"/>
    <col min="10001" max="10001" width="9" style="93"/>
    <col min="10002" max="10002" width="7.75" style="93" customWidth="1"/>
    <col min="10003" max="10003" width="13.125" style="93" customWidth="1"/>
    <col min="10004" max="10004" width="6.125" style="93" customWidth="1"/>
    <col min="10005" max="10005" width="9.75" style="93" customWidth="1"/>
    <col min="10006" max="10006" width="1.375" style="93" customWidth="1"/>
    <col min="10007" max="10246" width="9" style="93"/>
    <col min="10247" max="10247" width="1.375" style="93" customWidth="1"/>
    <col min="10248" max="10248" width="3.5" style="93" customWidth="1"/>
    <col min="10249" max="10249" width="22.125" style="93" customWidth="1"/>
    <col min="10250" max="10250" width="9.75" style="93" customWidth="1"/>
    <col min="10251" max="10251" width="7.375" style="93" customWidth="1"/>
    <col min="10252" max="10252" width="9" style="93"/>
    <col min="10253" max="10253" width="9.25" style="93" customWidth="1"/>
    <col min="10254" max="10254" width="3.5" style="93" customWidth="1"/>
    <col min="10255" max="10256" width="12.625" style="93" customWidth="1"/>
    <col min="10257" max="10257" width="9" style="93"/>
    <col min="10258" max="10258" width="7.75" style="93" customWidth="1"/>
    <col min="10259" max="10259" width="13.125" style="93" customWidth="1"/>
    <col min="10260" max="10260" width="6.125" style="93" customWidth="1"/>
    <col min="10261" max="10261" width="9.75" style="93" customWidth="1"/>
    <col min="10262" max="10262" width="1.375" style="93" customWidth="1"/>
    <col min="10263" max="10502" width="9" style="93"/>
    <col min="10503" max="10503" width="1.375" style="93" customWidth="1"/>
    <col min="10504" max="10504" width="3.5" style="93" customWidth="1"/>
    <col min="10505" max="10505" width="22.125" style="93" customWidth="1"/>
    <col min="10506" max="10506" width="9.75" style="93" customWidth="1"/>
    <col min="10507" max="10507" width="7.375" style="93" customWidth="1"/>
    <col min="10508" max="10508" width="9" style="93"/>
    <col min="10509" max="10509" width="9.25" style="93" customWidth="1"/>
    <col min="10510" max="10510" width="3.5" style="93" customWidth="1"/>
    <col min="10511" max="10512" width="12.625" style="93" customWidth="1"/>
    <col min="10513" max="10513" width="9" style="93"/>
    <col min="10514" max="10514" width="7.75" style="93" customWidth="1"/>
    <col min="10515" max="10515" width="13.125" style="93" customWidth="1"/>
    <col min="10516" max="10516" width="6.125" style="93" customWidth="1"/>
    <col min="10517" max="10517" width="9.75" style="93" customWidth="1"/>
    <col min="10518" max="10518" width="1.375" style="93" customWidth="1"/>
    <col min="10519" max="10758" width="9" style="93"/>
    <col min="10759" max="10759" width="1.375" style="93" customWidth="1"/>
    <col min="10760" max="10760" width="3.5" style="93" customWidth="1"/>
    <col min="10761" max="10761" width="22.125" style="93" customWidth="1"/>
    <col min="10762" max="10762" width="9.75" style="93" customWidth="1"/>
    <col min="10763" max="10763" width="7.375" style="93" customWidth="1"/>
    <col min="10764" max="10764" width="9" style="93"/>
    <col min="10765" max="10765" width="9.25" style="93" customWidth="1"/>
    <col min="10766" max="10766" width="3.5" style="93" customWidth="1"/>
    <col min="10767" max="10768" width="12.625" style="93" customWidth="1"/>
    <col min="10769" max="10769" width="9" style="93"/>
    <col min="10770" max="10770" width="7.75" style="93" customWidth="1"/>
    <col min="10771" max="10771" width="13.125" style="93" customWidth="1"/>
    <col min="10772" max="10772" width="6.125" style="93" customWidth="1"/>
    <col min="10773" max="10773" width="9.75" style="93" customWidth="1"/>
    <col min="10774" max="10774" width="1.375" style="93" customWidth="1"/>
    <col min="10775" max="11014" width="9" style="93"/>
    <col min="11015" max="11015" width="1.375" style="93" customWidth="1"/>
    <col min="11016" max="11016" width="3.5" style="93" customWidth="1"/>
    <col min="11017" max="11017" width="22.125" style="93" customWidth="1"/>
    <col min="11018" max="11018" width="9.75" style="93" customWidth="1"/>
    <col min="11019" max="11019" width="7.375" style="93" customWidth="1"/>
    <col min="11020" max="11020" width="9" style="93"/>
    <col min="11021" max="11021" width="9.25" style="93" customWidth="1"/>
    <col min="11022" max="11022" width="3.5" style="93" customWidth="1"/>
    <col min="11023" max="11024" width="12.625" style="93" customWidth="1"/>
    <col min="11025" max="11025" width="9" style="93"/>
    <col min="11026" max="11026" width="7.75" style="93" customWidth="1"/>
    <col min="11027" max="11027" width="13.125" style="93" customWidth="1"/>
    <col min="11028" max="11028" width="6.125" style="93" customWidth="1"/>
    <col min="11029" max="11029" width="9.75" style="93" customWidth="1"/>
    <col min="11030" max="11030" width="1.375" style="93" customWidth="1"/>
    <col min="11031" max="11270" width="9" style="93"/>
    <col min="11271" max="11271" width="1.375" style="93" customWidth="1"/>
    <col min="11272" max="11272" width="3.5" style="93" customWidth="1"/>
    <col min="11273" max="11273" width="22.125" style="93" customWidth="1"/>
    <col min="11274" max="11274" width="9.75" style="93" customWidth="1"/>
    <col min="11275" max="11275" width="7.375" style="93" customWidth="1"/>
    <col min="11276" max="11276" width="9" style="93"/>
    <col min="11277" max="11277" width="9.25" style="93" customWidth="1"/>
    <col min="11278" max="11278" width="3.5" style="93" customWidth="1"/>
    <col min="11279" max="11280" width="12.625" style="93" customWidth="1"/>
    <col min="11281" max="11281" width="9" style="93"/>
    <col min="11282" max="11282" width="7.75" style="93" customWidth="1"/>
    <col min="11283" max="11283" width="13.125" style="93" customWidth="1"/>
    <col min="11284" max="11284" width="6.125" style="93" customWidth="1"/>
    <col min="11285" max="11285" width="9.75" style="93" customWidth="1"/>
    <col min="11286" max="11286" width="1.375" style="93" customWidth="1"/>
    <col min="11287" max="11526" width="9" style="93"/>
    <col min="11527" max="11527" width="1.375" style="93" customWidth="1"/>
    <col min="11528" max="11528" width="3.5" style="93" customWidth="1"/>
    <col min="11529" max="11529" width="22.125" style="93" customWidth="1"/>
    <col min="11530" max="11530" width="9.75" style="93" customWidth="1"/>
    <col min="11531" max="11531" width="7.375" style="93" customWidth="1"/>
    <col min="11532" max="11532" width="9" style="93"/>
    <col min="11533" max="11533" width="9.25" style="93" customWidth="1"/>
    <col min="11534" max="11534" width="3.5" style="93" customWidth="1"/>
    <col min="11535" max="11536" width="12.625" style="93" customWidth="1"/>
    <col min="11537" max="11537" width="9" style="93"/>
    <col min="11538" max="11538" width="7.75" style="93" customWidth="1"/>
    <col min="11539" max="11539" width="13.125" style="93" customWidth="1"/>
    <col min="11540" max="11540" width="6.125" style="93" customWidth="1"/>
    <col min="11541" max="11541" width="9.75" style="93" customWidth="1"/>
    <col min="11542" max="11542" width="1.375" style="93" customWidth="1"/>
    <col min="11543" max="11782" width="9" style="93"/>
    <col min="11783" max="11783" width="1.375" style="93" customWidth="1"/>
    <col min="11784" max="11784" width="3.5" style="93" customWidth="1"/>
    <col min="11785" max="11785" width="22.125" style="93" customWidth="1"/>
    <col min="11786" max="11786" width="9.75" style="93" customWidth="1"/>
    <col min="11787" max="11787" width="7.375" style="93" customWidth="1"/>
    <col min="11788" max="11788" width="9" style="93"/>
    <col min="11789" max="11789" width="9.25" style="93" customWidth="1"/>
    <col min="11790" max="11790" width="3.5" style="93" customWidth="1"/>
    <col min="11791" max="11792" width="12.625" style="93" customWidth="1"/>
    <col min="11793" max="11793" width="9" style="93"/>
    <col min="11794" max="11794" width="7.75" style="93" customWidth="1"/>
    <col min="11795" max="11795" width="13.125" style="93" customWidth="1"/>
    <col min="11796" max="11796" width="6.125" style="93" customWidth="1"/>
    <col min="11797" max="11797" width="9.75" style="93" customWidth="1"/>
    <col min="11798" max="11798" width="1.375" style="93" customWidth="1"/>
    <col min="11799" max="12038" width="9" style="93"/>
    <col min="12039" max="12039" width="1.375" style="93" customWidth="1"/>
    <col min="12040" max="12040" width="3.5" style="93" customWidth="1"/>
    <col min="12041" max="12041" width="22.125" style="93" customWidth="1"/>
    <col min="12042" max="12042" width="9.75" style="93" customWidth="1"/>
    <col min="12043" max="12043" width="7.375" style="93" customWidth="1"/>
    <col min="12044" max="12044" width="9" style="93"/>
    <col min="12045" max="12045" width="9.25" style="93" customWidth="1"/>
    <col min="12046" max="12046" width="3.5" style="93" customWidth="1"/>
    <col min="12047" max="12048" width="12.625" style="93" customWidth="1"/>
    <col min="12049" max="12049" width="9" style="93"/>
    <col min="12050" max="12050" width="7.75" style="93" customWidth="1"/>
    <col min="12051" max="12051" width="13.125" style="93" customWidth="1"/>
    <col min="12052" max="12052" width="6.125" style="93" customWidth="1"/>
    <col min="12053" max="12053" width="9.75" style="93" customWidth="1"/>
    <col min="12054" max="12054" width="1.375" style="93" customWidth="1"/>
    <col min="12055" max="12294" width="9" style="93"/>
    <col min="12295" max="12295" width="1.375" style="93" customWidth="1"/>
    <col min="12296" max="12296" width="3.5" style="93" customWidth="1"/>
    <col min="12297" max="12297" width="22.125" style="93" customWidth="1"/>
    <col min="12298" max="12298" width="9.75" style="93" customWidth="1"/>
    <col min="12299" max="12299" width="7.375" style="93" customWidth="1"/>
    <col min="12300" max="12300" width="9" style="93"/>
    <col min="12301" max="12301" width="9.25" style="93" customWidth="1"/>
    <col min="12302" max="12302" width="3.5" style="93" customWidth="1"/>
    <col min="12303" max="12304" width="12.625" style="93" customWidth="1"/>
    <col min="12305" max="12305" width="9" style="93"/>
    <col min="12306" max="12306" width="7.75" style="93" customWidth="1"/>
    <col min="12307" max="12307" width="13.125" style="93" customWidth="1"/>
    <col min="12308" max="12308" width="6.125" style="93" customWidth="1"/>
    <col min="12309" max="12309" width="9.75" style="93" customWidth="1"/>
    <col min="12310" max="12310" width="1.375" style="93" customWidth="1"/>
    <col min="12311" max="12550" width="9" style="93"/>
    <col min="12551" max="12551" width="1.375" style="93" customWidth="1"/>
    <col min="12552" max="12552" width="3.5" style="93" customWidth="1"/>
    <col min="12553" max="12553" width="22.125" style="93" customWidth="1"/>
    <col min="12554" max="12554" width="9.75" style="93" customWidth="1"/>
    <col min="12555" max="12555" width="7.375" style="93" customWidth="1"/>
    <col min="12556" max="12556" width="9" style="93"/>
    <col min="12557" max="12557" width="9.25" style="93" customWidth="1"/>
    <col min="12558" max="12558" width="3.5" style="93" customWidth="1"/>
    <col min="12559" max="12560" width="12.625" style="93" customWidth="1"/>
    <col min="12561" max="12561" width="9" style="93"/>
    <col min="12562" max="12562" width="7.75" style="93" customWidth="1"/>
    <col min="12563" max="12563" width="13.125" style="93" customWidth="1"/>
    <col min="12564" max="12564" width="6.125" style="93" customWidth="1"/>
    <col min="12565" max="12565" width="9.75" style="93" customWidth="1"/>
    <col min="12566" max="12566" width="1.375" style="93" customWidth="1"/>
    <col min="12567" max="12806" width="9" style="93"/>
    <col min="12807" max="12807" width="1.375" style="93" customWidth="1"/>
    <col min="12808" max="12808" width="3.5" style="93" customWidth="1"/>
    <col min="12809" max="12809" width="22.125" style="93" customWidth="1"/>
    <col min="12810" max="12810" width="9.75" style="93" customWidth="1"/>
    <col min="12811" max="12811" width="7.375" style="93" customWidth="1"/>
    <col min="12812" max="12812" width="9" style="93"/>
    <col min="12813" max="12813" width="9.25" style="93" customWidth="1"/>
    <col min="12814" max="12814" width="3.5" style="93" customWidth="1"/>
    <col min="12815" max="12816" width="12.625" style="93" customWidth="1"/>
    <col min="12817" max="12817" width="9" style="93"/>
    <col min="12818" max="12818" width="7.75" style="93" customWidth="1"/>
    <col min="12819" max="12819" width="13.125" style="93" customWidth="1"/>
    <col min="12820" max="12820" width="6.125" style="93" customWidth="1"/>
    <col min="12821" max="12821" width="9.75" style="93" customWidth="1"/>
    <col min="12822" max="12822" width="1.375" style="93" customWidth="1"/>
    <col min="12823" max="13062" width="9" style="93"/>
    <col min="13063" max="13063" width="1.375" style="93" customWidth="1"/>
    <col min="13064" max="13064" width="3.5" style="93" customWidth="1"/>
    <col min="13065" max="13065" width="22.125" style="93" customWidth="1"/>
    <col min="13066" max="13066" width="9.75" style="93" customWidth="1"/>
    <col min="13067" max="13067" width="7.375" style="93" customWidth="1"/>
    <col min="13068" max="13068" width="9" style="93"/>
    <col min="13069" max="13069" width="9.25" style="93" customWidth="1"/>
    <col min="13070" max="13070" width="3.5" style="93" customWidth="1"/>
    <col min="13071" max="13072" width="12.625" style="93" customWidth="1"/>
    <col min="13073" max="13073" width="9" style="93"/>
    <col min="13074" max="13074" width="7.75" style="93" customWidth="1"/>
    <col min="13075" max="13075" width="13.125" style="93" customWidth="1"/>
    <col min="13076" max="13076" width="6.125" style="93" customWidth="1"/>
    <col min="13077" max="13077" width="9.75" style="93" customWidth="1"/>
    <col min="13078" max="13078" width="1.375" style="93" customWidth="1"/>
    <col min="13079" max="13318" width="9" style="93"/>
    <col min="13319" max="13319" width="1.375" style="93" customWidth="1"/>
    <col min="13320" max="13320" width="3.5" style="93" customWidth="1"/>
    <col min="13321" max="13321" width="22.125" style="93" customWidth="1"/>
    <col min="13322" max="13322" width="9.75" style="93" customWidth="1"/>
    <col min="13323" max="13323" width="7.375" style="93" customWidth="1"/>
    <col min="13324" max="13324" width="9" style="93"/>
    <col min="13325" max="13325" width="9.25" style="93" customWidth="1"/>
    <col min="13326" max="13326" width="3.5" style="93" customWidth="1"/>
    <col min="13327" max="13328" width="12.625" style="93" customWidth="1"/>
    <col min="13329" max="13329" width="9" style="93"/>
    <col min="13330" max="13330" width="7.75" style="93" customWidth="1"/>
    <col min="13331" max="13331" width="13.125" style="93" customWidth="1"/>
    <col min="13332" max="13332" width="6.125" style="93" customWidth="1"/>
    <col min="13333" max="13333" width="9.75" style="93" customWidth="1"/>
    <col min="13334" max="13334" width="1.375" style="93" customWidth="1"/>
    <col min="13335" max="13574" width="9" style="93"/>
    <col min="13575" max="13575" width="1.375" style="93" customWidth="1"/>
    <col min="13576" max="13576" width="3.5" style="93" customWidth="1"/>
    <col min="13577" max="13577" width="22.125" style="93" customWidth="1"/>
    <col min="13578" max="13578" width="9.75" style="93" customWidth="1"/>
    <col min="13579" max="13579" width="7.375" style="93" customWidth="1"/>
    <col min="13580" max="13580" width="9" style="93"/>
    <col min="13581" max="13581" width="9.25" style="93" customWidth="1"/>
    <col min="13582" max="13582" width="3.5" style="93" customWidth="1"/>
    <col min="13583" max="13584" width="12.625" style="93" customWidth="1"/>
    <col min="13585" max="13585" width="9" style="93"/>
    <col min="13586" max="13586" width="7.75" style="93" customWidth="1"/>
    <col min="13587" max="13587" width="13.125" style="93" customWidth="1"/>
    <col min="13588" max="13588" width="6.125" style="93" customWidth="1"/>
    <col min="13589" max="13589" width="9.75" style="93" customWidth="1"/>
    <col min="13590" max="13590" width="1.375" style="93" customWidth="1"/>
    <col min="13591" max="13830" width="9" style="93"/>
    <col min="13831" max="13831" width="1.375" style="93" customWidth="1"/>
    <col min="13832" max="13832" width="3.5" style="93" customWidth="1"/>
    <col min="13833" max="13833" width="22.125" style="93" customWidth="1"/>
    <col min="13834" max="13834" width="9.75" style="93" customWidth="1"/>
    <col min="13835" max="13835" width="7.375" style="93" customWidth="1"/>
    <col min="13836" max="13836" width="9" style="93"/>
    <col min="13837" max="13837" width="9.25" style="93" customWidth="1"/>
    <col min="13838" max="13838" width="3.5" style="93" customWidth="1"/>
    <col min="13839" max="13840" width="12.625" style="93" customWidth="1"/>
    <col min="13841" max="13841" width="9" style="93"/>
    <col min="13842" max="13842" width="7.75" style="93" customWidth="1"/>
    <col min="13843" max="13843" width="13.125" style="93" customWidth="1"/>
    <col min="13844" max="13844" width="6.125" style="93" customWidth="1"/>
    <col min="13845" max="13845" width="9.75" style="93" customWidth="1"/>
    <col min="13846" max="13846" width="1.375" style="93" customWidth="1"/>
    <col min="13847" max="14086" width="9" style="93"/>
    <col min="14087" max="14087" width="1.375" style="93" customWidth="1"/>
    <col min="14088" max="14088" width="3.5" style="93" customWidth="1"/>
    <col min="14089" max="14089" width="22.125" style="93" customWidth="1"/>
    <col min="14090" max="14090" width="9.75" style="93" customWidth="1"/>
    <col min="14091" max="14091" width="7.375" style="93" customWidth="1"/>
    <col min="14092" max="14092" width="9" style="93"/>
    <col min="14093" max="14093" width="9.25" style="93" customWidth="1"/>
    <col min="14094" max="14094" width="3.5" style="93" customWidth="1"/>
    <col min="14095" max="14096" width="12.625" style="93" customWidth="1"/>
    <col min="14097" max="14097" width="9" style="93"/>
    <col min="14098" max="14098" width="7.75" style="93" customWidth="1"/>
    <col min="14099" max="14099" width="13.125" style="93" customWidth="1"/>
    <col min="14100" max="14100" width="6.125" style="93" customWidth="1"/>
    <col min="14101" max="14101" width="9.75" style="93" customWidth="1"/>
    <col min="14102" max="14102" width="1.375" style="93" customWidth="1"/>
    <col min="14103" max="14342" width="9" style="93"/>
    <col min="14343" max="14343" width="1.375" style="93" customWidth="1"/>
    <col min="14344" max="14344" width="3.5" style="93" customWidth="1"/>
    <col min="14345" max="14345" width="22.125" style="93" customWidth="1"/>
    <col min="14346" max="14346" width="9.75" style="93" customWidth="1"/>
    <col min="14347" max="14347" width="7.375" style="93" customWidth="1"/>
    <col min="14348" max="14348" width="9" style="93"/>
    <col min="14349" max="14349" width="9.25" style="93" customWidth="1"/>
    <col min="14350" max="14350" width="3.5" style="93" customWidth="1"/>
    <col min="14351" max="14352" width="12.625" style="93" customWidth="1"/>
    <col min="14353" max="14353" width="9" style="93"/>
    <col min="14354" max="14354" width="7.75" style="93" customWidth="1"/>
    <col min="14355" max="14355" width="13.125" style="93" customWidth="1"/>
    <col min="14356" max="14356" width="6.125" style="93" customWidth="1"/>
    <col min="14357" max="14357" width="9.75" style="93" customWidth="1"/>
    <col min="14358" max="14358" width="1.375" style="93" customWidth="1"/>
    <col min="14359" max="14598" width="9" style="93"/>
    <col min="14599" max="14599" width="1.375" style="93" customWidth="1"/>
    <col min="14600" max="14600" width="3.5" style="93" customWidth="1"/>
    <col min="14601" max="14601" width="22.125" style="93" customWidth="1"/>
    <col min="14602" max="14602" width="9.75" style="93" customWidth="1"/>
    <col min="14603" max="14603" width="7.375" style="93" customWidth="1"/>
    <col min="14604" max="14604" width="9" style="93"/>
    <col min="14605" max="14605" width="9.25" style="93" customWidth="1"/>
    <col min="14606" max="14606" width="3.5" style="93" customWidth="1"/>
    <col min="14607" max="14608" width="12.625" style="93" customWidth="1"/>
    <col min="14609" max="14609" width="9" style="93"/>
    <col min="14610" max="14610" width="7.75" style="93" customWidth="1"/>
    <col min="14611" max="14611" width="13.125" style="93" customWidth="1"/>
    <col min="14612" max="14612" width="6.125" style="93" customWidth="1"/>
    <col min="14613" max="14613" width="9.75" style="93" customWidth="1"/>
    <col min="14614" max="14614" width="1.375" style="93" customWidth="1"/>
    <col min="14615" max="14854" width="9" style="93"/>
    <col min="14855" max="14855" width="1.375" style="93" customWidth="1"/>
    <col min="14856" max="14856" width="3.5" style="93" customWidth="1"/>
    <col min="14857" max="14857" width="22.125" style="93" customWidth="1"/>
    <col min="14858" max="14858" width="9.75" style="93" customWidth="1"/>
    <col min="14859" max="14859" width="7.375" style="93" customWidth="1"/>
    <col min="14860" max="14860" width="9" style="93"/>
    <col min="14861" max="14861" width="9.25" style="93" customWidth="1"/>
    <col min="14862" max="14862" width="3.5" style="93" customWidth="1"/>
    <col min="14863" max="14864" width="12.625" style="93" customWidth="1"/>
    <col min="14865" max="14865" width="9" style="93"/>
    <col min="14866" max="14866" width="7.75" style="93" customWidth="1"/>
    <col min="14867" max="14867" width="13.125" style="93" customWidth="1"/>
    <col min="14868" max="14868" width="6.125" style="93" customWidth="1"/>
    <col min="14869" max="14869" width="9.75" style="93" customWidth="1"/>
    <col min="14870" max="14870" width="1.375" style="93" customWidth="1"/>
    <col min="14871" max="15110" width="9" style="93"/>
    <col min="15111" max="15111" width="1.375" style="93" customWidth="1"/>
    <col min="15112" max="15112" width="3.5" style="93" customWidth="1"/>
    <col min="15113" max="15113" width="22.125" style="93" customWidth="1"/>
    <col min="15114" max="15114" width="9.75" style="93" customWidth="1"/>
    <col min="15115" max="15115" width="7.375" style="93" customWidth="1"/>
    <col min="15116" max="15116" width="9" style="93"/>
    <col min="15117" max="15117" width="9.25" style="93" customWidth="1"/>
    <col min="15118" max="15118" width="3.5" style="93" customWidth="1"/>
    <col min="15119" max="15120" width="12.625" style="93" customWidth="1"/>
    <col min="15121" max="15121" width="9" style="93"/>
    <col min="15122" max="15122" width="7.75" style="93" customWidth="1"/>
    <col min="15123" max="15123" width="13.125" style="93" customWidth="1"/>
    <col min="15124" max="15124" width="6.125" style="93" customWidth="1"/>
    <col min="15125" max="15125" width="9.75" style="93" customWidth="1"/>
    <col min="15126" max="15126" width="1.375" style="93" customWidth="1"/>
    <col min="15127" max="15366" width="9" style="93"/>
    <col min="15367" max="15367" width="1.375" style="93" customWidth="1"/>
    <col min="15368" max="15368" width="3.5" style="93" customWidth="1"/>
    <col min="15369" max="15369" width="22.125" style="93" customWidth="1"/>
    <col min="15370" max="15370" width="9.75" style="93" customWidth="1"/>
    <col min="15371" max="15371" width="7.375" style="93" customWidth="1"/>
    <col min="15372" max="15372" width="9" style="93"/>
    <col min="15373" max="15373" width="9.25" style="93" customWidth="1"/>
    <col min="15374" max="15374" width="3.5" style="93" customWidth="1"/>
    <col min="15375" max="15376" width="12.625" style="93" customWidth="1"/>
    <col min="15377" max="15377" width="9" style="93"/>
    <col min="15378" max="15378" width="7.75" style="93" customWidth="1"/>
    <col min="15379" max="15379" width="13.125" style="93" customWidth="1"/>
    <col min="15380" max="15380" width="6.125" style="93" customWidth="1"/>
    <col min="15381" max="15381" width="9.75" style="93" customWidth="1"/>
    <col min="15382" max="15382" width="1.375" style="93" customWidth="1"/>
    <col min="15383" max="15622" width="9" style="93"/>
    <col min="15623" max="15623" width="1.375" style="93" customWidth="1"/>
    <col min="15624" max="15624" width="3.5" style="93" customWidth="1"/>
    <col min="15625" max="15625" width="22.125" style="93" customWidth="1"/>
    <col min="15626" max="15626" width="9.75" style="93" customWidth="1"/>
    <col min="15627" max="15627" width="7.375" style="93" customWidth="1"/>
    <col min="15628" max="15628" width="9" style="93"/>
    <col min="15629" max="15629" width="9.25" style="93" customWidth="1"/>
    <col min="15630" max="15630" width="3.5" style="93" customWidth="1"/>
    <col min="15631" max="15632" width="12.625" style="93" customWidth="1"/>
    <col min="15633" max="15633" width="9" style="93"/>
    <col min="15634" max="15634" width="7.75" style="93" customWidth="1"/>
    <col min="15635" max="15635" width="13.125" style="93" customWidth="1"/>
    <col min="15636" max="15636" width="6.125" style="93" customWidth="1"/>
    <col min="15637" max="15637" width="9.75" style="93" customWidth="1"/>
    <col min="15638" max="15638" width="1.375" style="93" customWidth="1"/>
    <col min="15639" max="15878" width="9" style="93"/>
    <col min="15879" max="15879" width="1.375" style="93" customWidth="1"/>
    <col min="15880" max="15880" width="3.5" style="93" customWidth="1"/>
    <col min="15881" max="15881" width="22.125" style="93" customWidth="1"/>
    <col min="15882" max="15882" width="9.75" style="93" customWidth="1"/>
    <col min="15883" max="15883" width="7.375" style="93" customWidth="1"/>
    <col min="15884" max="15884" width="9" style="93"/>
    <col min="15885" max="15885" width="9.25" style="93" customWidth="1"/>
    <col min="15886" max="15886" width="3.5" style="93" customWidth="1"/>
    <col min="15887" max="15888" width="12.625" style="93" customWidth="1"/>
    <col min="15889" max="15889" width="9" style="93"/>
    <col min="15890" max="15890" width="7.75" style="93" customWidth="1"/>
    <col min="15891" max="15891" width="13.125" style="93" customWidth="1"/>
    <col min="15892" max="15892" width="6.125" style="93" customWidth="1"/>
    <col min="15893" max="15893" width="9.75" style="93" customWidth="1"/>
    <col min="15894" max="15894" width="1.375" style="93" customWidth="1"/>
    <col min="15895" max="16134" width="9" style="93"/>
    <col min="16135" max="16135" width="1.375" style="93" customWidth="1"/>
    <col min="16136" max="16136" width="3.5" style="93" customWidth="1"/>
    <col min="16137" max="16137" width="22.125" style="93" customWidth="1"/>
    <col min="16138" max="16138" width="9.75" style="93" customWidth="1"/>
    <col min="16139" max="16139" width="7.375" style="93" customWidth="1"/>
    <col min="16140" max="16140" width="9" style="93"/>
    <col min="16141" max="16141" width="9.25" style="93" customWidth="1"/>
    <col min="16142" max="16142" width="3.5" style="93" customWidth="1"/>
    <col min="16143" max="16144" width="12.625" style="93" customWidth="1"/>
    <col min="16145" max="16145" width="9" style="93"/>
    <col min="16146" max="16146" width="7.75" style="93" customWidth="1"/>
    <col min="16147" max="16147" width="13.125" style="93" customWidth="1"/>
    <col min="16148" max="16148" width="6.125" style="93" customWidth="1"/>
    <col min="16149" max="16149" width="9.75" style="93" customWidth="1"/>
    <col min="16150" max="16150" width="1.375" style="93" customWidth="1"/>
    <col min="16151" max="16384" width="9" style="93"/>
  </cols>
  <sheetData>
    <row r="1" spans="2:26" ht="9.9499999999999993" customHeight="1" x14ac:dyDescent="0.15"/>
    <row r="2" spans="2:26" ht="24.95" customHeight="1" x14ac:dyDescent="0.15">
      <c r="B2" s="1" t="s">
        <v>758</v>
      </c>
      <c r="C2" s="95"/>
      <c r="D2" s="13"/>
      <c r="E2" s="13"/>
      <c r="F2" s="95"/>
      <c r="G2" s="162"/>
      <c r="H2" s="172"/>
      <c r="I2" s="162"/>
      <c r="J2" s="162"/>
      <c r="K2" s="162"/>
      <c r="L2" s="162"/>
      <c r="M2" s="162"/>
      <c r="N2" s="162"/>
      <c r="O2" s="13"/>
    </row>
    <row r="3" spans="2:26" ht="15" customHeight="1" thickBot="1" x14ac:dyDescent="0.2">
      <c r="B3" s="93" t="s">
        <v>223</v>
      </c>
      <c r="I3" s="13" t="s">
        <v>224</v>
      </c>
      <c r="P3" s="93" t="s">
        <v>249</v>
      </c>
    </row>
    <row r="4" spans="2:26" ht="15" customHeight="1" x14ac:dyDescent="0.15">
      <c r="B4" s="337" t="s">
        <v>74</v>
      </c>
      <c r="C4" s="211" t="s">
        <v>176</v>
      </c>
      <c r="D4" s="211" t="s">
        <v>134</v>
      </c>
      <c r="E4" s="211" t="s">
        <v>135</v>
      </c>
      <c r="F4" s="211" t="s">
        <v>23</v>
      </c>
      <c r="G4" s="199" t="s">
        <v>136</v>
      </c>
      <c r="H4" s="212"/>
      <c r="I4" s="1118" t="s">
        <v>74</v>
      </c>
      <c r="J4" s="1114" t="s">
        <v>180</v>
      </c>
      <c r="K4" s="217" t="s">
        <v>177</v>
      </c>
      <c r="L4" s="217" t="s">
        <v>137</v>
      </c>
      <c r="M4" s="1114" t="s">
        <v>23</v>
      </c>
      <c r="N4" s="1116" t="s">
        <v>136</v>
      </c>
      <c r="O4" s="239"/>
      <c r="P4" s="338" t="s">
        <v>183</v>
      </c>
      <c r="Q4" s="339" t="s">
        <v>184</v>
      </c>
      <c r="R4" s="339" t="s">
        <v>185</v>
      </c>
      <c r="S4" s="339" t="s">
        <v>186</v>
      </c>
      <c r="T4" s="1120" t="s">
        <v>187</v>
      </c>
      <c r="U4" s="1057"/>
      <c r="V4" s="340" t="s">
        <v>188</v>
      </c>
      <c r="W4" s="718" t="s">
        <v>342</v>
      </c>
      <c r="X4" s="718" t="s">
        <v>343</v>
      </c>
      <c r="Y4" s="718"/>
      <c r="Z4" s="718"/>
    </row>
    <row r="5" spans="2:26" ht="15" customHeight="1" x14ac:dyDescent="0.15">
      <c r="B5" s="987" t="s">
        <v>170</v>
      </c>
      <c r="C5" s="92" t="s">
        <v>298</v>
      </c>
      <c r="D5" s="92">
        <f>+肥料算出基礎!C4*10/1000</f>
        <v>30</v>
      </c>
      <c r="E5" s="103" t="s">
        <v>174</v>
      </c>
      <c r="F5" s="92">
        <f>+肥料算出基礎!K4/肥料算出基礎!J4*1000</f>
        <v>22160</v>
      </c>
      <c r="G5" s="200">
        <f t="shared" ref="G5:G6" si="0">D5*F5</f>
        <v>664800</v>
      </c>
      <c r="H5" s="213"/>
      <c r="I5" s="1119"/>
      <c r="J5" s="1115"/>
      <c r="K5" s="219" t="s">
        <v>139</v>
      </c>
      <c r="L5" s="729" t="s">
        <v>284</v>
      </c>
      <c r="M5" s="1115"/>
      <c r="N5" s="1117"/>
      <c r="O5" s="239"/>
      <c r="P5" s="341" t="s">
        <v>347</v>
      </c>
      <c r="Q5" s="197">
        <v>30</v>
      </c>
      <c r="R5" s="537" t="s">
        <v>352</v>
      </c>
      <c r="S5" s="197">
        <v>2290</v>
      </c>
      <c r="T5" s="1112">
        <v>5</v>
      </c>
      <c r="U5" s="1113"/>
      <c r="V5" s="228">
        <f>Q5*S5/T5</f>
        <v>13740</v>
      </c>
      <c r="W5" s="718">
        <v>2088</v>
      </c>
      <c r="X5" s="718">
        <v>500</v>
      </c>
      <c r="Y5" s="718" t="s">
        <v>54</v>
      </c>
      <c r="Z5" s="718"/>
    </row>
    <row r="6" spans="2:26" ht="15" customHeight="1" x14ac:dyDescent="0.15">
      <c r="B6" s="988"/>
      <c r="C6" s="92"/>
      <c r="D6" s="92"/>
      <c r="E6" s="103"/>
      <c r="F6" s="92"/>
      <c r="G6" s="201">
        <f t="shared" si="0"/>
        <v>0</v>
      </c>
      <c r="H6" s="213"/>
      <c r="I6" s="1089" t="s">
        <v>179</v>
      </c>
      <c r="J6" s="92" t="s">
        <v>443</v>
      </c>
      <c r="K6" s="220">
        <v>9</v>
      </c>
      <c r="L6" s="220">
        <v>1</v>
      </c>
      <c r="M6" s="220">
        <v>123.2</v>
      </c>
      <c r="N6" s="201">
        <f>K6*L6*M6</f>
        <v>1108.8</v>
      </c>
      <c r="O6" s="239"/>
      <c r="P6" s="341" t="s">
        <v>601</v>
      </c>
      <c r="Q6" s="579">
        <v>10</v>
      </c>
      <c r="R6" s="578" t="s">
        <v>352</v>
      </c>
      <c r="S6" s="197">
        <f>+W6</f>
        <v>207100</v>
      </c>
      <c r="T6" s="1112">
        <v>2</v>
      </c>
      <c r="U6" s="1113"/>
      <c r="V6" s="228">
        <f t="shared" ref="V6:V9" si="1">Q6*S6/T6</f>
        <v>1035500</v>
      </c>
      <c r="W6" s="718">
        <v>207100</v>
      </c>
      <c r="X6" s="718">
        <v>1900</v>
      </c>
      <c r="Y6" s="718" t="s">
        <v>600</v>
      </c>
      <c r="Z6" s="718" t="s">
        <v>603</v>
      </c>
    </row>
    <row r="7" spans="2:26" ht="15" customHeight="1" thickBot="1" x14ac:dyDescent="0.2">
      <c r="B7" s="1085"/>
      <c r="C7" s="202" t="s">
        <v>140</v>
      </c>
      <c r="D7" s="202"/>
      <c r="E7" s="202"/>
      <c r="F7" s="202"/>
      <c r="G7" s="203">
        <f>SUM(G5:G6)</f>
        <v>664800</v>
      </c>
      <c r="H7" s="213"/>
      <c r="I7" s="988"/>
      <c r="J7" s="92" t="s">
        <v>438</v>
      </c>
      <c r="K7" s="220">
        <v>6</v>
      </c>
      <c r="L7" s="220">
        <v>3</v>
      </c>
      <c r="M7" s="220">
        <v>123.2</v>
      </c>
      <c r="N7" s="201">
        <f t="shared" ref="N7:N9" si="2">K7*L7*M7</f>
        <v>2217.6</v>
      </c>
      <c r="O7" s="239"/>
      <c r="P7" s="341" t="s">
        <v>602</v>
      </c>
      <c r="Q7" s="579">
        <v>10</v>
      </c>
      <c r="R7" s="578" t="s">
        <v>352</v>
      </c>
      <c r="S7" s="197">
        <f>+W7</f>
        <v>172900</v>
      </c>
      <c r="T7" s="1112">
        <v>2</v>
      </c>
      <c r="U7" s="1113"/>
      <c r="V7" s="228">
        <f t="shared" si="1"/>
        <v>864500</v>
      </c>
      <c r="W7" s="718">
        <v>172900</v>
      </c>
      <c r="X7" s="718">
        <v>1900</v>
      </c>
      <c r="Y7" s="718" t="s">
        <v>600</v>
      </c>
      <c r="Z7" s="718" t="s">
        <v>604</v>
      </c>
    </row>
    <row r="8" spans="2:26" ht="15" customHeight="1" thickTop="1" x14ac:dyDescent="0.15">
      <c r="B8" s="1084" t="s">
        <v>167</v>
      </c>
      <c r="C8" s="92" t="s">
        <v>775</v>
      </c>
      <c r="D8" s="133">
        <f>+肥料算出基礎!C5*10/肥料算出基礎!J5</f>
        <v>7.5</v>
      </c>
      <c r="E8" s="103" t="s">
        <v>138</v>
      </c>
      <c r="F8" s="92">
        <v>860</v>
      </c>
      <c r="G8" s="201">
        <f>D8*F8</f>
        <v>6450</v>
      </c>
      <c r="H8" s="213"/>
      <c r="I8" s="988"/>
      <c r="J8" s="92" t="s">
        <v>439</v>
      </c>
      <c r="K8" s="220">
        <v>6</v>
      </c>
      <c r="L8" s="220">
        <v>3</v>
      </c>
      <c r="M8" s="220">
        <v>123.2</v>
      </c>
      <c r="N8" s="201">
        <f t="shared" si="2"/>
        <v>2217.6</v>
      </c>
      <c r="O8" s="239"/>
      <c r="P8" s="341" t="s">
        <v>350</v>
      </c>
      <c r="Q8" s="197">
        <v>3</v>
      </c>
      <c r="R8" s="537" t="s">
        <v>341</v>
      </c>
      <c r="S8" s="197">
        <v>1180</v>
      </c>
      <c r="T8" s="1112">
        <v>1</v>
      </c>
      <c r="U8" s="1113"/>
      <c r="V8" s="228">
        <f t="shared" si="1"/>
        <v>3540</v>
      </c>
      <c r="W8" s="718">
        <v>1080</v>
      </c>
      <c r="X8" s="718">
        <v>10</v>
      </c>
      <c r="Y8" s="718" t="s">
        <v>345</v>
      </c>
      <c r="Z8" s="718"/>
    </row>
    <row r="9" spans="2:26" ht="15" customHeight="1" x14ac:dyDescent="0.15">
      <c r="B9" s="988"/>
      <c r="C9" s="377" t="s">
        <v>776</v>
      </c>
      <c r="D9" s="92">
        <f>+肥料算出基礎!C8*10/肥料算出基礎!J8</f>
        <v>20</v>
      </c>
      <c r="E9" s="103" t="s">
        <v>138</v>
      </c>
      <c r="F9" s="92">
        <v>730</v>
      </c>
      <c r="G9" s="201">
        <f>D9*F9</f>
        <v>14600</v>
      </c>
      <c r="H9" s="213"/>
      <c r="I9" s="988"/>
      <c r="J9" s="92"/>
      <c r="K9" s="220"/>
      <c r="L9" s="220"/>
      <c r="M9" s="220"/>
      <c r="N9" s="201">
        <f t="shared" si="2"/>
        <v>0</v>
      </c>
      <c r="O9" s="239"/>
      <c r="P9" s="341" t="s">
        <v>351</v>
      </c>
      <c r="Q9" s="197">
        <v>300</v>
      </c>
      <c r="R9" s="537" t="s">
        <v>341</v>
      </c>
      <c r="S9" s="197">
        <v>370</v>
      </c>
      <c r="T9" s="1112">
        <v>1</v>
      </c>
      <c r="U9" s="1113"/>
      <c r="V9" s="228">
        <f t="shared" si="1"/>
        <v>111000</v>
      </c>
      <c r="W9" s="718">
        <v>337</v>
      </c>
      <c r="X9" s="718">
        <v>100</v>
      </c>
      <c r="Y9" s="718" t="s">
        <v>346</v>
      </c>
      <c r="Z9" s="718"/>
    </row>
    <row r="10" spans="2:26" ht="15" customHeight="1" x14ac:dyDescent="0.15">
      <c r="B10" s="988"/>
      <c r="C10" s="92" t="s">
        <v>777</v>
      </c>
      <c r="D10" s="556">
        <f>+肥料算出基礎!C10*10/肥料算出基礎!J10</f>
        <v>20</v>
      </c>
      <c r="E10" s="103" t="s">
        <v>138</v>
      </c>
      <c r="F10" s="556">
        <f>+肥料算出基礎!K10</f>
        <v>4930</v>
      </c>
      <c r="G10" s="557">
        <f>D10*F10</f>
        <v>98600</v>
      </c>
      <c r="H10" s="213"/>
      <c r="I10" s="988"/>
      <c r="J10" s="558"/>
      <c r="K10" s="559"/>
      <c r="L10" s="559"/>
      <c r="M10" s="559"/>
      <c r="N10" s="560"/>
      <c r="O10" s="239"/>
      <c r="P10" s="341" t="s">
        <v>588</v>
      </c>
      <c r="Q10" s="197">
        <v>17.3</v>
      </c>
      <c r="R10" s="578" t="s">
        <v>352</v>
      </c>
      <c r="S10" s="197">
        <f>ROUNDDOWN(W10*1.1,-1)</f>
        <v>6220</v>
      </c>
      <c r="T10" s="1112">
        <v>5</v>
      </c>
      <c r="U10" s="1113"/>
      <c r="V10" s="228">
        <f t="shared" ref="V10" si="3">Q10*S10/T10</f>
        <v>21521.200000000001</v>
      </c>
      <c r="W10" s="718">
        <v>5657</v>
      </c>
      <c r="X10" s="718" t="s">
        <v>589</v>
      </c>
      <c r="Y10" s="718"/>
      <c r="Z10" s="718"/>
    </row>
    <row r="11" spans="2:26" ht="15" customHeight="1" thickBot="1" x14ac:dyDescent="0.2">
      <c r="B11" s="988"/>
      <c r="C11" s="92" t="s">
        <v>778</v>
      </c>
      <c r="D11" s="92">
        <f>+肥料算出基礎!C9*10/肥料算出基礎!J9</f>
        <v>20</v>
      </c>
      <c r="E11" s="103" t="s">
        <v>138</v>
      </c>
      <c r="F11" s="92">
        <f>+肥料算出基礎!K9</f>
        <v>4410</v>
      </c>
      <c r="G11" s="201">
        <f>D11*F11</f>
        <v>88200</v>
      </c>
      <c r="H11" s="213"/>
      <c r="I11" s="1085"/>
      <c r="J11" s="342" t="s">
        <v>253</v>
      </c>
      <c r="K11" s="221">
        <f t="shared" ref="K11:L11" si="4">SUM(K6:K9)</f>
        <v>21</v>
      </c>
      <c r="L11" s="221">
        <f t="shared" si="4"/>
        <v>7</v>
      </c>
      <c r="M11" s="221"/>
      <c r="N11" s="216">
        <f>SUM(N6:N9)</f>
        <v>5544</v>
      </c>
      <c r="O11" s="239"/>
      <c r="P11" s="341"/>
      <c r="Q11" s="197"/>
      <c r="R11" s="537"/>
      <c r="S11" s="197"/>
      <c r="T11" s="1112"/>
      <c r="U11" s="1113"/>
      <c r="V11" s="228"/>
      <c r="W11" s="718"/>
      <c r="X11" s="718"/>
      <c r="Y11" s="718"/>
      <c r="Z11" s="718"/>
    </row>
    <row r="12" spans="2:26" ht="15" customHeight="1" thickTop="1" thickBot="1" x14ac:dyDescent="0.2">
      <c r="B12" s="1085"/>
      <c r="C12" s="204" t="s">
        <v>141</v>
      </c>
      <c r="D12" s="205"/>
      <c r="E12" s="205"/>
      <c r="F12" s="205"/>
      <c r="G12" s="206">
        <f>SUM(G8:G11)</f>
        <v>207850</v>
      </c>
      <c r="H12" s="213"/>
      <c r="I12" s="1084" t="s">
        <v>46</v>
      </c>
      <c r="J12" s="92" t="s">
        <v>440</v>
      </c>
      <c r="K12" s="220">
        <v>25</v>
      </c>
      <c r="L12" s="220">
        <v>1</v>
      </c>
      <c r="M12" s="220">
        <v>169.9</v>
      </c>
      <c r="N12" s="201">
        <f>K12*L12*M12</f>
        <v>4247.5</v>
      </c>
      <c r="O12" s="239"/>
      <c r="P12" s="341"/>
      <c r="Q12" s="197"/>
      <c r="R12" s="537"/>
      <c r="S12" s="197"/>
      <c r="T12" s="1112"/>
      <c r="U12" s="1113"/>
      <c r="V12" s="228"/>
      <c r="W12" s="718"/>
      <c r="X12" s="718"/>
      <c r="Y12" s="718"/>
      <c r="Z12" s="718"/>
    </row>
    <row r="13" spans="2:26" ht="15" customHeight="1" thickTop="1" x14ac:dyDescent="0.15">
      <c r="B13" s="1084" t="s">
        <v>168</v>
      </c>
      <c r="C13" s="92" t="s">
        <v>772</v>
      </c>
      <c r="D13" s="92">
        <f>+肥料算出基礎!C5*10/肥料算出基礎!J5</f>
        <v>7.5</v>
      </c>
      <c r="E13" s="103" t="s">
        <v>138</v>
      </c>
      <c r="F13" s="92">
        <f>+肥料算出基礎!K5</f>
        <v>3200</v>
      </c>
      <c r="G13" s="201">
        <f>D13*F13</f>
        <v>24000</v>
      </c>
      <c r="H13" s="213"/>
      <c r="I13" s="988"/>
      <c r="J13" s="92" t="s">
        <v>441</v>
      </c>
      <c r="K13" s="220">
        <v>10</v>
      </c>
      <c r="L13" s="220">
        <v>1</v>
      </c>
      <c r="M13" s="220">
        <v>169.9</v>
      </c>
      <c r="N13" s="201">
        <f t="shared" ref="N13:N15" si="5">K13*L13*M13</f>
        <v>1699</v>
      </c>
      <c r="O13" s="239"/>
      <c r="P13" s="341"/>
      <c r="Q13" s="197"/>
      <c r="R13" s="537"/>
      <c r="S13" s="197"/>
      <c r="T13" s="1112"/>
      <c r="U13" s="1113"/>
      <c r="V13" s="228"/>
      <c r="W13" s="718"/>
      <c r="X13" s="718"/>
      <c r="Y13" s="718"/>
      <c r="Z13" s="718"/>
    </row>
    <row r="14" spans="2:26" ht="15" customHeight="1" x14ac:dyDescent="0.15">
      <c r="B14" s="988"/>
      <c r="C14" s="92" t="s">
        <v>774</v>
      </c>
      <c r="D14" s="92">
        <f>+肥料算出基礎!C6*10/肥料算出基礎!J6</f>
        <v>20</v>
      </c>
      <c r="E14" s="103" t="s">
        <v>138</v>
      </c>
      <c r="F14" s="92">
        <f>+肥料算出基礎!K6</f>
        <v>2880</v>
      </c>
      <c r="G14" s="201">
        <f>D14*F14</f>
        <v>57600</v>
      </c>
      <c r="H14" s="213"/>
      <c r="I14" s="988"/>
      <c r="J14" s="92" t="s">
        <v>442</v>
      </c>
      <c r="K14" s="220">
        <v>5</v>
      </c>
      <c r="L14" s="220">
        <v>1</v>
      </c>
      <c r="M14" s="220">
        <v>169.9</v>
      </c>
      <c r="N14" s="201">
        <f t="shared" si="5"/>
        <v>849.5</v>
      </c>
      <c r="O14" s="239"/>
      <c r="P14" s="341"/>
      <c r="Q14" s="197"/>
      <c r="R14" s="537"/>
      <c r="S14" s="197"/>
      <c r="T14" s="1112"/>
      <c r="U14" s="1113"/>
      <c r="V14" s="228"/>
      <c r="W14" s="718"/>
      <c r="X14" s="718"/>
      <c r="Y14" s="718"/>
      <c r="Z14" s="718"/>
    </row>
    <row r="15" spans="2:26" ht="15" customHeight="1" x14ac:dyDescent="0.15">
      <c r="B15" s="988"/>
      <c r="C15" s="92"/>
      <c r="D15" s="92"/>
      <c r="E15" s="103"/>
      <c r="F15" s="92"/>
      <c r="G15" s="201">
        <f>D15*F15</f>
        <v>0</v>
      </c>
      <c r="H15" s="213"/>
      <c r="I15" s="988"/>
      <c r="J15" s="92" t="s">
        <v>446</v>
      </c>
      <c r="K15" s="220">
        <v>50</v>
      </c>
      <c r="L15" s="220">
        <v>1</v>
      </c>
      <c r="M15" s="220">
        <v>169.9</v>
      </c>
      <c r="N15" s="201">
        <f t="shared" si="5"/>
        <v>8495</v>
      </c>
      <c r="O15" s="239"/>
      <c r="P15" s="341"/>
      <c r="Q15" s="197"/>
      <c r="R15" s="537"/>
      <c r="S15" s="197"/>
      <c r="T15" s="1112"/>
      <c r="U15" s="1113"/>
      <c r="V15" s="228"/>
      <c r="W15" s="718"/>
      <c r="X15" s="718"/>
      <c r="Y15" s="718"/>
      <c r="Z15" s="718"/>
    </row>
    <row r="16" spans="2:26" ht="15" customHeight="1" thickBot="1" x14ac:dyDescent="0.2">
      <c r="B16" s="988"/>
      <c r="C16" s="92"/>
      <c r="D16" s="92"/>
      <c r="E16" s="92"/>
      <c r="F16" s="92"/>
      <c r="G16" s="201">
        <f t="shared" ref="G16" si="6">D16*F16</f>
        <v>0</v>
      </c>
      <c r="H16" s="213"/>
      <c r="I16" s="1085"/>
      <c r="J16" s="342" t="s">
        <v>253</v>
      </c>
      <c r="K16" s="221">
        <f t="shared" ref="K16:L16" si="7">SUM(K12:K15)</f>
        <v>90</v>
      </c>
      <c r="L16" s="221">
        <f t="shared" si="7"/>
        <v>4</v>
      </c>
      <c r="M16" s="221"/>
      <c r="N16" s="216">
        <f>SUM(N12:N15)</f>
        <v>15291</v>
      </c>
      <c r="O16" s="239"/>
      <c r="P16" s="341"/>
      <c r="Q16" s="197"/>
      <c r="R16" s="537"/>
      <c r="S16" s="197"/>
      <c r="T16" s="1112"/>
      <c r="U16" s="1113"/>
      <c r="V16" s="228"/>
      <c r="W16" s="718"/>
      <c r="X16" s="718"/>
      <c r="Y16" s="718"/>
      <c r="Z16" s="718"/>
    </row>
    <row r="17" spans="2:26" ht="15" customHeight="1" thickTop="1" thickBot="1" x14ac:dyDescent="0.2">
      <c r="B17" s="1085"/>
      <c r="C17" s="204" t="s">
        <v>141</v>
      </c>
      <c r="D17" s="205"/>
      <c r="E17" s="205"/>
      <c r="F17" s="205"/>
      <c r="G17" s="206">
        <f>SUM(G13:G16)</f>
        <v>81600</v>
      </c>
      <c r="H17" s="213"/>
      <c r="I17" s="1084" t="s">
        <v>181</v>
      </c>
      <c r="J17" s="92" t="s">
        <v>444</v>
      </c>
      <c r="K17" s="220">
        <v>22</v>
      </c>
      <c r="L17" s="220">
        <v>0.5</v>
      </c>
      <c r="M17" s="220">
        <v>179.9</v>
      </c>
      <c r="N17" s="201">
        <f>K17*L17*M17</f>
        <v>1978.9</v>
      </c>
      <c r="O17" s="239"/>
      <c r="P17" s="341"/>
      <c r="Q17" s="197"/>
      <c r="R17" s="537"/>
      <c r="S17" s="197"/>
      <c r="T17" s="1112"/>
      <c r="U17" s="1113"/>
      <c r="V17" s="228"/>
      <c r="W17" s="718"/>
      <c r="X17" s="718"/>
      <c r="Y17" s="718"/>
      <c r="Z17" s="718"/>
    </row>
    <row r="18" spans="2:26" ht="15" customHeight="1" thickTop="1" x14ac:dyDescent="0.15">
      <c r="B18" s="1084" t="s">
        <v>171</v>
      </c>
      <c r="C18" s="92" t="s">
        <v>773</v>
      </c>
      <c r="D18" s="92">
        <f>+肥料算出基礎!C11*10/肥料算出基礎!J11</f>
        <v>2</v>
      </c>
      <c r="E18" s="103" t="s">
        <v>142</v>
      </c>
      <c r="F18" s="92">
        <f>+肥料算出基礎!K11</f>
        <v>8250</v>
      </c>
      <c r="G18" s="201">
        <f t="shared" ref="G18" si="8">D18*F18</f>
        <v>16500</v>
      </c>
      <c r="H18" s="213"/>
      <c r="I18" s="988"/>
      <c r="J18" s="92"/>
      <c r="K18" s="220"/>
      <c r="L18" s="220"/>
      <c r="M18" s="220"/>
      <c r="N18" s="201">
        <f t="shared" ref="N18:N19" si="9">K18*L18*M18</f>
        <v>0</v>
      </c>
      <c r="O18" s="239"/>
      <c r="P18" s="341"/>
      <c r="Q18" s="197"/>
      <c r="R18" s="537"/>
      <c r="S18" s="197"/>
      <c r="T18" s="1112"/>
      <c r="U18" s="1113"/>
      <c r="V18" s="228"/>
      <c r="W18" s="718"/>
      <c r="X18" s="718"/>
      <c r="Y18" s="718"/>
      <c r="Z18" s="718"/>
    </row>
    <row r="19" spans="2:26" ht="15" customHeight="1" x14ac:dyDescent="0.15">
      <c r="B19" s="988"/>
      <c r="C19" s="92"/>
      <c r="D19" s="92"/>
      <c r="E19" s="103"/>
      <c r="F19" s="92"/>
      <c r="G19" s="201">
        <f>D19*F19</f>
        <v>0</v>
      </c>
      <c r="H19" s="213"/>
      <c r="I19" s="988"/>
      <c r="J19" s="92"/>
      <c r="K19" s="220"/>
      <c r="L19" s="220"/>
      <c r="M19" s="220"/>
      <c r="N19" s="201">
        <f t="shared" si="9"/>
        <v>0</v>
      </c>
      <c r="O19" s="239"/>
      <c r="P19" s="341"/>
      <c r="Q19" s="197"/>
      <c r="R19" s="537"/>
      <c r="S19" s="197"/>
      <c r="T19" s="1112"/>
      <c r="U19" s="1113"/>
      <c r="V19" s="228"/>
      <c r="W19" s="718"/>
      <c r="X19" s="718"/>
      <c r="Y19" s="718"/>
      <c r="Z19" s="718"/>
    </row>
    <row r="20" spans="2:26" ht="15" customHeight="1" thickBot="1" x14ac:dyDescent="0.2">
      <c r="B20" s="988"/>
      <c r="C20" s="92"/>
      <c r="D20" s="92"/>
      <c r="E20" s="92"/>
      <c r="F20" s="92"/>
      <c r="G20" s="201">
        <f t="shared" ref="G20" si="10">D20*F20</f>
        <v>0</v>
      </c>
      <c r="H20" s="213"/>
      <c r="I20" s="1085"/>
      <c r="J20" s="342" t="s">
        <v>255</v>
      </c>
      <c r="K20" s="221">
        <f>SUM(K17:K19)</f>
        <v>22</v>
      </c>
      <c r="L20" s="222">
        <f>SUM(L17:L19)</f>
        <v>0.5</v>
      </c>
      <c r="M20" s="223"/>
      <c r="N20" s="216">
        <f>SUM(N17:N19)</f>
        <v>1978.9</v>
      </c>
      <c r="O20" s="239"/>
      <c r="P20" s="341"/>
      <c r="Q20" s="197"/>
      <c r="R20" s="537"/>
      <c r="S20" s="197"/>
      <c r="T20" s="1112"/>
      <c r="U20" s="1113"/>
      <c r="V20" s="228"/>
      <c r="W20" s="718"/>
      <c r="X20" s="718"/>
      <c r="Y20" s="718"/>
      <c r="Z20" s="718"/>
    </row>
    <row r="21" spans="2:26" ht="15" customHeight="1" thickTop="1" thickBot="1" x14ac:dyDescent="0.2">
      <c r="B21" s="1085"/>
      <c r="C21" s="204" t="s">
        <v>141</v>
      </c>
      <c r="D21" s="205"/>
      <c r="E21" s="205"/>
      <c r="F21" s="205"/>
      <c r="G21" s="206">
        <f>SUM(G18:G20)</f>
        <v>16500</v>
      </c>
      <c r="H21" s="213"/>
      <c r="I21" s="1084" t="s">
        <v>182</v>
      </c>
      <c r="J21" s="92"/>
      <c r="K21" s="220"/>
      <c r="L21" s="220"/>
      <c r="M21" s="220"/>
      <c r="N21" s="201">
        <f>K21*L21*M21</f>
        <v>0</v>
      </c>
      <c r="O21" s="239"/>
      <c r="P21" s="229" t="s">
        <v>28</v>
      </c>
      <c r="Q21" s="230"/>
      <c r="R21" s="230"/>
      <c r="S21" s="230"/>
      <c r="T21" s="1132"/>
      <c r="U21" s="1102"/>
      <c r="V21" s="231">
        <f>SUM(V5:V20)</f>
        <v>2049801.2</v>
      </c>
      <c r="W21" s="718"/>
      <c r="X21" s="718"/>
      <c r="Y21" s="718"/>
      <c r="Z21" s="718"/>
    </row>
    <row r="22" spans="2:26" ht="15" customHeight="1" thickTop="1" x14ac:dyDescent="0.15">
      <c r="B22" s="1084" t="s">
        <v>172</v>
      </c>
      <c r="C22" s="92"/>
      <c r="D22" s="92"/>
      <c r="E22" s="103"/>
      <c r="F22" s="92"/>
      <c r="G22" s="201">
        <f>D22*F22</f>
        <v>0</v>
      </c>
      <c r="H22" s="213"/>
      <c r="I22" s="988"/>
      <c r="J22" s="92"/>
      <c r="K22" s="220"/>
      <c r="L22" s="220"/>
      <c r="M22" s="220"/>
      <c r="N22" s="201">
        <f t="shared" ref="N22:N23" si="11">K22*L22*M22</f>
        <v>0</v>
      </c>
      <c r="O22" s="239"/>
      <c r="W22" s="718"/>
      <c r="X22" s="718"/>
      <c r="Y22" s="718"/>
      <c r="Z22" s="718"/>
    </row>
    <row r="23" spans="2:26" ht="15" customHeight="1" thickBot="1" x14ac:dyDescent="0.2">
      <c r="B23" s="988"/>
      <c r="C23" s="92"/>
      <c r="D23" s="92"/>
      <c r="E23" s="103"/>
      <c r="F23" s="92"/>
      <c r="G23" s="201">
        <f>D23*F23</f>
        <v>0</v>
      </c>
      <c r="H23" s="213"/>
      <c r="I23" s="988"/>
      <c r="J23" s="92"/>
      <c r="K23" s="220"/>
      <c r="L23" s="220"/>
      <c r="M23" s="220"/>
      <c r="N23" s="201">
        <f t="shared" si="11"/>
        <v>0</v>
      </c>
      <c r="O23" s="239"/>
      <c r="P23" s="93" t="s">
        <v>250</v>
      </c>
      <c r="W23" s="718"/>
      <c r="X23" s="718"/>
      <c r="Y23" s="718"/>
      <c r="Z23" s="718"/>
    </row>
    <row r="24" spans="2:26" ht="15" customHeight="1" thickBot="1" x14ac:dyDescent="0.2">
      <c r="B24" s="988"/>
      <c r="C24" s="92"/>
      <c r="D24" s="92"/>
      <c r="E24" s="103"/>
      <c r="F24" s="92"/>
      <c r="G24" s="201">
        <f>D24*F24</f>
        <v>0</v>
      </c>
      <c r="H24" s="213"/>
      <c r="I24" s="1085"/>
      <c r="J24" s="342" t="s">
        <v>255</v>
      </c>
      <c r="K24" s="221">
        <f>SUM(K21:K23)</f>
        <v>0</v>
      </c>
      <c r="L24" s="222">
        <f>SUM(L21:L23)</f>
        <v>0</v>
      </c>
      <c r="M24" s="223"/>
      <c r="N24" s="216">
        <f>SUM(N21:N23)</f>
        <v>0</v>
      </c>
      <c r="O24" s="239"/>
      <c r="P24" s="338" t="s">
        <v>189</v>
      </c>
      <c r="Q24" s="339" t="s">
        <v>184</v>
      </c>
      <c r="R24" s="339" t="s">
        <v>185</v>
      </c>
      <c r="S24" s="339" t="s">
        <v>186</v>
      </c>
      <c r="T24" s="339" t="s">
        <v>187</v>
      </c>
      <c r="U24" s="541" t="s">
        <v>190</v>
      </c>
      <c r="V24" s="340" t="s">
        <v>188</v>
      </c>
      <c r="W24" s="718" t="s">
        <v>294</v>
      </c>
      <c r="X24" s="718" t="s">
        <v>362</v>
      </c>
      <c r="Y24" s="718"/>
      <c r="Z24" s="718"/>
    </row>
    <row r="25" spans="2:26" ht="15" customHeight="1" thickTop="1" thickBot="1" x14ac:dyDescent="0.2">
      <c r="B25" s="1090"/>
      <c r="C25" s="207" t="s">
        <v>144</v>
      </c>
      <c r="D25" s="208"/>
      <c r="E25" s="208"/>
      <c r="F25" s="215"/>
      <c r="G25" s="209">
        <f>SUM(G22:G24)</f>
        <v>0</v>
      </c>
      <c r="I25" s="1084" t="s">
        <v>271</v>
      </c>
      <c r="J25" s="92" t="s">
        <v>590</v>
      </c>
      <c r="K25" s="220">
        <v>383</v>
      </c>
      <c r="L25" s="220">
        <v>15.8</v>
      </c>
      <c r="M25" s="220">
        <v>99.1</v>
      </c>
      <c r="N25" s="201">
        <f>K25*L25*M25</f>
        <v>599693.74</v>
      </c>
      <c r="O25" s="239"/>
      <c r="P25" s="341" t="s">
        <v>523</v>
      </c>
      <c r="Q25" s="197">
        <v>5</v>
      </c>
      <c r="R25" s="537" t="s">
        <v>408</v>
      </c>
      <c r="S25" s="197">
        <v>5160</v>
      </c>
      <c r="T25" s="197">
        <v>2</v>
      </c>
      <c r="U25" s="198">
        <v>1</v>
      </c>
      <c r="V25" s="228">
        <f>Q25*S25/T25/U25</f>
        <v>12900</v>
      </c>
      <c r="W25" s="718">
        <v>4692</v>
      </c>
      <c r="X25" s="718">
        <v>0.5</v>
      </c>
      <c r="Y25" s="718"/>
      <c r="Z25" s="718"/>
    </row>
    <row r="26" spans="2:26" ht="15" customHeight="1" x14ac:dyDescent="0.15">
      <c r="H26" s="214"/>
      <c r="I26" s="988"/>
      <c r="J26" s="92"/>
      <c r="K26" s="220"/>
      <c r="L26" s="220"/>
      <c r="M26" s="220"/>
      <c r="N26" s="201">
        <f t="shared" ref="N26:N27" si="12">K26*L26*M26</f>
        <v>0</v>
      </c>
      <c r="O26" s="239"/>
      <c r="P26" s="341" t="s">
        <v>356</v>
      </c>
      <c r="Q26" s="197">
        <v>5</v>
      </c>
      <c r="R26" s="537" t="s">
        <v>407</v>
      </c>
      <c r="S26" s="197">
        <v>3390</v>
      </c>
      <c r="T26" s="197">
        <v>2</v>
      </c>
      <c r="U26" s="198">
        <v>1</v>
      </c>
      <c r="V26" s="228">
        <f t="shared" ref="V26:V37" si="13">Q26*S26/T26/U26</f>
        <v>8475</v>
      </c>
      <c r="W26" s="718">
        <v>3086</v>
      </c>
      <c r="X26" s="718">
        <v>0.5</v>
      </c>
      <c r="Y26" s="718"/>
      <c r="Z26" s="718"/>
    </row>
    <row r="27" spans="2:26" ht="15" customHeight="1" thickBot="1" x14ac:dyDescent="0.2">
      <c r="B27" s="13" t="s">
        <v>257</v>
      </c>
      <c r="C27" s="13"/>
      <c r="D27" s="95"/>
      <c r="E27" s="13"/>
      <c r="F27" s="95"/>
      <c r="G27" s="99"/>
      <c r="H27" s="212"/>
      <c r="I27" s="988"/>
      <c r="J27" s="92"/>
      <c r="K27" s="220"/>
      <c r="L27" s="220"/>
      <c r="M27" s="220"/>
      <c r="N27" s="201">
        <f t="shared" si="12"/>
        <v>0</v>
      </c>
      <c r="O27" s="239"/>
      <c r="P27" s="341" t="s">
        <v>357</v>
      </c>
      <c r="Q27" s="197">
        <v>2</v>
      </c>
      <c r="R27" s="537" t="s">
        <v>407</v>
      </c>
      <c r="S27" s="197">
        <v>5720</v>
      </c>
      <c r="T27" s="197">
        <v>2</v>
      </c>
      <c r="U27" s="198">
        <v>1</v>
      </c>
      <c r="V27" s="228">
        <f t="shared" si="13"/>
        <v>5720</v>
      </c>
      <c r="W27" s="718"/>
      <c r="X27" s="718">
        <v>0.2</v>
      </c>
      <c r="Y27" s="718"/>
      <c r="Z27" s="718"/>
    </row>
    <row r="28" spans="2:26" ht="15" customHeight="1" thickBot="1" x14ac:dyDescent="0.2">
      <c r="B28" s="337" t="s">
        <v>74</v>
      </c>
      <c r="C28" s="211" t="s">
        <v>133</v>
      </c>
      <c r="D28" s="211" t="s">
        <v>134</v>
      </c>
      <c r="E28" s="211" t="s">
        <v>135</v>
      </c>
      <c r="F28" s="211" t="s">
        <v>23</v>
      </c>
      <c r="G28" s="199" t="s">
        <v>136</v>
      </c>
      <c r="H28" s="213"/>
      <c r="I28" s="1085"/>
      <c r="J28" s="342" t="s">
        <v>253</v>
      </c>
      <c r="K28" s="221">
        <f>SUM(K25:K27)</f>
        <v>383</v>
      </c>
      <c r="L28" s="222">
        <f>SUM(L25:L27)</f>
        <v>15.8</v>
      </c>
      <c r="M28" s="223"/>
      <c r="N28" s="216">
        <f>SUM(N25:N27)</f>
        <v>599693.74</v>
      </c>
      <c r="O28" s="239"/>
      <c r="P28" s="341" t="s">
        <v>358</v>
      </c>
      <c r="Q28" s="197">
        <v>5</v>
      </c>
      <c r="R28" s="537" t="s">
        <v>407</v>
      </c>
      <c r="S28" s="197">
        <v>970</v>
      </c>
      <c r="T28" s="197">
        <v>2</v>
      </c>
      <c r="U28" s="198">
        <v>1</v>
      </c>
      <c r="V28" s="228">
        <f t="shared" si="13"/>
        <v>2425</v>
      </c>
      <c r="W28" s="718">
        <v>885</v>
      </c>
      <c r="X28" s="718">
        <v>0.5</v>
      </c>
      <c r="Y28" s="718"/>
      <c r="Z28" s="718"/>
    </row>
    <row r="29" spans="2:26" ht="15" customHeight="1" thickTop="1" x14ac:dyDescent="0.15">
      <c r="B29" s="987" t="s">
        <v>29</v>
      </c>
      <c r="C29" s="92" t="s">
        <v>762</v>
      </c>
      <c r="D29" s="92">
        <f>+農薬算出基礎!D3*10/農薬算出基礎!C3*1000/農薬算出基礎!E3</f>
        <v>8</v>
      </c>
      <c r="E29" s="103" t="s">
        <v>138</v>
      </c>
      <c r="F29" s="92">
        <f>+農薬算出基礎!F3</f>
        <v>3660</v>
      </c>
      <c r="G29" s="200">
        <f t="shared" ref="G29:G41" si="14">D29*F29</f>
        <v>29280</v>
      </c>
      <c r="H29" s="213"/>
      <c r="I29" s="1084" t="s">
        <v>178</v>
      </c>
      <c r="J29" s="92"/>
      <c r="K29" s="220"/>
      <c r="L29" s="220"/>
      <c r="M29" s="220"/>
      <c r="N29" s="201">
        <f>K29*L29*M29</f>
        <v>0</v>
      </c>
      <c r="O29" s="239"/>
      <c r="P29" s="341" t="s">
        <v>524</v>
      </c>
      <c r="Q29" s="197">
        <v>40</v>
      </c>
      <c r="R29" s="537" t="s">
        <v>408</v>
      </c>
      <c r="S29" s="197">
        <v>1180</v>
      </c>
      <c r="T29" s="197">
        <v>5</v>
      </c>
      <c r="U29" s="198">
        <v>1</v>
      </c>
      <c r="V29" s="228">
        <f t="shared" si="13"/>
        <v>9440</v>
      </c>
      <c r="W29" s="718">
        <v>1080</v>
      </c>
      <c r="X29" s="718">
        <v>8</v>
      </c>
      <c r="Y29" s="718"/>
      <c r="Z29" s="718"/>
    </row>
    <row r="30" spans="2:26" ht="15" customHeight="1" x14ac:dyDescent="0.15">
      <c r="B30" s="988"/>
      <c r="C30" s="92" t="s">
        <v>763</v>
      </c>
      <c r="D30" s="92">
        <f>+農薬算出基礎!D4*10/農薬算出基礎!C4*1000/農薬算出基礎!E4</f>
        <v>7.5</v>
      </c>
      <c r="E30" s="103" t="s">
        <v>138</v>
      </c>
      <c r="F30" s="92">
        <f>+農薬算出基礎!F4</f>
        <v>1840</v>
      </c>
      <c r="G30" s="201">
        <f t="shared" si="14"/>
        <v>13800</v>
      </c>
      <c r="H30" s="213"/>
      <c r="I30" s="988"/>
      <c r="J30" s="92"/>
      <c r="K30" s="220"/>
      <c r="L30" s="220"/>
      <c r="M30" s="220"/>
      <c r="N30" s="201">
        <f t="shared" ref="N30:N31" si="15">K30*L30*M30</f>
        <v>0</v>
      </c>
      <c r="O30" s="94"/>
      <c r="P30" s="341" t="s">
        <v>360</v>
      </c>
      <c r="Q30" s="197">
        <v>2</v>
      </c>
      <c r="R30" s="537" t="s">
        <v>88</v>
      </c>
      <c r="S30" s="197">
        <v>10470</v>
      </c>
      <c r="T30" s="197">
        <v>5</v>
      </c>
      <c r="U30" s="376">
        <v>1</v>
      </c>
      <c r="V30" s="228">
        <f t="shared" si="13"/>
        <v>4188</v>
      </c>
      <c r="W30" s="718">
        <v>9700</v>
      </c>
      <c r="X30" s="718">
        <v>0.2</v>
      </c>
      <c r="Y30" s="718" t="s">
        <v>363</v>
      </c>
      <c r="Z30" s="718"/>
    </row>
    <row r="31" spans="2:26" ht="15" customHeight="1" x14ac:dyDescent="0.15">
      <c r="B31" s="988"/>
      <c r="C31" s="92" t="s">
        <v>764</v>
      </c>
      <c r="D31" s="92">
        <f>+農薬算出基礎!D5*10/農薬算出基礎!C5*1000/農薬算出基礎!E5</f>
        <v>4</v>
      </c>
      <c r="E31" s="103" t="s">
        <v>138</v>
      </c>
      <c r="F31" s="92">
        <f>+農薬算出基礎!F5</f>
        <v>6260</v>
      </c>
      <c r="G31" s="201">
        <f t="shared" si="14"/>
        <v>25040</v>
      </c>
      <c r="H31" s="213"/>
      <c r="I31" s="988"/>
      <c r="J31" s="92"/>
      <c r="K31" s="220"/>
      <c r="L31" s="220"/>
      <c r="M31" s="220"/>
      <c r="N31" s="201">
        <f t="shared" si="15"/>
        <v>0</v>
      </c>
      <c r="P31" s="341" t="s">
        <v>525</v>
      </c>
      <c r="Q31" s="197">
        <v>4</v>
      </c>
      <c r="R31" s="537" t="s">
        <v>88</v>
      </c>
      <c r="S31" s="197">
        <v>3020</v>
      </c>
      <c r="T31" s="197">
        <v>5</v>
      </c>
      <c r="U31" s="376">
        <v>1</v>
      </c>
      <c r="V31" s="228">
        <f t="shared" si="13"/>
        <v>2416</v>
      </c>
      <c r="W31" s="718">
        <v>2800</v>
      </c>
      <c r="X31" s="718">
        <v>0.4</v>
      </c>
      <c r="Y31" s="718" t="s">
        <v>364</v>
      </c>
      <c r="Z31" s="718"/>
    </row>
    <row r="32" spans="2:26" ht="15" customHeight="1" thickBot="1" x14ac:dyDescent="0.2">
      <c r="B32" s="988"/>
      <c r="C32" s="92" t="s">
        <v>765</v>
      </c>
      <c r="D32" s="92">
        <f>+農薬算出基礎!D6*10/農薬算出基礎!C6*1000/農薬算出基礎!E6</f>
        <v>3</v>
      </c>
      <c r="E32" s="103" t="s">
        <v>138</v>
      </c>
      <c r="F32" s="92">
        <f>+農薬算出基礎!F6</f>
        <v>3690</v>
      </c>
      <c r="G32" s="201">
        <f t="shared" si="14"/>
        <v>11070</v>
      </c>
      <c r="H32" s="213"/>
      <c r="I32" s="1090"/>
      <c r="J32" s="343" t="s">
        <v>253</v>
      </c>
      <c r="K32" s="224">
        <f>SUM(K29:K31)</f>
        <v>0</v>
      </c>
      <c r="L32" s="226">
        <f>SUM(L29:L31)</f>
        <v>0</v>
      </c>
      <c r="M32" s="227"/>
      <c r="N32" s="218">
        <f>SUM(N29:N31)</f>
        <v>0</v>
      </c>
      <c r="P32" s="341" t="s">
        <v>526</v>
      </c>
      <c r="Q32" s="197">
        <v>1</v>
      </c>
      <c r="R32" s="537" t="s">
        <v>408</v>
      </c>
      <c r="S32" s="197">
        <v>30000</v>
      </c>
      <c r="T32" s="197">
        <v>10</v>
      </c>
      <c r="U32" s="198">
        <v>1</v>
      </c>
      <c r="V32" s="228">
        <f t="shared" si="13"/>
        <v>3000</v>
      </c>
      <c r="W32" s="718"/>
      <c r="X32" s="718"/>
      <c r="Y32" s="718"/>
      <c r="Z32" s="718"/>
    </row>
    <row r="33" spans="2:22" ht="15" customHeight="1" x14ac:dyDescent="0.15">
      <c r="B33" s="988"/>
      <c r="C33" s="377" t="s">
        <v>766</v>
      </c>
      <c r="D33" s="556">
        <f>+農薬算出基礎!D7*10/農薬算出基礎!C7*1000/農薬算出基礎!E7</f>
        <v>3</v>
      </c>
      <c r="E33" s="103" t="s">
        <v>138</v>
      </c>
      <c r="F33" s="556">
        <f>+農薬算出基礎!F7</f>
        <v>4570</v>
      </c>
      <c r="G33" s="201">
        <f t="shared" si="14"/>
        <v>13710</v>
      </c>
      <c r="H33" s="213"/>
      <c r="I33" s="489"/>
      <c r="J33" s="212"/>
      <c r="K33" s="508"/>
      <c r="L33" s="508"/>
      <c r="M33" s="508"/>
      <c r="N33" s="213"/>
      <c r="P33" s="490" t="s">
        <v>415</v>
      </c>
      <c r="Q33" s="491">
        <v>1</v>
      </c>
      <c r="R33" s="492" t="s">
        <v>88</v>
      </c>
      <c r="S33" s="491">
        <v>30000</v>
      </c>
      <c r="T33" s="491">
        <v>7</v>
      </c>
      <c r="U33" s="493">
        <v>1</v>
      </c>
      <c r="V33" s="228">
        <f t="shared" si="13"/>
        <v>4285.7142857142853</v>
      </c>
    </row>
    <row r="34" spans="2:22" ht="15" customHeight="1" x14ac:dyDescent="0.15">
      <c r="B34" s="988"/>
      <c r="C34" s="377" t="s">
        <v>767</v>
      </c>
      <c r="D34" s="556">
        <f>+農薬算出基礎!D8*10/農薬算出基礎!C8*1000/農薬算出基礎!E8</f>
        <v>2</v>
      </c>
      <c r="E34" s="103" t="s">
        <v>138</v>
      </c>
      <c r="F34" s="556">
        <f>+農薬算出基礎!F8</f>
        <v>6350</v>
      </c>
      <c r="G34" s="201">
        <f t="shared" si="14"/>
        <v>12700</v>
      </c>
      <c r="H34" s="213"/>
      <c r="I34" s="489"/>
      <c r="J34" s="212"/>
      <c r="K34" s="508"/>
      <c r="L34" s="508"/>
      <c r="M34" s="508"/>
      <c r="N34" s="213"/>
      <c r="P34" s="490" t="s">
        <v>527</v>
      </c>
      <c r="Q34" s="491">
        <v>4</v>
      </c>
      <c r="R34" s="492" t="s">
        <v>142</v>
      </c>
      <c r="S34" s="491">
        <v>7200</v>
      </c>
      <c r="T34" s="491">
        <v>10</v>
      </c>
      <c r="U34" s="493">
        <v>1</v>
      </c>
      <c r="V34" s="228">
        <f t="shared" si="13"/>
        <v>2880</v>
      </c>
    </row>
    <row r="35" spans="2:22" ht="15" customHeight="1" x14ac:dyDescent="0.15">
      <c r="B35" s="988"/>
      <c r="C35" s="92" t="s">
        <v>768</v>
      </c>
      <c r="D35" s="556">
        <f>+農薬算出基礎!D9*10/農薬算出基礎!C9*1000/農薬算出基礎!E9</f>
        <v>2</v>
      </c>
      <c r="E35" s="103" t="s">
        <v>138</v>
      </c>
      <c r="F35" s="556">
        <f>+農薬算出基礎!F9</f>
        <v>8080</v>
      </c>
      <c r="G35" s="201">
        <f t="shared" si="14"/>
        <v>16160</v>
      </c>
      <c r="H35" s="213"/>
      <c r="I35" s="489"/>
      <c r="J35" s="212"/>
      <c r="K35" s="508"/>
      <c r="L35" s="508"/>
      <c r="M35" s="508"/>
      <c r="N35" s="213"/>
      <c r="P35" s="490" t="s">
        <v>528</v>
      </c>
      <c r="Q35" s="491">
        <v>2</v>
      </c>
      <c r="R35" s="492" t="s">
        <v>408</v>
      </c>
      <c r="S35" s="491">
        <v>10000</v>
      </c>
      <c r="T35" s="491">
        <v>10</v>
      </c>
      <c r="U35" s="493">
        <v>1</v>
      </c>
      <c r="V35" s="228">
        <f t="shared" si="13"/>
        <v>2000</v>
      </c>
    </row>
    <row r="36" spans="2:22" ht="15" customHeight="1" x14ac:dyDescent="0.15">
      <c r="B36" s="988"/>
      <c r="C36" s="92" t="s">
        <v>769</v>
      </c>
      <c r="D36" s="377">
        <f>+農薬算出基礎!D10*10*3/農薬算出基礎!C10*1000/農薬算出基礎!E10</f>
        <v>12</v>
      </c>
      <c r="E36" s="103" t="s">
        <v>138</v>
      </c>
      <c r="F36" s="377">
        <f>+農薬算出基礎!F10</f>
        <v>5970</v>
      </c>
      <c r="G36" s="201">
        <f t="shared" si="14"/>
        <v>71640</v>
      </c>
      <c r="H36" s="213"/>
      <c r="I36" s="191"/>
      <c r="J36" s="191"/>
      <c r="K36" s="191"/>
      <c r="L36" s="191"/>
      <c r="M36" s="191"/>
      <c r="N36" s="191"/>
      <c r="P36" s="341" t="s">
        <v>413</v>
      </c>
      <c r="Q36" s="197">
        <v>1</v>
      </c>
      <c r="R36" s="537" t="s">
        <v>408</v>
      </c>
      <c r="S36" s="197">
        <v>2500</v>
      </c>
      <c r="T36" s="197">
        <v>10</v>
      </c>
      <c r="U36" s="198">
        <v>1</v>
      </c>
      <c r="V36" s="228">
        <f t="shared" si="13"/>
        <v>250</v>
      </c>
    </row>
    <row r="37" spans="2:22" ht="15" customHeight="1" thickBot="1" x14ac:dyDescent="0.2">
      <c r="B37" s="988"/>
      <c r="D37" s="377"/>
      <c r="E37" s="103"/>
      <c r="F37" s="377"/>
      <c r="G37" s="201">
        <f t="shared" si="14"/>
        <v>0</v>
      </c>
      <c r="H37" s="213"/>
      <c r="I37" s="181" t="s">
        <v>248</v>
      </c>
      <c r="J37" s="181"/>
      <c r="K37" s="181"/>
      <c r="L37" s="181"/>
      <c r="M37" s="181"/>
      <c r="P37" s="341" t="s">
        <v>414</v>
      </c>
      <c r="Q37" s="197">
        <v>1</v>
      </c>
      <c r="R37" s="537" t="s">
        <v>408</v>
      </c>
      <c r="S37" s="197">
        <v>3000</v>
      </c>
      <c r="T37" s="197">
        <v>10</v>
      </c>
      <c r="U37" s="198">
        <v>1</v>
      </c>
      <c r="V37" s="228">
        <f t="shared" si="13"/>
        <v>300</v>
      </c>
    </row>
    <row r="38" spans="2:22" ht="15" customHeight="1" thickBot="1" x14ac:dyDescent="0.2">
      <c r="B38" s="988"/>
      <c r="C38" s="500"/>
      <c r="D38" s="92"/>
      <c r="E38" s="103"/>
      <c r="F38" s="92"/>
      <c r="G38" s="201">
        <f t="shared" si="14"/>
        <v>0</v>
      </c>
      <c r="H38" s="213"/>
      <c r="I38" s="317" t="s">
        <v>233</v>
      </c>
      <c r="J38" s="318" t="s">
        <v>5</v>
      </c>
      <c r="K38" s="1086" t="s">
        <v>234</v>
      </c>
      <c r="L38" s="1087"/>
      <c r="M38" s="344" t="s">
        <v>190</v>
      </c>
      <c r="N38" s="345" t="s">
        <v>259</v>
      </c>
      <c r="P38" s="346" t="s">
        <v>238</v>
      </c>
      <c r="Q38" s="230"/>
      <c r="R38" s="230"/>
      <c r="S38" s="230"/>
      <c r="T38" s="230"/>
      <c r="U38" s="232"/>
      <c r="V38" s="231">
        <f>SUM(V25:V37)</f>
        <v>58279.714285714283</v>
      </c>
    </row>
    <row r="39" spans="2:22" ht="15" customHeight="1" x14ac:dyDescent="0.15">
      <c r="B39" s="988"/>
      <c r="C39" s="501"/>
      <c r="D39" s="92"/>
      <c r="E39" s="103"/>
      <c r="F39" s="92"/>
      <c r="G39" s="201">
        <f t="shared" si="14"/>
        <v>0</v>
      </c>
      <c r="H39" s="213"/>
      <c r="I39" s="1104" t="s">
        <v>2</v>
      </c>
      <c r="J39" s="210" t="s">
        <v>561</v>
      </c>
      <c r="K39" s="1103">
        <f>+'６　固定資本装備と減価償却費'!I6</f>
        <v>6480000</v>
      </c>
      <c r="L39" s="1103"/>
      <c r="M39" s="608">
        <v>3</v>
      </c>
      <c r="N39" s="331">
        <f>+K39/M39*0.014*0.3</f>
        <v>9072</v>
      </c>
    </row>
    <row r="40" spans="2:22" ht="15" customHeight="1" thickBot="1" x14ac:dyDescent="0.2">
      <c r="B40" s="988"/>
      <c r="C40" s="497"/>
      <c r="D40" s="92"/>
      <c r="E40" s="103"/>
      <c r="F40" s="92"/>
      <c r="G40" s="201">
        <f t="shared" si="14"/>
        <v>0</v>
      </c>
      <c r="H40" s="213"/>
      <c r="I40" s="1105"/>
      <c r="J40" s="210"/>
      <c r="K40" s="1103"/>
      <c r="L40" s="1103"/>
      <c r="M40" s="542"/>
      <c r="N40" s="331"/>
      <c r="P40" s="181" t="s">
        <v>239</v>
      </c>
      <c r="Q40" s="181"/>
      <c r="R40" s="181"/>
      <c r="S40" s="181"/>
      <c r="T40" s="181"/>
    </row>
    <row r="41" spans="2:22" ht="15" customHeight="1" x14ac:dyDescent="0.15">
      <c r="B41" s="988"/>
      <c r="C41" s="92"/>
      <c r="D41" s="92"/>
      <c r="E41" s="103"/>
      <c r="F41" s="92"/>
      <c r="G41" s="201">
        <f t="shared" si="14"/>
        <v>0</v>
      </c>
      <c r="H41" s="213"/>
      <c r="I41" s="1105"/>
      <c r="J41" s="210"/>
      <c r="K41" s="1103"/>
      <c r="L41" s="1103"/>
      <c r="M41" s="542"/>
      <c r="N41" s="331"/>
      <c r="O41" s="225"/>
      <c r="P41" s="317" t="s">
        <v>232</v>
      </c>
      <c r="Q41" s="1088" t="s">
        <v>240</v>
      </c>
      <c r="R41" s="1088"/>
      <c r="S41" s="540" t="s">
        <v>244</v>
      </c>
      <c r="T41" s="540" t="s">
        <v>243</v>
      </c>
      <c r="U41" s="347" t="s">
        <v>190</v>
      </c>
      <c r="V41" s="348" t="s">
        <v>259</v>
      </c>
    </row>
    <row r="42" spans="2:22" ht="15" customHeight="1" thickBot="1" x14ac:dyDescent="0.2">
      <c r="B42" s="1085"/>
      <c r="C42" s="202" t="s">
        <v>140</v>
      </c>
      <c r="D42" s="202"/>
      <c r="E42" s="202"/>
      <c r="F42" s="202"/>
      <c r="G42" s="203">
        <f>SUM(G29:G41)</f>
        <v>193400</v>
      </c>
      <c r="H42" s="213"/>
      <c r="I42" s="1105"/>
      <c r="J42" s="210"/>
      <c r="K42" s="1103"/>
      <c r="L42" s="1103"/>
      <c r="M42" s="542"/>
      <c r="N42" s="331"/>
      <c r="O42" s="225"/>
      <c r="P42" s="1099" t="s">
        <v>241</v>
      </c>
      <c r="Q42" s="323"/>
      <c r="R42" s="352"/>
      <c r="S42" s="324"/>
      <c r="T42" s="353"/>
      <c r="U42" s="324"/>
      <c r="V42" s="331"/>
    </row>
    <row r="43" spans="2:22" ht="15" customHeight="1" thickTop="1" x14ac:dyDescent="0.15">
      <c r="B43" s="1084" t="s">
        <v>173</v>
      </c>
      <c r="C43" s="92" t="s">
        <v>762</v>
      </c>
      <c r="D43" s="92">
        <f>+農薬算出基礎!D12*10/農薬算出基礎!C12*1000/農薬算出基礎!E12</f>
        <v>11.111111111111111</v>
      </c>
      <c r="E43" s="103" t="s">
        <v>138</v>
      </c>
      <c r="F43" s="92">
        <f>+農薬算出基礎!F12</f>
        <v>2560</v>
      </c>
      <c r="G43" s="201">
        <f>D43*F43</f>
        <v>28444.444444444445</v>
      </c>
      <c r="H43" s="213"/>
      <c r="I43" s="1105"/>
      <c r="J43" s="210"/>
      <c r="K43" s="1103"/>
      <c r="L43" s="1103"/>
      <c r="M43" s="542"/>
      <c r="N43" s="331"/>
      <c r="O43" s="225"/>
      <c r="P43" s="1097"/>
      <c r="Q43" s="323" t="s">
        <v>447</v>
      </c>
      <c r="R43" s="352" t="s">
        <v>644</v>
      </c>
      <c r="S43" s="324"/>
      <c r="T43" s="353"/>
      <c r="U43" s="324">
        <v>1</v>
      </c>
      <c r="V43" s="331">
        <v>64150</v>
      </c>
    </row>
    <row r="44" spans="2:22" ht="15" customHeight="1" x14ac:dyDescent="0.15">
      <c r="B44" s="988"/>
      <c r="C44" s="92" t="s">
        <v>763</v>
      </c>
      <c r="D44" s="92">
        <f>+農薬算出基礎!D13*10/農薬算出基礎!C13*1000/農薬算出基礎!E13</f>
        <v>4</v>
      </c>
      <c r="E44" s="103" t="s">
        <v>138</v>
      </c>
      <c r="F44" s="92">
        <f>+農薬算出基礎!F13</f>
        <v>2380</v>
      </c>
      <c r="G44" s="201">
        <f>D44*F44</f>
        <v>9520</v>
      </c>
      <c r="H44" s="213"/>
      <c r="I44" s="1105"/>
      <c r="J44" s="210"/>
      <c r="K44" s="1103"/>
      <c r="L44" s="1103"/>
      <c r="M44" s="542"/>
      <c r="N44" s="331"/>
      <c r="O44" s="225"/>
      <c r="P44" s="1097"/>
      <c r="Q44" s="323"/>
      <c r="R44" s="352"/>
      <c r="S44" s="324"/>
      <c r="T44" s="353"/>
      <c r="U44" s="324"/>
      <c r="V44" s="331"/>
    </row>
    <row r="45" spans="2:22" ht="15" customHeight="1" x14ac:dyDescent="0.15">
      <c r="B45" s="988"/>
      <c r="C45" s="92" t="s">
        <v>764</v>
      </c>
      <c r="D45" s="92">
        <f>+農薬算出基礎!D14*10/農薬算出基礎!C14*1000/農薬算出基礎!E14+農薬算出基礎!D18*10/農薬算出基礎!C18*1000/農薬算出基礎!E18</f>
        <v>4.5</v>
      </c>
      <c r="E45" s="103" t="s">
        <v>138</v>
      </c>
      <c r="F45" s="92">
        <f>+農薬算出基礎!F14+農薬算出基礎!F17</f>
        <v>11640</v>
      </c>
      <c r="G45" s="201">
        <f t="shared" ref="G45:G56" si="16">D45*F45</f>
        <v>52380</v>
      </c>
      <c r="H45" s="213"/>
      <c r="I45" s="1105"/>
      <c r="J45" s="210"/>
      <c r="K45" s="1103"/>
      <c r="L45" s="1103"/>
      <c r="M45" s="542"/>
      <c r="N45" s="331"/>
      <c r="O45" s="225"/>
      <c r="P45" s="1097"/>
      <c r="Q45" s="323" t="s">
        <v>247</v>
      </c>
      <c r="R45" s="352"/>
      <c r="S45" s="324"/>
      <c r="T45" s="353"/>
      <c r="U45" s="324"/>
      <c r="V45" s="331"/>
    </row>
    <row r="46" spans="2:22" ht="15" customHeight="1" thickBot="1" x14ac:dyDescent="0.2">
      <c r="B46" s="988"/>
      <c r="C46" s="92" t="s">
        <v>765</v>
      </c>
      <c r="D46" s="377">
        <f>+農薬算出基礎!D15*10/農薬算出基礎!C15*1000/農薬算出基礎!E15</f>
        <v>3</v>
      </c>
      <c r="E46" s="103" t="s">
        <v>138</v>
      </c>
      <c r="F46" s="377">
        <f>+農薬算出基礎!F15</f>
        <v>3180</v>
      </c>
      <c r="G46" s="201">
        <f t="shared" si="16"/>
        <v>9540</v>
      </c>
      <c r="H46" s="213"/>
      <c r="I46" s="1106"/>
      <c r="J46" s="319" t="s">
        <v>141</v>
      </c>
      <c r="K46" s="1107"/>
      <c r="L46" s="1108"/>
      <c r="M46" s="320"/>
      <c r="N46" s="327">
        <f>SUM(N39:N45)</f>
        <v>9072</v>
      </c>
      <c r="O46" s="225"/>
      <c r="P46" s="1097"/>
      <c r="Q46" s="323"/>
      <c r="R46" s="352"/>
      <c r="S46" s="324"/>
      <c r="T46" s="353"/>
      <c r="U46" s="324"/>
      <c r="V46" s="331"/>
    </row>
    <row r="47" spans="2:22" ht="15" customHeight="1" thickTop="1" x14ac:dyDescent="0.15">
      <c r="B47" s="988"/>
      <c r="C47" s="377" t="s">
        <v>766</v>
      </c>
      <c r="D47" s="377">
        <f>+農薬算出基礎!D16*10/農薬算出基礎!C16*1000/農薬算出基礎!E16</f>
        <v>4</v>
      </c>
      <c r="E47" s="103" t="s">
        <v>138</v>
      </c>
      <c r="F47" s="377">
        <f>+農薬算出基礎!F16</f>
        <v>4900</v>
      </c>
      <c r="G47" s="201">
        <f t="shared" si="16"/>
        <v>19600</v>
      </c>
      <c r="H47" s="213"/>
      <c r="I47" s="1121" t="s">
        <v>235</v>
      </c>
      <c r="J47" s="321" t="s">
        <v>735</v>
      </c>
      <c r="K47" s="1111">
        <v>8200</v>
      </c>
      <c r="L47" s="1111"/>
      <c r="M47" s="659">
        <v>3</v>
      </c>
      <c r="N47" s="331">
        <f t="shared" ref="N47" si="17">+K47/M47</f>
        <v>2733.3333333333335</v>
      </c>
      <c r="O47" s="225"/>
      <c r="P47" s="1097"/>
      <c r="Q47" s="323"/>
      <c r="R47" s="352"/>
      <c r="S47" s="324"/>
      <c r="T47" s="353"/>
      <c r="U47" s="324"/>
      <c r="V47" s="331"/>
    </row>
    <row r="48" spans="2:22" ht="15" customHeight="1" thickBot="1" x14ac:dyDescent="0.2">
      <c r="B48" s="988"/>
      <c r="C48" s="377" t="s">
        <v>767</v>
      </c>
      <c r="D48" s="92">
        <f>+農薬算出基礎!D17*10/農薬算出基礎!C17*1000/農薬算出基礎!E17</f>
        <v>4</v>
      </c>
      <c r="E48" s="103" t="s">
        <v>138</v>
      </c>
      <c r="F48" s="92">
        <f>+農薬算出基礎!F17</f>
        <v>3300</v>
      </c>
      <c r="G48" s="201">
        <f t="shared" si="16"/>
        <v>13200</v>
      </c>
      <c r="H48" s="213"/>
      <c r="I48" s="1122"/>
      <c r="J48" s="323"/>
      <c r="K48" s="1103"/>
      <c r="L48" s="1103"/>
      <c r="M48" s="542"/>
      <c r="N48" s="331"/>
      <c r="O48" s="225"/>
      <c r="P48" s="1100"/>
      <c r="Q48" s="332" t="s">
        <v>246</v>
      </c>
      <c r="R48" s="333"/>
      <c r="S48" s="333"/>
      <c r="T48" s="333"/>
      <c r="U48" s="333"/>
      <c r="V48" s="334">
        <f>SUM(V42:V47)</f>
        <v>64150</v>
      </c>
    </row>
    <row r="49" spans="2:22" ht="15" customHeight="1" thickTop="1" x14ac:dyDescent="0.15">
      <c r="B49" s="988"/>
      <c r="C49" s="92"/>
      <c r="D49" s="92"/>
      <c r="E49" s="103"/>
      <c r="F49" s="92"/>
      <c r="G49" s="201">
        <f t="shared" si="16"/>
        <v>0</v>
      </c>
      <c r="H49" s="213"/>
      <c r="I49" s="1122"/>
      <c r="J49" s="210"/>
      <c r="K49" s="1103"/>
      <c r="L49" s="1103"/>
      <c r="M49" s="542"/>
      <c r="N49" s="331"/>
      <c r="O49" s="225"/>
      <c r="P49" s="1096" t="s">
        <v>252</v>
      </c>
      <c r="Q49" s="1093" t="s">
        <v>261</v>
      </c>
      <c r="R49" s="354"/>
      <c r="S49" s="321"/>
      <c r="T49" s="355"/>
      <c r="U49" s="321"/>
      <c r="V49" s="349"/>
    </row>
    <row r="50" spans="2:22" ht="15" customHeight="1" thickBot="1" x14ac:dyDescent="0.2">
      <c r="B50" s="988"/>
      <c r="C50" s="92"/>
      <c r="D50" s="92"/>
      <c r="E50" s="92"/>
      <c r="F50" s="92"/>
      <c r="G50" s="201">
        <f t="shared" si="16"/>
        <v>0</v>
      </c>
      <c r="H50" s="213"/>
      <c r="I50" s="1131"/>
      <c r="J50" s="319" t="s">
        <v>141</v>
      </c>
      <c r="K50" s="1107"/>
      <c r="L50" s="1108"/>
      <c r="M50" s="320"/>
      <c r="N50" s="327">
        <f>SUM(N47:N49)</f>
        <v>2733.3333333333335</v>
      </c>
      <c r="O50" s="225"/>
      <c r="P50" s="1097"/>
      <c r="Q50" s="1094"/>
      <c r="R50" s="356"/>
      <c r="S50" s="323"/>
      <c r="T50" s="353"/>
      <c r="U50" s="323"/>
      <c r="V50" s="331"/>
    </row>
    <row r="51" spans="2:22" ht="15" customHeight="1" thickTop="1" x14ac:dyDescent="0.15">
      <c r="B51" s="988"/>
      <c r="C51" s="92"/>
      <c r="D51" s="92"/>
      <c r="E51" s="92"/>
      <c r="F51" s="92"/>
      <c r="G51" s="201">
        <f t="shared" si="16"/>
        <v>0</v>
      </c>
      <c r="H51" s="213"/>
      <c r="I51" s="1121" t="s">
        <v>236</v>
      </c>
      <c r="J51" s="321"/>
      <c r="K51" s="1111"/>
      <c r="L51" s="1111"/>
      <c r="M51" s="543"/>
      <c r="N51" s="349"/>
      <c r="O51" s="225"/>
      <c r="P51" s="1097"/>
      <c r="Q51" s="1094"/>
      <c r="R51" s="356"/>
      <c r="S51" s="323"/>
      <c r="T51" s="323"/>
      <c r="U51" s="210"/>
      <c r="V51" s="357"/>
    </row>
    <row r="52" spans="2:22" ht="15" customHeight="1" x14ac:dyDescent="0.15">
      <c r="B52" s="988"/>
      <c r="C52" s="92"/>
      <c r="D52" s="92"/>
      <c r="E52" s="92"/>
      <c r="F52" s="92"/>
      <c r="G52" s="201">
        <f t="shared" si="16"/>
        <v>0</v>
      </c>
      <c r="H52" s="213"/>
      <c r="I52" s="1122"/>
      <c r="J52" s="323"/>
      <c r="K52" s="1103"/>
      <c r="L52" s="1103"/>
      <c r="M52" s="542"/>
      <c r="N52" s="331"/>
      <c r="O52" s="225"/>
      <c r="P52" s="1097"/>
      <c r="Q52" s="1094"/>
      <c r="R52" s="356" t="s">
        <v>251</v>
      </c>
      <c r="S52" s="323">
        <v>15600</v>
      </c>
      <c r="T52" s="353">
        <v>1</v>
      </c>
      <c r="U52" s="609">
        <v>1.5</v>
      </c>
      <c r="V52" s="331">
        <f>+S52*T52/U52</f>
        <v>10400</v>
      </c>
    </row>
    <row r="53" spans="2:22" ht="15" customHeight="1" thickBot="1" x14ac:dyDescent="0.2">
      <c r="B53" s="1085"/>
      <c r="C53" s="204" t="s">
        <v>141</v>
      </c>
      <c r="D53" s="205"/>
      <c r="E53" s="205"/>
      <c r="F53" s="205"/>
      <c r="G53" s="206">
        <f>SUM(G43:G52)</f>
        <v>132684.44444444444</v>
      </c>
      <c r="H53" s="213"/>
      <c r="I53" s="1122"/>
      <c r="J53" s="210"/>
      <c r="K53" s="1103"/>
      <c r="L53" s="1103"/>
      <c r="M53" s="542"/>
      <c r="N53" s="331"/>
      <c r="O53" s="225"/>
      <c r="P53" s="1097"/>
      <c r="Q53" s="1095"/>
      <c r="R53" s="356"/>
      <c r="S53" s="323"/>
      <c r="T53" s="323"/>
      <c r="U53" s="210"/>
      <c r="V53" s="357"/>
    </row>
    <row r="54" spans="2:22" ht="15" customHeight="1" thickTop="1" thickBot="1" x14ac:dyDescent="0.2">
      <c r="B54" s="1084" t="s">
        <v>31</v>
      </c>
      <c r="C54" s="92" t="s">
        <v>770</v>
      </c>
      <c r="D54" s="92">
        <f>+農薬算出基礎!D20*10*2/農薬算出基礎!C20*1000/農薬算出基礎!E20</f>
        <v>0.90909090909090906</v>
      </c>
      <c r="E54" s="103" t="s">
        <v>142</v>
      </c>
      <c r="F54" s="92">
        <f>+農薬算出基礎!F20</f>
        <v>45740</v>
      </c>
      <c r="G54" s="201">
        <f t="shared" si="16"/>
        <v>41581.818181818184</v>
      </c>
      <c r="H54" s="213"/>
      <c r="I54" s="1131"/>
      <c r="J54" s="319" t="s">
        <v>141</v>
      </c>
      <c r="K54" s="1107"/>
      <c r="L54" s="1108"/>
      <c r="M54" s="320"/>
      <c r="N54" s="327">
        <f>SUM(N51:N53)</f>
        <v>0</v>
      </c>
      <c r="O54" s="225"/>
      <c r="P54" s="1097"/>
      <c r="Q54" s="332" t="s">
        <v>246</v>
      </c>
      <c r="R54" s="333"/>
      <c r="S54" s="333"/>
      <c r="T54" s="333"/>
      <c r="U54" s="333"/>
      <c r="V54" s="334">
        <f>SUM(V49:V53)</f>
        <v>10400</v>
      </c>
    </row>
    <row r="55" spans="2:22" ht="15" customHeight="1" thickTop="1" x14ac:dyDescent="0.15">
      <c r="B55" s="988"/>
      <c r="C55" s="92"/>
      <c r="D55" s="92"/>
      <c r="E55" s="92"/>
      <c r="F55" s="92"/>
      <c r="G55" s="201">
        <f t="shared" si="16"/>
        <v>0</v>
      </c>
      <c r="H55" s="213"/>
      <c r="I55" s="1121" t="s">
        <v>237</v>
      </c>
      <c r="J55" s="321"/>
      <c r="K55" s="1123"/>
      <c r="L55" s="1124"/>
      <c r="M55" s="335"/>
      <c r="N55" s="350"/>
      <c r="O55" s="225"/>
      <c r="P55" s="1097"/>
      <c r="Q55" s="1093" t="s">
        <v>262</v>
      </c>
      <c r="R55" s="354"/>
      <c r="S55" s="321"/>
      <c r="T55" s="355"/>
      <c r="U55" s="321"/>
      <c r="V55" s="349"/>
    </row>
    <row r="56" spans="2:22" ht="15" customHeight="1" x14ac:dyDescent="0.15">
      <c r="B56" s="988"/>
      <c r="C56" s="92"/>
      <c r="D56" s="92"/>
      <c r="E56" s="92"/>
      <c r="F56" s="92"/>
      <c r="G56" s="201">
        <f t="shared" si="16"/>
        <v>0</v>
      </c>
      <c r="H56" s="213"/>
      <c r="I56" s="1122"/>
      <c r="J56" s="323" t="s">
        <v>736</v>
      </c>
      <c r="K56" s="1125">
        <v>1600</v>
      </c>
      <c r="L56" s="1126"/>
      <c r="M56" s="336">
        <v>3</v>
      </c>
      <c r="N56" s="331">
        <f t="shared" ref="N56" si="18">+K56/M56</f>
        <v>533.33333333333337</v>
      </c>
      <c r="O56" s="225"/>
      <c r="P56" s="1097"/>
      <c r="Q56" s="1094"/>
      <c r="R56" s="356"/>
      <c r="S56" s="323"/>
      <c r="T56" s="353"/>
      <c r="U56" s="323"/>
      <c r="V56" s="331"/>
    </row>
    <row r="57" spans="2:22" ht="14.25" thickBot="1" x14ac:dyDescent="0.2">
      <c r="B57" s="1085"/>
      <c r="C57" s="204" t="s">
        <v>141</v>
      </c>
      <c r="D57" s="205"/>
      <c r="E57" s="205"/>
      <c r="F57" s="205"/>
      <c r="G57" s="206">
        <f>SUM(G54:G56)</f>
        <v>41581.818181818184</v>
      </c>
      <c r="I57" s="1122"/>
      <c r="J57" s="323"/>
      <c r="K57" s="1125"/>
      <c r="L57" s="1126"/>
      <c r="M57" s="336"/>
      <c r="N57" s="331"/>
      <c r="O57" s="225"/>
      <c r="P57" s="1097"/>
      <c r="Q57" s="1094"/>
      <c r="R57" s="356"/>
      <c r="S57" s="323"/>
      <c r="T57" s="323"/>
      <c r="U57" s="210"/>
      <c r="V57" s="357"/>
    </row>
    <row r="58" spans="2:22" ht="14.25" thickTop="1" x14ac:dyDescent="0.15">
      <c r="B58" s="1084" t="s">
        <v>175</v>
      </c>
      <c r="C58" s="92" t="s">
        <v>771</v>
      </c>
      <c r="D58" s="92">
        <f>+農薬算出基礎!G24*10/農薬算出基礎!E24</f>
        <v>10</v>
      </c>
      <c r="E58" s="103" t="s">
        <v>143</v>
      </c>
      <c r="F58" s="92">
        <f>+農薬算出基礎!F24</f>
        <v>840</v>
      </c>
      <c r="G58" s="201">
        <f>D58*F58</f>
        <v>8400</v>
      </c>
      <c r="I58" s="1122"/>
      <c r="J58" s="542" t="s">
        <v>251</v>
      </c>
      <c r="K58" s="1127">
        <v>5000</v>
      </c>
      <c r="L58" s="1128"/>
      <c r="M58" s="336">
        <v>3</v>
      </c>
      <c r="N58" s="331">
        <f t="shared" ref="N58" si="19">+K58/M58</f>
        <v>1666.6666666666667</v>
      </c>
      <c r="O58" s="225"/>
      <c r="P58" s="1097"/>
      <c r="Q58" s="1094"/>
      <c r="R58" s="356" t="s">
        <v>251</v>
      </c>
      <c r="S58" s="323">
        <v>25000</v>
      </c>
      <c r="T58" s="353">
        <v>1</v>
      </c>
      <c r="U58" s="609">
        <v>1.5</v>
      </c>
      <c r="V58" s="331">
        <f>+S58*T58/U58</f>
        <v>16666.666666666668</v>
      </c>
    </row>
    <row r="59" spans="2:22" x14ac:dyDescent="0.15">
      <c r="B59" s="988"/>
      <c r="C59" s="92" t="s">
        <v>771</v>
      </c>
      <c r="D59" s="92">
        <f>+農薬算出基礎!G25*10/農薬算出基礎!E25</f>
        <v>10</v>
      </c>
      <c r="E59" s="103" t="s">
        <v>143</v>
      </c>
      <c r="F59" s="92">
        <f>+農薬算出基礎!F25</f>
        <v>1680</v>
      </c>
      <c r="G59" s="201">
        <f>D59*F59</f>
        <v>16800</v>
      </c>
      <c r="I59" s="1122"/>
      <c r="J59" s="323"/>
      <c r="K59" s="1125"/>
      <c r="L59" s="1126"/>
      <c r="M59" s="336"/>
      <c r="N59" s="351"/>
      <c r="O59" s="225"/>
      <c r="P59" s="1097"/>
      <c r="Q59" s="1095"/>
      <c r="R59" s="356"/>
      <c r="S59" s="323"/>
      <c r="T59" s="323"/>
      <c r="U59" s="210"/>
      <c r="V59" s="357"/>
    </row>
    <row r="60" spans="2:22" x14ac:dyDescent="0.15">
      <c r="B60" s="988"/>
      <c r="C60" s="92" t="s">
        <v>771</v>
      </c>
      <c r="D60" s="92">
        <f>+農薬算出基礎!G30*10/農薬算出基礎!E30</f>
        <v>1</v>
      </c>
      <c r="E60" s="103" t="s">
        <v>143</v>
      </c>
      <c r="F60" s="92">
        <f>+農薬算出基礎!F30</f>
        <v>2250</v>
      </c>
      <c r="G60" s="201">
        <f>D60*F60</f>
        <v>2250</v>
      </c>
      <c r="I60" s="1104"/>
      <c r="J60" s="590"/>
      <c r="K60" s="591"/>
      <c r="L60" s="592"/>
      <c r="M60" s="593"/>
      <c r="N60" s="594"/>
      <c r="O60" s="225"/>
      <c r="P60" s="1097"/>
      <c r="Q60" s="595"/>
      <c r="R60" s="596"/>
      <c r="S60" s="590"/>
      <c r="T60" s="590"/>
      <c r="U60" s="597"/>
      <c r="V60" s="598"/>
    </row>
    <row r="61" spans="2:22" x14ac:dyDescent="0.15">
      <c r="B61" s="988"/>
      <c r="C61" s="92" t="s">
        <v>771</v>
      </c>
      <c r="D61" s="92">
        <f>+農薬算出基礎!D27*10/農薬算出基礎!C27*1000/農薬算出基礎!E27</f>
        <v>15</v>
      </c>
      <c r="E61" s="103" t="s">
        <v>143</v>
      </c>
      <c r="F61" s="92">
        <f>+農薬算出基礎!F26</f>
        <v>5540</v>
      </c>
      <c r="G61" s="201">
        <f>D61*F61</f>
        <v>83100</v>
      </c>
      <c r="I61" s="1104"/>
      <c r="J61" s="325" t="s">
        <v>141</v>
      </c>
      <c r="K61" s="1129"/>
      <c r="L61" s="1130"/>
      <c r="M61" s="326"/>
      <c r="N61" s="328">
        <f>SUM(N55:N59)</f>
        <v>2200</v>
      </c>
      <c r="O61" s="225"/>
      <c r="P61" s="1098"/>
      <c r="Q61" s="360" t="s">
        <v>246</v>
      </c>
      <c r="R61" s="361"/>
      <c r="S61" s="361"/>
      <c r="T61" s="361"/>
      <c r="U61" s="361"/>
      <c r="V61" s="362">
        <f>SUM(V55:V59)</f>
        <v>16666.666666666668</v>
      </c>
    </row>
    <row r="62" spans="2:22" ht="14.25" thickBot="1" x14ac:dyDescent="0.2">
      <c r="B62" s="1090"/>
      <c r="C62" s="207" t="s">
        <v>144</v>
      </c>
      <c r="D62" s="208"/>
      <c r="E62" s="208"/>
      <c r="F62" s="208"/>
      <c r="G62" s="209">
        <f>SUM(G58:G61)</f>
        <v>110550</v>
      </c>
      <c r="I62" s="1101" t="s">
        <v>238</v>
      </c>
      <c r="J62" s="1102"/>
      <c r="K62" s="1109"/>
      <c r="L62" s="1110"/>
      <c r="M62" s="232"/>
      <c r="N62" s="329">
        <f>SUM(N46,N50,N54,N61)</f>
        <v>14005.333333333334</v>
      </c>
      <c r="O62" s="225"/>
      <c r="P62" s="1091" t="s">
        <v>238</v>
      </c>
      <c r="Q62" s="1092"/>
      <c r="R62" s="358"/>
      <c r="S62" s="358"/>
      <c r="T62" s="358"/>
      <c r="U62" s="358"/>
      <c r="V62" s="359">
        <f>SUM(V48,V54,V61)</f>
        <v>91216.666666666672</v>
      </c>
    </row>
    <row r="63" spans="2:22" x14ac:dyDescent="0.15">
      <c r="O63" s="225"/>
      <c r="V63" s="93"/>
    </row>
    <row r="64" spans="2:22" x14ac:dyDescent="0.15">
      <c r="I64" s="225"/>
      <c r="J64" s="225"/>
      <c r="K64" s="225"/>
      <c r="L64" s="225"/>
      <c r="M64" s="225"/>
      <c r="N64" s="225"/>
      <c r="O64" s="225"/>
    </row>
    <row r="65" spans="9:15" x14ac:dyDescent="0.15">
      <c r="I65" s="225"/>
      <c r="J65" s="225"/>
      <c r="K65" s="225"/>
      <c r="L65" s="225"/>
      <c r="M65" s="225"/>
      <c r="N65" s="225"/>
      <c r="O65" s="225"/>
    </row>
    <row r="66" spans="9:15" x14ac:dyDescent="0.15">
      <c r="I66" s="225"/>
      <c r="J66" s="225"/>
      <c r="K66" s="225"/>
      <c r="L66" s="225"/>
      <c r="M66" s="225"/>
      <c r="N66" s="225"/>
      <c r="O66" s="225"/>
    </row>
    <row r="67" spans="9:15" x14ac:dyDescent="0.15">
      <c r="I67" s="225"/>
      <c r="J67" s="225"/>
      <c r="K67" s="225"/>
      <c r="L67" s="225"/>
      <c r="M67" s="225"/>
      <c r="N67" s="225"/>
      <c r="O67" s="225"/>
    </row>
    <row r="68" spans="9:15" x14ac:dyDescent="0.15">
      <c r="I68" s="225"/>
      <c r="J68" s="225"/>
      <c r="K68" s="225"/>
      <c r="L68" s="225"/>
      <c r="M68" s="225"/>
      <c r="N68" s="225"/>
      <c r="O68" s="225"/>
    </row>
    <row r="69" spans="9:15" x14ac:dyDescent="0.15">
      <c r="I69" s="225"/>
      <c r="J69" s="225"/>
      <c r="K69" s="225"/>
      <c r="L69" s="225"/>
      <c r="M69" s="225"/>
      <c r="N69" s="225"/>
      <c r="O69" s="225"/>
    </row>
    <row r="70" spans="9:15" x14ac:dyDescent="0.15">
      <c r="I70" s="225"/>
      <c r="J70" s="225"/>
      <c r="K70" s="225"/>
      <c r="L70" s="225"/>
      <c r="M70" s="225"/>
      <c r="N70" s="225"/>
      <c r="O70" s="225"/>
    </row>
    <row r="71" spans="9:15" x14ac:dyDescent="0.15">
      <c r="I71" s="225"/>
      <c r="J71" s="225"/>
      <c r="K71" s="225"/>
      <c r="L71" s="225"/>
      <c r="M71" s="225"/>
      <c r="N71" s="225"/>
      <c r="O71" s="225"/>
    </row>
    <row r="72" spans="9:15" x14ac:dyDescent="0.15">
      <c r="I72" s="225"/>
      <c r="J72" s="225"/>
      <c r="K72" s="225"/>
      <c r="L72" s="225"/>
      <c r="M72" s="225"/>
      <c r="N72" s="225"/>
      <c r="O72" s="225"/>
    </row>
    <row r="73" spans="9:15" x14ac:dyDescent="0.15">
      <c r="I73" s="225"/>
      <c r="J73" s="225"/>
      <c r="K73" s="225"/>
      <c r="L73" s="225"/>
      <c r="M73" s="225"/>
      <c r="N73" s="225"/>
      <c r="O73" s="225"/>
    </row>
    <row r="74" spans="9:15" x14ac:dyDescent="0.15">
      <c r="I74" s="225"/>
      <c r="J74" s="225"/>
      <c r="K74" s="225"/>
      <c r="L74" s="225"/>
      <c r="M74" s="225"/>
      <c r="N74" s="225"/>
      <c r="O74" s="225"/>
    </row>
    <row r="75" spans="9:15" x14ac:dyDescent="0.15">
      <c r="I75" s="225"/>
      <c r="J75" s="225"/>
      <c r="K75" s="225"/>
      <c r="L75" s="225"/>
      <c r="M75" s="225"/>
      <c r="N75" s="225"/>
      <c r="O75" s="225"/>
    </row>
    <row r="76" spans="9:15" x14ac:dyDescent="0.15">
      <c r="I76" s="225"/>
      <c r="J76" s="225"/>
      <c r="K76" s="225"/>
      <c r="L76" s="225"/>
      <c r="M76" s="225"/>
      <c r="N76" s="225"/>
      <c r="O76" s="225"/>
    </row>
    <row r="77" spans="9:15" x14ac:dyDescent="0.15">
      <c r="I77" s="225"/>
      <c r="J77" s="225"/>
      <c r="K77" s="225"/>
      <c r="L77" s="225"/>
      <c r="M77" s="225"/>
      <c r="N77" s="225"/>
      <c r="O77" s="225"/>
    </row>
    <row r="78" spans="9:15" x14ac:dyDescent="0.15">
      <c r="I78" s="225"/>
      <c r="J78" s="225"/>
      <c r="K78" s="225"/>
      <c r="L78" s="225"/>
      <c r="M78" s="225"/>
      <c r="N78" s="225"/>
      <c r="O78" s="225"/>
    </row>
    <row r="79" spans="9:15" x14ac:dyDescent="0.15">
      <c r="I79" s="225"/>
      <c r="J79" s="225"/>
      <c r="K79" s="225"/>
      <c r="L79" s="225"/>
      <c r="M79" s="225"/>
      <c r="N79" s="225"/>
      <c r="O79" s="225"/>
    </row>
    <row r="80" spans="9:15" x14ac:dyDescent="0.15">
      <c r="I80" s="225"/>
      <c r="J80" s="225"/>
      <c r="K80" s="225"/>
      <c r="L80" s="225"/>
      <c r="M80" s="225"/>
      <c r="N80" s="225"/>
      <c r="O80" s="225"/>
    </row>
    <row r="81" spans="2:15" x14ac:dyDescent="0.15">
      <c r="I81" s="225"/>
      <c r="J81" s="225"/>
      <c r="K81" s="225"/>
      <c r="L81" s="225"/>
      <c r="M81" s="225"/>
      <c r="N81" s="225"/>
      <c r="O81" s="225"/>
    </row>
    <row r="82" spans="2:15" x14ac:dyDescent="0.15">
      <c r="I82" s="225"/>
      <c r="J82" s="225"/>
      <c r="K82" s="225"/>
      <c r="L82" s="225"/>
      <c r="M82" s="225"/>
      <c r="N82" s="225"/>
      <c r="O82" s="225"/>
    </row>
    <row r="83" spans="2:15" x14ac:dyDescent="0.15">
      <c r="I83" s="225"/>
      <c r="J83" s="225"/>
      <c r="K83" s="225"/>
      <c r="L83" s="225"/>
      <c r="M83" s="225"/>
      <c r="N83" s="225"/>
      <c r="O83" s="225"/>
    </row>
    <row r="84" spans="2:15" x14ac:dyDescent="0.15">
      <c r="I84" s="225"/>
      <c r="J84" s="225"/>
      <c r="K84" s="225"/>
      <c r="L84" s="225"/>
      <c r="M84" s="225"/>
      <c r="N84" s="225"/>
      <c r="O84" s="225"/>
    </row>
    <row r="85" spans="2:15" x14ac:dyDescent="0.15">
      <c r="I85" s="225"/>
      <c r="J85" s="225"/>
      <c r="K85" s="225"/>
      <c r="L85" s="225"/>
      <c r="M85" s="225"/>
      <c r="N85" s="225"/>
      <c r="O85" s="225"/>
    </row>
    <row r="86" spans="2:15" x14ac:dyDescent="0.15">
      <c r="I86" s="225"/>
      <c r="J86" s="225"/>
      <c r="K86" s="225"/>
      <c r="L86" s="225"/>
      <c r="M86" s="225"/>
      <c r="N86" s="225"/>
      <c r="O86" s="225"/>
    </row>
    <row r="87" spans="2:15" x14ac:dyDescent="0.15">
      <c r="I87" s="225"/>
      <c r="J87" s="225"/>
      <c r="K87" s="225"/>
      <c r="L87" s="225"/>
      <c r="M87" s="225"/>
      <c r="N87" s="225"/>
      <c r="O87" s="225"/>
    </row>
    <row r="88" spans="2:15" x14ac:dyDescent="0.15">
      <c r="B88" s="212"/>
      <c r="C88" s="213"/>
      <c r="D88" s="213"/>
      <c r="E88" s="213"/>
      <c r="F88" s="213"/>
      <c r="I88" s="225"/>
      <c r="J88" s="225"/>
      <c r="K88" s="225"/>
      <c r="L88" s="225"/>
      <c r="M88" s="225"/>
      <c r="N88" s="225"/>
      <c r="O88" s="225"/>
    </row>
    <row r="89" spans="2:15" x14ac:dyDescent="0.15">
      <c r="B89" s="212"/>
      <c r="C89" s="213"/>
      <c r="D89" s="213"/>
      <c r="E89" s="213"/>
      <c r="F89" s="213"/>
      <c r="I89" s="225"/>
      <c r="J89" s="225"/>
      <c r="K89" s="225"/>
      <c r="L89" s="225"/>
      <c r="M89" s="225"/>
      <c r="N89" s="225"/>
      <c r="O89" s="225"/>
    </row>
    <row r="90" spans="2:15" x14ac:dyDescent="0.15">
      <c r="I90" s="225"/>
      <c r="J90" s="225"/>
      <c r="K90" s="225"/>
      <c r="L90" s="225"/>
      <c r="M90" s="225"/>
      <c r="N90" s="225"/>
      <c r="O90" s="225"/>
    </row>
    <row r="91" spans="2:15" x14ac:dyDescent="0.15">
      <c r="I91" s="225"/>
      <c r="J91" s="225"/>
      <c r="K91" s="225"/>
      <c r="L91" s="225"/>
      <c r="M91" s="225"/>
      <c r="N91" s="225"/>
      <c r="O91" s="225"/>
    </row>
    <row r="92" spans="2:15" x14ac:dyDescent="0.15">
      <c r="I92" s="225"/>
      <c r="J92" s="225"/>
      <c r="K92" s="225"/>
      <c r="L92" s="225"/>
      <c r="M92" s="225"/>
      <c r="N92" s="225"/>
      <c r="O92" s="225"/>
    </row>
    <row r="93" spans="2:15" x14ac:dyDescent="0.15">
      <c r="I93" s="225"/>
      <c r="J93" s="225"/>
      <c r="K93" s="225"/>
      <c r="L93" s="225"/>
      <c r="M93" s="225"/>
      <c r="N93" s="225"/>
      <c r="O93" s="225"/>
    </row>
    <row r="94" spans="2:15" x14ac:dyDescent="0.15">
      <c r="I94" s="225"/>
      <c r="J94" s="225"/>
      <c r="K94" s="225"/>
      <c r="L94" s="225"/>
      <c r="M94" s="225"/>
      <c r="N94" s="225"/>
      <c r="O94" s="225"/>
    </row>
    <row r="95" spans="2:15" x14ac:dyDescent="0.15">
      <c r="I95" s="225"/>
      <c r="J95" s="225"/>
      <c r="K95" s="225"/>
      <c r="L95" s="225"/>
      <c r="M95" s="225"/>
      <c r="N95" s="225"/>
      <c r="O95" s="225"/>
    </row>
    <row r="96" spans="2:15" x14ac:dyDescent="0.15">
      <c r="I96" s="225"/>
      <c r="J96" s="225"/>
      <c r="K96" s="225"/>
      <c r="L96" s="225"/>
      <c r="M96" s="225"/>
      <c r="N96" s="225"/>
      <c r="O96" s="225"/>
    </row>
    <row r="97" spans="9:15" x14ac:dyDescent="0.15">
      <c r="I97" s="225"/>
      <c r="J97" s="225"/>
      <c r="K97" s="225"/>
      <c r="L97" s="225"/>
      <c r="M97" s="225"/>
      <c r="N97" s="225"/>
      <c r="O97" s="225"/>
    </row>
    <row r="98" spans="9:15" x14ac:dyDescent="0.15">
      <c r="I98" s="225"/>
      <c r="J98" s="225"/>
      <c r="K98" s="225"/>
      <c r="L98" s="225"/>
      <c r="M98" s="225"/>
      <c r="N98" s="225"/>
      <c r="O98" s="225"/>
    </row>
    <row r="99" spans="9:15" x14ac:dyDescent="0.15">
      <c r="I99" s="225"/>
      <c r="J99" s="225"/>
      <c r="K99" s="225"/>
      <c r="L99" s="225"/>
      <c r="M99" s="225"/>
      <c r="N99" s="225"/>
      <c r="O99" s="225"/>
    </row>
    <row r="100" spans="9:15" x14ac:dyDescent="0.15">
      <c r="I100" s="225"/>
      <c r="J100" s="225"/>
      <c r="K100" s="225"/>
      <c r="L100" s="225"/>
      <c r="M100" s="225"/>
      <c r="N100" s="225"/>
      <c r="O100" s="225"/>
    </row>
    <row r="101" spans="9:15" x14ac:dyDescent="0.15">
      <c r="I101" s="225"/>
      <c r="J101" s="225"/>
      <c r="K101" s="225"/>
      <c r="L101" s="225"/>
      <c r="M101" s="225"/>
      <c r="N101" s="225"/>
      <c r="O101" s="225"/>
    </row>
    <row r="102" spans="9:15" x14ac:dyDescent="0.15">
      <c r="I102" s="225"/>
      <c r="J102" s="225"/>
      <c r="K102" s="225"/>
      <c r="L102" s="225"/>
      <c r="M102" s="225"/>
      <c r="N102" s="225"/>
      <c r="O102" s="225"/>
    </row>
    <row r="103" spans="9:15" x14ac:dyDescent="0.15">
      <c r="I103" s="225"/>
      <c r="J103" s="225"/>
      <c r="K103" s="225"/>
      <c r="L103" s="225"/>
      <c r="M103" s="225"/>
      <c r="N103" s="225"/>
      <c r="O103" s="225"/>
    </row>
    <row r="104" spans="9:15" x14ac:dyDescent="0.15">
      <c r="I104" s="225"/>
      <c r="J104" s="225"/>
      <c r="K104" s="225"/>
      <c r="L104" s="225"/>
      <c r="M104" s="225"/>
      <c r="N104" s="225"/>
      <c r="O104" s="225"/>
    </row>
    <row r="105" spans="9:15" x14ac:dyDescent="0.15">
      <c r="I105" s="225"/>
      <c r="J105" s="225"/>
      <c r="K105" s="225"/>
      <c r="L105" s="225"/>
      <c r="M105" s="225"/>
      <c r="N105" s="225"/>
      <c r="O105" s="225"/>
    </row>
    <row r="106" spans="9:15" x14ac:dyDescent="0.15">
      <c r="I106" s="225"/>
      <c r="J106" s="225"/>
      <c r="K106" s="225"/>
      <c r="L106" s="225"/>
      <c r="M106" s="225"/>
      <c r="N106" s="225"/>
      <c r="O106" s="225"/>
    </row>
    <row r="107" spans="9:15" x14ac:dyDescent="0.15">
      <c r="I107" s="225"/>
      <c r="J107" s="225"/>
      <c r="K107" s="225"/>
      <c r="L107" s="225"/>
      <c r="M107" s="225"/>
      <c r="N107" s="225"/>
      <c r="O107" s="225"/>
    </row>
    <row r="108" spans="9:15" x14ac:dyDescent="0.15">
      <c r="I108" s="225"/>
      <c r="J108" s="225"/>
      <c r="K108" s="225"/>
      <c r="L108" s="225"/>
      <c r="M108" s="225"/>
      <c r="N108" s="225"/>
      <c r="O108" s="225"/>
    </row>
    <row r="109" spans="9:15" x14ac:dyDescent="0.15">
      <c r="I109" s="225"/>
      <c r="J109" s="225"/>
      <c r="K109" s="225"/>
      <c r="L109" s="225"/>
      <c r="M109" s="225"/>
      <c r="N109" s="225"/>
      <c r="O109" s="225"/>
    </row>
    <row r="110" spans="9:15" x14ac:dyDescent="0.15">
      <c r="I110" s="225"/>
      <c r="J110" s="225"/>
      <c r="K110" s="225"/>
      <c r="L110" s="225"/>
      <c r="M110" s="225"/>
      <c r="N110" s="225"/>
      <c r="O110" s="225"/>
    </row>
    <row r="111" spans="9:15" x14ac:dyDescent="0.15">
      <c r="I111" s="225"/>
      <c r="J111" s="225"/>
      <c r="K111" s="225"/>
      <c r="L111" s="225"/>
      <c r="M111" s="225"/>
      <c r="N111" s="225"/>
      <c r="O111" s="225"/>
    </row>
    <row r="112" spans="9:15" x14ac:dyDescent="0.15">
      <c r="I112" s="225"/>
      <c r="J112" s="225"/>
      <c r="K112" s="225"/>
      <c r="L112" s="225"/>
      <c r="M112" s="225"/>
      <c r="N112" s="225"/>
      <c r="O112" s="225"/>
    </row>
    <row r="113" spans="9:15" x14ac:dyDescent="0.15">
      <c r="I113" s="225"/>
      <c r="J113" s="225"/>
      <c r="K113" s="225"/>
      <c r="L113" s="225"/>
      <c r="M113" s="225"/>
      <c r="N113" s="225"/>
      <c r="O113" s="225"/>
    </row>
    <row r="114" spans="9:15" x14ac:dyDescent="0.15">
      <c r="I114" s="225"/>
      <c r="J114" s="225"/>
      <c r="K114" s="225"/>
      <c r="L114" s="225"/>
      <c r="M114" s="225"/>
      <c r="N114" s="225"/>
      <c r="O114" s="225"/>
    </row>
    <row r="115" spans="9:15" x14ac:dyDescent="0.15">
      <c r="I115" s="225"/>
      <c r="J115" s="225"/>
      <c r="K115" s="225"/>
      <c r="L115" s="225"/>
      <c r="M115" s="225"/>
      <c r="N115" s="225"/>
      <c r="O115" s="225"/>
    </row>
    <row r="116" spans="9:15" x14ac:dyDescent="0.15">
      <c r="I116" s="225"/>
      <c r="J116" s="225"/>
      <c r="K116" s="225"/>
      <c r="L116" s="225"/>
      <c r="M116" s="225"/>
      <c r="N116" s="225"/>
      <c r="O116" s="225"/>
    </row>
    <row r="117" spans="9:15" x14ac:dyDescent="0.15">
      <c r="I117" s="225"/>
      <c r="J117" s="225"/>
      <c r="K117" s="225"/>
      <c r="L117" s="225"/>
      <c r="M117" s="225"/>
      <c r="N117" s="225"/>
      <c r="O117" s="225"/>
    </row>
    <row r="118" spans="9:15" x14ac:dyDescent="0.15">
      <c r="I118" s="225"/>
      <c r="J118" s="225"/>
      <c r="K118" s="225"/>
      <c r="L118" s="225"/>
      <c r="M118" s="225"/>
      <c r="N118" s="225"/>
      <c r="O118" s="225"/>
    </row>
    <row r="119" spans="9:15" x14ac:dyDescent="0.15">
      <c r="I119" s="225"/>
      <c r="J119" s="225"/>
      <c r="K119" s="225"/>
      <c r="L119" s="225"/>
      <c r="M119" s="225"/>
      <c r="N119" s="225"/>
      <c r="O119" s="225"/>
    </row>
    <row r="120" spans="9:15" x14ac:dyDescent="0.15">
      <c r="I120" s="225"/>
      <c r="J120" s="225"/>
      <c r="K120" s="225"/>
      <c r="L120" s="225"/>
      <c r="M120" s="225"/>
      <c r="N120" s="225"/>
      <c r="O120" s="225"/>
    </row>
    <row r="121" spans="9:15" x14ac:dyDescent="0.15">
      <c r="I121" s="225"/>
      <c r="J121" s="225"/>
      <c r="K121" s="225"/>
      <c r="L121" s="225"/>
      <c r="M121" s="225"/>
      <c r="N121" s="225"/>
      <c r="O121" s="225"/>
    </row>
    <row r="122" spans="9:15" x14ac:dyDescent="0.15">
      <c r="I122" s="225"/>
      <c r="J122" s="225"/>
      <c r="K122" s="225"/>
      <c r="L122" s="225"/>
      <c r="M122" s="225"/>
      <c r="N122" s="225"/>
      <c r="O122" s="225"/>
    </row>
    <row r="123" spans="9:15" x14ac:dyDescent="0.15">
      <c r="I123" s="225"/>
      <c r="J123" s="225"/>
      <c r="K123" s="225"/>
      <c r="L123" s="225"/>
      <c r="M123" s="225"/>
      <c r="N123" s="225"/>
      <c r="O123" s="225"/>
    </row>
    <row r="124" spans="9:15" x14ac:dyDescent="0.15">
      <c r="I124" s="225"/>
      <c r="J124" s="225"/>
      <c r="K124" s="225"/>
      <c r="L124" s="225"/>
      <c r="M124" s="225"/>
      <c r="N124" s="225"/>
      <c r="O124" s="225"/>
    </row>
    <row r="125" spans="9:15" x14ac:dyDescent="0.15">
      <c r="I125" s="225"/>
      <c r="J125" s="225"/>
      <c r="K125" s="225"/>
      <c r="L125" s="225"/>
      <c r="M125" s="225"/>
      <c r="N125" s="225"/>
      <c r="O125" s="225"/>
    </row>
    <row r="126" spans="9:15" x14ac:dyDescent="0.15">
      <c r="I126" s="225"/>
      <c r="J126" s="225"/>
      <c r="K126" s="225"/>
      <c r="L126" s="225"/>
      <c r="M126" s="225"/>
      <c r="N126" s="225"/>
      <c r="O126" s="225"/>
    </row>
    <row r="127" spans="9:15" x14ac:dyDescent="0.15">
      <c r="I127" s="225"/>
      <c r="J127" s="225"/>
      <c r="K127" s="225"/>
      <c r="L127" s="225"/>
      <c r="M127" s="225"/>
      <c r="N127" s="225"/>
      <c r="O127" s="225"/>
    </row>
    <row r="128" spans="9:15" x14ac:dyDescent="0.15">
      <c r="I128" s="225"/>
      <c r="J128" s="225"/>
      <c r="K128" s="225"/>
      <c r="L128" s="225"/>
      <c r="M128" s="225"/>
      <c r="N128" s="225"/>
      <c r="O128" s="225"/>
    </row>
    <row r="129" spans="9:15" x14ac:dyDescent="0.15">
      <c r="I129" s="225"/>
      <c r="J129" s="225"/>
      <c r="K129" s="225"/>
      <c r="L129" s="225"/>
      <c r="M129" s="225"/>
      <c r="N129" s="225"/>
      <c r="O129" s="225"/>
    </row>
    <row r="130" spans="9:15" x14ac:dyDescent="0.15">
      <c r="I130" s="225"/>
      <c r="J130" s="225"/>
      <c r="K130" s="225"/>
      <c r="L130" s="225"/>
      <c r="M130" s="225"/>
      <c r="N130" s="225"/>
      <c r="O130" s="225"/>
    </row>
    <row r="131" spans="9:15" x14ac:dyDescent="0.15">
      <c r="I131" s="225"/>
      <c r="J131" s="225"/>
      <c r="K131" s="225"/>
      <c r="L131" s="225"/>
      <c r="M131" s="225"/>
      <c r="N131" s="225"/>
      <c r="O131" s="225"/>
    </row>
    <row r="132" spans="9:15" x14ac:dyDescent="0.15">
      <c r="I132" s="225"/>
      <c r="J132" s="225"/>
      <c r="K132" s="225"/>
      <c r="L132" s="225"/>
      <c r="M132" s="225"/>
      <c r="N132" s="225"/>
      <c r="O132" s="225"/>
    </row>
    <row r="133" spans="9:15" x14ac:dyDescent="0.15">
      <c r="I133" s="225"/>
      <c r="J133" s="225"/>
      <c r="K133" s="225"/>
      <c r="L133" s="225"/>
      <c r="M133" s="225"/>
      <c r="N133" s="225"/>
      <c r="O133" s="225"/>
    </row>
    <row r="134" spans="9:15" x14ac:dyDescent="0.15">
      <c r="I134" s="225"/>
      <c r="J134" s="225"/>
      <c r="K134" s="225"/>
      <c r="L134" s="225"/>
      <c r="M134" s="225"/>
      <c r="N134" s="225"/>
      <c r="O134" s="225"/>
    </row>
    <row r="135" spans="9:15" x14ac:dyDescent="0.15">
      <c r="I135" s="225"/>
      <c r="J135" s="225"/>
      <c r="K135" s="225"/>
      <c r="L135" s="225"/>
      <c r="M135" s="225"/>
      <c r="N135" s="225"/>
      <c r="O135" s="225"/>
    </row>
    <row r="136" spans="9:15" x14ac:dyDescent="0.15">
      <c r="I136" s="225"/>
      <c r="J136" s="225"/>
      <c r="K136" s="225"/>
      <c r="L136" s="225"/>
      <c r="M136" s="225"/>
      <c r="N136" s="225"/>
      <c r="O136" s="225"/>
    </row>
    <row r="137" spans="9:15" x14ac:dyDescent="0.15">
      <c r="I137" s="225"/>
      <c r="J137" s="225"/>
      <c r="K137" s="225"/>
      <c r="L137" s="225"/>
      <c r="M137" s="225"/>
      <c r="N137" s="225"/>
      <c r="O137" s="225"/>
    </row>
    <row r="138" spans="9:15" x14ac:dyDescent="0.15">
      <c r="I138" s="225"/>
      <c r="J138" s="225"/>
      <c r="K138" s="225"/>
      <c r="L138" s="225"/>
      <c r="M138" s="225"/>
      <c r="N138" s="225"/>
      <c r="O138" s="225"/>
    </row>
    <row r="139" spans="9:15" x14ac:dyDescent="0.15">
      <c r="I139" s="225"/>
      <c r="J139" s="225"/>
      <c r="K139" s="225"/>
      <c r="L139" s="225"/>
      <c r="M139" s="225"/>
      <c r="N139" s="225"/>
      <c r="O139" s="225"/>
    </row>
    <row r="140" spans="9:15" x14ac:dyDescent="0.15">
      <c r="I140" s="225"/>
      <c r="J140" s="225"/>
      <c r="K140" s="225"/>
      <c r="L140" s="225"/>
      <c r="M140" s="225"/>
      <c r="N140" s="225"/>
      <c r="O140" s="225"/>
    </row>
    <row r="141" spans="9:15" x14ac:dyDescent="0.15">
      <c r="I141" s="225"/>
      <c r="J141" s="225"/>
      <c r="K141" s="225"/>
      <c r="L141" s="225"/>
      <c r="M141" s="225"/>
      <c r="N141" s="225"/>
      <c r="O141" s="225"/>
    </row>
    <row r="142" spans="9:15" x14ac:dyDescent="0.15">
      <c r="I142" s="225"/>
      <c r="J142" s="225"/>
      <c r="K142" s="225"/>
      <c r="L142" s="225"/>
      <c r="M142" s="225"/>
      <c r="N142" s="225"/>
      <c r="O142" s="225"/>
    </row>
    <row r="143" spans="9:15" x14ac:dyDescent="0.15">
      <c r="I143" s="225"/>
      <c r="J143" s="225"/>
      <c r="K143" s="225"/>
      <c r="L143" s="225"/>
      <c r="M143" s="225"/>
      <c r="N143" s="225"/>
      <c r="O143" s="225"/>
    </row>
    <row r="144" spans="9:15" x14ac:dyDescent="0.15">
      <c r="I144" s="225"/>
      <c r="J144" s="225"/>
      <c r="K144" s="225"/>
      <c r="L144" s="225"/>
      <c r="M144" s="225"/>
      <c r="N144" s="225"/>
    </row>
    <row r="145" spans="9:14" x14ac:dyDescent="0.15">
      <c r="I145" s="225"/>
      <c r="J145" s="225"/>
      <c r="K145" s="225"/>
      <c r="L145" s="225"/>
      <c r="M145" s="225"/>
      <c r="N145" s="225"/>
    </row>
    <row r="146" spans="9:14" x14ac:dyDescent="0.15">
      <c r="I146" s="225"/>
      <c r="J146" s="225"/>
      <c r="K146" s="225"/>
      <c r="L146" s="225"/>
      <c r="M146" s="225"/>
      <c r="N146" s="225"/>
    </row>
    <row r="147" spans="9:14" x14ac:dyDescent="0.15">
      <c r="I147" s="225"/>
      <c r="J147" s="225"/>
      <c r="K147" s="225"/>
      <c r="L147" s="225"/>
      <c r="M147" s="225"/>
      <c r="N147" s="225"/>
    </row>
    <row r="148" spans="9:14" x14ac:dyDescent="0.15">
      <c r="I148" s="225"/>
      <c r="J148" s="225"/>
      <c r="K148" s="225"/>
      <c r="L148" s="225"/>
      <c r="M148" s="225"/>
      <c r="N148" s="225"/>
    </row>
    <row r="149" spans="9:14" x14ac:dyDescent="0.15">
      <c r="I149" s="225"/>
      <c r="J149" s="225"/>
      <c r="K149" s="225"/>
      <c r="L149" s="225"/>
      <c r="M149" s="225"/>
      <c r="N149" s="225"/>
    </row>
    <row r="150" spans="9:14" x14ac:dyDescent="0.15">
      <c r="I150" s="225"/>
      <c r="J150" s="225"/>
      <c r="K150" s="225"/>
      <c r="L150" s="225"/>
      <c r="M150" s="225"/>
      <c r="N150" s="225"/>
    </row>
    <row r="151" spans="9:14" x14ac:dyDescent="0.15">
      <c r="I151" s="225"/>
      <c r="J151" s="225"/>
      <c r="K151" s="225"/>
      <c r="L151" s="225"/>
      <c r="M151" s="225"/>
      <c r="N151" s="225"/>
    </row>
    <row r="152" spans="9:14" x14ac:dyDescent="0.15">
      <c r="I152" s="225"/>
      <c r="J152" s="225"/>
      <c r="K152" s="225"/>
      <c r="L152" s="225"/>
      <c r="M152" s="225"/>
      <c r="N152" s="225"/>
    </row>
    <row r="153" spans="9:14" x14ac:dyDescent="0.15">
      <c r="I153" s="225"/>
      <c r="J153" s="225"/>
      <c r="K153" s="225"/>
      <c r="L153" s="225"/>
      <c r="M153" s="225"/>
      <c r="N153" s="225"/>
    </row>
    <row r="154" spans="9:14" x14ac:dyDescent="0.15">
      <c r="I154" s="225"/>
      <c r="J154" s="225"/>
      <c r="K154" s="225"/>
      <c r="L154" s="225"/>
      <c r="M154" s="225"/>
      <c r="N154" s="225"/>
    </row>
    <row r="155" spans="9:14" x14ac:dyDescent="0.15">
      <c r="I155" s="225"/>
      <c r="J155" s="225"/>
      <c r="K155" s="225"/>
      <c r="L155" s="225"/>
      <c r="M155" s="225"/>
      <c r="N155" s="225"/>
    </row>
    <row r="156" spans="9:14" x14ac:dyDescent="0.15">
      <c r="I156" s="225"/>
      <c r="J156" s="225"/>
      <c r="K156" s="225"/>
      <c r="L156" s="225"/>
      <c r="M156" s="225"/>
      <c r="N156" s="225"/>
    </row>
    <row r="157" spans="9:14" x14ac:dyDescent="0.15">
      <c r="I157" s="225"/>
      <c r="J157" s="225"/>
      <c r="K157" s="225"/>
      <c r="L157" s="225"/>
      <c r="M157" s="225"/>
      <c r="N157" s="225"/>
    </row>
    <row r="158" spans="9:14" x14ac:dyDescent="0.15">
      <c r="I158" s="225"/>
      <c r="J158" s="225"/>
      <c r="K158" s="225"/>
      <c r="L158" s="225"/>
      <c r="M158" s="225"/>
      <c r="N158" s="225"/>
    </row>
    <row r="159" spans="9:14" x14ac:dyDescent="0.15">
      <c r="I159" s="225"/>
      <c r="J159" s="225"/>
      <c r="K159" s="225"/>
      <c r="L159" s="225"/>
      <c r="M159" s="225"/>
      <c r="N159" s="225"/>
    </row>
    <row r="160" spans="9:14" x14ac:dyDescent="0.15">
      <c r="J160" s="225"/>
      <c r="K160" s="225"/>
      <c r="L160" s="225"/>
      <c r="M160" s="225"/>
      <c r="N160" s="225"/>
    </row>
    <row r="161" spans="10:14" x14ac:dyDescent="0.15">
      <c r="J161" s="225"/>
      <c r="K161" s="225"/>
      <c r="L161" s="225"/>
      <c r="M161" s="225"/>
      <c r="N161" s="225"/>
    </row>
    <row r="177" spans="15:15" x14ac:dyDescent="0.15">
      <c r="O177" s="225"/>
    </row>
    <row r="178" spans="15:15" x14ac:dyDescent="0.15">
      <c r="O178" s="225"/>
    </row>
    <row r="179" spans="15:15" x14ac:dyDescent="0.15">
      <c r="O179" s="225"/>
    </row>
    <row r="180" spans="15:15" x14ac:dyDescent="0.15">
      <c r="O180" s="225"/>
    </row>
    <row r="181" spans="15:15" x14ac:dyDescent="0.15">
      <c r="O181" s="225"/>
    </row>
    <row r="182" spans="15:15" x14ac:dyDescent="0.15">
      <c r="O182" s="225"/>
    </row>
    <row r="183" spans="15:15" x14ac:dyDescent="0.15">
      <c r="O183" s="225"/>
    </row>
    <row r="184" spans="15:15" x14ac:dyDescent="0.15">
      <c r="O184" s="225"/>
    </row>
    <row r="185" spans="15:15" x14ac:dyDescent="0.15">
      <c r="O185" s="225"/>
    </row>
    <row r="186" spans="15:15" x14ac:dyDescent="0.15">
      <c r="O186" s="225"/>
    </row>
    <row r="187" spans="15:15" x14ac:dyDescent="0.15">
      <c r="O187" s="225"/>
    </row>
    <row r="188" spans="15:15" x14ac:dyDescent="0.15">
      <c r="O188" s="225"/>
    </row>
    <row r="189" spans="15:15" x14ac:dyDescent="0.15">
      <c r="O189" s="225"/>
    </row>
    <row r="190" spans="15:15" x14ac:dyDescent="0.15">
      <c r="O190" s="225"/>
    </row>
    <row r="191" spans="15:15" x14ac:dyDescent="0.15">
      <c r="O191" s="225"/>
    </row>
    <row r="192" spans="15:15" x14ac:dyDescent="0.15">
      <c r="O192" s="225"/>
    </row>
    <row r="193" spans="15:15" x14ac:dyDescent="0.15">
      <c r="O193" s="225"/>
    </row>
    <row r="194" spans="15:15" x14ac:dyDescent="0.15">
      <c r="O194" s="225"/>
    </row>
    <row r="195" spans="15:15" x14ac:dyDescent="0.15">
      <c r="O195" s="225"/>
    </row>
    <row r="196" spans="15:15" x14ac:dyDescent="0.15">
      <c r="O196" s="225"/>
    </row>
  </sheetData>
  <mergeCells count="72">
    <mergeCell ref="B5:B7"/>
    <mergeCell ref="T5:U5"/>
    <mergeCell ref="I6:I11"/>
    <mergeCell ref="T6:U6"/>
    <mergeCell ref="T7:U7"/>
    <mergeCell ref="T10:U10"/>
    <mergeCell ref="I4:I5"/>
    <mergeCell ref="J4:J5"/>
    <mergeCell ref="M4:M5"/>
    <mergeCell ref="N4:N5"/>
    <mergeCell ref="T4:U4"/>
    <mergeCell ref="B8:B12"/>
    <mergeCell ref="T8:U8"/>
    <mergeCell ref="T9:U9"/>
    <mergeCell ref="T11:U11"/>
    <mergeCell ref="I12:I16"/>
    <mergeCell ref="T12:U12"/>
    <mergeCell ref="B13:B17"/>
    <mergeCell ref="T13:U13"/>
    <mergeCell ref="T14:U14"/>
    <mergeCell ref="T15:U15"/>
    <mergeCell ref="T16:U16"/>
    <mergeCell ref="I17:I20"/>
    <mergeCell ref="T17:U17"/>
    <mergeCell ref="B18:B21"/>
    <mergeCell ref="T18:U18"/>
    <mergeCell ref="T19:U19"/>
    <mergeCell ref="T20:U20"/>
    <mergeCell ref="I21:I24"/>
    <mergeCell ref="T21:U21"/>
    <mergeCell ref="B22:B25"/>
    <mergeCell ref="I25:I28"/>
    <mergeCell ref="K51:L51"/>
    <mergeCell ref="B29:B42"/>
    <mergeCell ref="I29:I32"/>
    <mergeCell ref="K38:L38"/>
    <mergeCell ref="I39:I46"/>
    <mergeCell ref="K39:L39"/>
    <mergeCell ref="K40:L40"/>
    <mergeCell ref="K41:L41"/>
    <mergeCell ref="K62:L62"/>
    <mergeCell ref="Q41:R41"/>
    <mergeCell ref="K42:L42"/>
    <mergeCell ref="P42:P48"/>
    <mergeCell ref="B43:B53"/>
    <mergeCell ref="K43:L43"/>
    <mergeCell ref="K44:L44"/>
    <mergeCell ref="K45:L45"/>
    <mergeCell ref="K46:L46"/>
    <mergeCell ref="I47:I50"/>
    <mergeCell ref="K47:L47"/>
    <mergeCell ref="K48:L48"/>
    <mergeCell ref="K49:L49"/>
    <mergeCell ref="P49:P61"/>
    <mergeCell ref="Q49:Q53"/>
    <mergeCell ref="K50:L50"/>
    <mergeCell ref="P62:Q62"/>
    <mergeCell ref="B54:B57"/>
    <mergeCell ref="K54:L54"/>
    <mergeCell ref="I55:I61"/>
    <mergeCell ref="K55:L55"/>
    <mergeCell ref="Q55:Q59"/>
    <mergeCell ref="K56:L56"/>
    <mergeCell ref="K57:L57"/>
    <mergeCell ref="B58:B62"/>
    <mergeCell ref="K58:L58"/>
    <mergeCell ref="K59:L59"/>
    <mergeCell ref="I51:I54"/>
    <mergeCell ref="K52:L52"/>
    <mergeCell ref="K53:L53"/>
    <mergeCell ref="K61:L61"/>
    <mergeCell ref="I62:J62"/>
  </mergeCells>
  <phoneticPr fontId="5"/>
  <pageMargins left="0.78740157480314965" right="0.78740157480314965" top="0.78740157480314965" bottom="0.78740157480314965" header="0.39370078740157483" footer="0.39370078740157483"/>
  <pageSetup paperSize="9" scale="57" orientation="landscape" horizontalDpi="4294967293" verticalDpi="300" r:id="rId1"/>
  <headerFooter alignWithMargins="0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Y196"/>
  <sheetViews>
    <sheetView showZeros="0" zoomScale="75" zoomScaleNormal="75" zoomScaleSheetLayoutView="80" workbookViewId="0"/>
  </sheetViews>
  <sheetFormatPr defaultRowHeight="13.5" x14ac:dyDescent="0.15"/>
  <cols>
    <col min="1" max="1" width="1.625" style="93" customWidth="1"/>
    <col min="2" max="2" width="3.625" style="93" customWidth="1"/>
    <col min="3" max="3" width="15.625" style="93" customWidth="1"/>
    <col min="4" max="7" width="8.625" style="93" customWidth="1"/>
    <col min="8" max="8" width="1.625" style="225" customWidth="1"/>
    <col min="9" max="9" width="3.625" style="93" customWidth="1"/>
    <col min="10" max="10" width="15.625" style="93" customWidth="1"/>
    <col min="11" max="14" width="8.625" style="93" customWidth="1"/>
    <col min="15" max="15" width="3.5" style="93" customWidth="1"/>
    <col min="16" max="16" width="15.625" style="190" customWidth="1"/>
    <col min="17" max="17" width="8.625" style="93" customWidth="1"/>
    <col min="18" max="18" width="8.625" style="94" customWidth="1"/>
    <col min="19" max="21" width="8.625" style="93" customWidth="1"/>
    <col min="22" max="22" width="10.625" style="94" customWidth="1"/>
    <col min="23" max="262" width="9" style="93"/>
    <col min="263" max="263" width="1.375" style="93" customWidth="1"/>
    <col min="264" max="264" width="3.5" style="93" customWidth="1"/>
    <col min="265" max="265" width="22.125" style="93" customWidth="1"/>
    <col min="266" max="266" width="9.75" style="93" customWidth="1"/>
    <col min="267" max="267" width="7.375" style="93" customWidth="1"/>
    <col min="268" max="268" width="9" style="93"/>
    <col min="269" max="269" width="9.25" style="93" customWidth="1"/>
    <col min="270" max="270" width="3.5" style="93" customWidth="1"/>
    <col min="271" max="272" width="12.625" style="93" customWidth="1"/>
    <col min="273" max="273" width="9" style="93"/>
    <col min="274" max="274" width="7.75" style="93" customWidth="1"/>
    <col min="275" max="275" width="13.125" style="93" customWidth="1"/>
    <col min="276" max="276" width="6.125" style="93" customWidth="1"/>
    <col min="277" max="277" width="9.75" style="93" customWidth="1"/>
    <col min="278" max="278" width="1.375" style="93" customWidth="1"/>
    <col min="279" max="518" width="9" style="93"/>
    <col min="519" max="519" width="1.375" style="93" customWidth="1"/>
    <col min="520" max="520" width="3.5" style="93" customWidth="1"/>
    <col min="521" max="521" width="22.125" style="93" customWidth="1"/>
    <col min="522" max="522" width="9.75" style="93" customWidth="1"/>
    <col min="523" max="523" width="7.375" style="93" customWidth="1"/>
    <col min="524" max="524" width="9" style="93"/>
    <col min="525" max="525" width="9.25" style="93" customWidth="1"/>
    <col min="526" max="526" width="3.5" style="93" customWidth="1"/>
    <col min="527" max="528" width="12.625" style="93" customWidth="1"/>
    <col min="529" max="529" width="9" style="93"/>
    <col min="530" max="530" width="7.75" style="93" customWidth="1"/>
    <col min="531" max="531" width="13.125" style="93" customWidth="1"/>
    <col min="532" max="532" width="6.125" style="93" customWidth="1"/>
    <col min="533" max="533" width="9.75" style="93" customWidth="1"/>
    <col min="534" max="534" width="1.375" style="93" customWidth="1"/>
    <col min="535" max="774" width="9" style="93"/>
    <col min="775" max="775" width="1.375" style="93" customWidth="1"/>
    <col min="776" max="776" width="3.5" style="93" customWidth="1"/>
    <col min="777" max="777" width="22.125" style="93" customWidth="1"/>
    <col min="778" max="778" width="9.75" style="93" customWidth="1"/>
    <col min="779" max="779" width="7.375" style="93" customWidth="1"/>
    <col min="780" max="780" width="9" style="93"/>
    <col min="781" max="781" width="9.25" style="93" customWidth="1"/>
    <col min="782" max="782" width="3.5" style="93" customWidth="1"/>
    <col min="783" max="784" width="12.625" style="93" customWidth="1"/>
    <col min="785" max="785" width="9" style="93"/>
    <col min="786" max="786" width="7.75" style="93" customWidth="1"/>
    <col min="787" max="787" width="13.125" style="93" customWidth="1"/>
    <col min="788" max="788" width="6.125" style="93" customWidth="1"/>
    <col min="789" max="789" width="9.75" style="93" customWidth="1"/>
    <col min="790" max="790" width="1.375" style="93" customWidth="1"/>
    <col min="791" max="1030" width="9" style="93"/>
    <col min="1031" max="1031" width="1.375" style="93" customWidth="1"/>
    <col min="1032" max="1032" width="3.5" style="93" customWidth="1"/>
    <col min="1033" max="1033" width="22.125" style="93" customWidth="1"/>
    <col min="1034" max="1034" width="9.75" style="93" customWidth="1"/>
    <col min="1035" max="1035" width="7.375" style="93" customWidth="1"/>
    <col min="1036" max="1036" width="9" style="93"/>
    <col min="1037" max="1037" width="9.25" style="93" customWidth="1"/>
    <col min="1038" max="1038" width="3.5" style="93" customWidth="1"/>
    <col min="1039" max="1040" width="12.625" style="93" customWidth="1"/>
    <col min="1041" max="1041" width="9" style="93"/>
    <col min="1042" max="1042" width="7.75" style="93" customWidth="1"/>
    <col min="1043" max="1043" width="13.125" style="93" customWidth="1"/>
    <col min="1044" max="1044" width="6.125" style="93" customWidth="1"/>
    <col min="1045" max="1045" width="9.75" style="93" customWidth="1"/>
    <col min="1046" max="1046" width="1.375" style="93" customWidth="1"/>
    <col min="1047" max="1286" width="9" style="93"/>
    <col min="1287" max="1287" width="1.375" style="93" customWidth="1"/>
    <col min="1288" max="1288" width="3.5" style="93" customWidth="1"/>
    <col min="1289" max="1289" width="22.125" style="93" customWidth="1"/>
    <col min="1290" max="1290" width="9.75" style="93" customWidth="1"/>
    <col min="1291" max="1291" width="7.375" style="93" customWidth="1"/>
    <col min="1292" max="1292" width="9" style="93"/>
    <col min="1293" max="1293" width="9.25" style="93" customWidth="1"/>
    <col min="1294" max="1294" width="3.5" style="93" customWidth="1"/>
    <col min="1295" max="1296" width="12.625" style="93" customWidth="1"/>
    <col min="1297" max="1297" width="9" style="93"/>
    <col min="1298" max="1298" width="7.75" style="93" customWidth="1"/>
    <col min="1299" max="1299" width="13.125" style="93" customWidth="1"/>
    <col min="1300" max="1300" width="6.125" style="93" customWidth="1"/>
    <col min="1301" max="1301" width="9.75" style="93" customWidth="1"/>
    <col min="1302" max="1302" width="1.375" style="93" customWidth="1"/>
    <col min="1303" max="1542" width="9" style="93"/>
    <col min="1543" max="1543" width="1.375" style="93" customWidth="1"/>
    <col min="1544" max="1544" width="3.5" style="93" customWidth="1"/>
    <col min="1545" max="1545" width="22.125" style="93" customWidth="1"/>
    <col min="1546" max="1546" width="9.75" style="93" customWidth="1"/>
    <col min="1547" max="1547" width="7.375" style="93" customWidth="1"/>
    <col min="1548" max="1548" width="9" style="93"/>
    <col min="1549" max="1549" width="9.25" style="93" customWidth="1"/>
    <col min="1550" max="1550" width="3.5" style="93" customWidth="1"/>
    <col min="1551" max="1552" width="12.625" style="93" customWidth="1"/>
    <col min="1553" max="1553" width="9" style="93"/>
    <col min="1554" max="1554" width="7.75" style="93" customWidth="1"/>
    <col min="1555" max="1555" width="13.125" style="93" customWidth="1"/>
    <col min="1556" max="1556" width="6.125" style="93" customWidth="1"/>
    <col min="1557" max="1557" width="9.75" style="93" customWidth="1"/>
    <col min="1558" max="1558" width="1.375" style="93" customWidth="1"/>
    <col min="1559" max="1798" width="9" style="93"/>
    <col min="1799" max="1799" width="1.375" style="93" customWidth="1"/>
    <col min="1800" max="1800" width="3.5" style="93" customWidth="1"/>
    <col min="1801" max="1801" width="22.125" style="93" customWidth="1"/>
    <col min="1802" max="1802" width="9.75" style="93" customWidth="1"/>
    <col min="1803" max="1803" width="7.375" style="93" customWidth="1"/>
    <col min="1804" max="1804" width="9" style="93"/>
    <col min="1805" max="1805" width="9.25" style="93" customWidth="1"/>
    <col min="1806" max="1806" width="3.5" style="93" customWidth="1"/>
    <col min="1807" max="1808" width="12.625" style="93" customWidth="1"/>
    <col min="1809" max="1809" width="9" style="93"/>
    <col min="1810" max="1810" width="7.75" style="93" customWidth="1"/>
    <col min="1811" max="1811" width="13.125" style="93" customWidth="1"/>
    <col min="1812" max="1812" width="6.125" style="93" customWidth="1"/>
    <col min="1813" max="1813" width="9.75" style="93" customWidth="1"/>
    <col min="1814" max="1814" width="1.375" style="93" customWidth="1"/>
    <col min="1815" max="2054" width="9" style="93"/>
    <col min="2055" max="2055" width="1.375" style="93" customWidth="1"/>
    <col min="2056" max="2056" width="3.5" style="93" customWidth="1"/>
    <col min="2057" max="2057" width="22.125" style="93" customWidth="1"/>
    <col min="2058" max="2058" width="9.75" style="93" customWidth="1"/>
    <col min="2059" max="2059" width="7.375" style="93" customWidth="1"/>
    <col min="2060" max="2060" width="9" style="93"/>
    <col min="2061" max="2061" width="9.25" style="93" customWidth="1"/>
    <col min="2062" max="2062" width="3.5" style="93" customWidth="1"/>
    <col min="2063" max="2064" width="12.625" style="93" customWidth="1"/>
    <col min="2065" max="2065" width="9" style="93"/>
    <col min="2066" max="2066" width="7.75" style="93" customWidth="1"/>
    <col min="2067" max="2067" width="13.125" style="93" customWidth="1"/>
    <col min="2068" max="2068" width="6.125" style="93" customWidth="1"/>
    <col min="2069" max="2069" width="9.75" style="93" customWidth="1"/>
    <col min="2070" max="2070" width="1.375" style="93" customWidth="1"/>
    <col min="2071" max="2310" width="9" style="93"/>
    <col min="2311" max="2311" width="1.375" style="93" customWidth="1"/>
    <col min="2312" max="2312" width="3.5" style="93" customWidth="1"/>
    <col min="2313" max="2313" width="22.125" style="93" customWidth="1"/>
    <col min="2314" max="2314" width="9.75" style="93" customWidth="1"/>
    <col min="2315" max="2315" width="7.375" style="93" customWidth="1"/>
    <col min="2316" max="2316" width="9" style="93"/>
    <col min="2317" max="2317" width="9.25" style="93" customWidth="1"/>
    <col min="2318" max="2318" width="3.5" style="93" customWidth="1"/>
    <col min="2319" max="2320" width="12.625" style="93" customWidth="1"/>
    <col min="2321" max="2321" width="9" style="93"/>
    <col min="2322" max="2322" width="7.75" style="93" customWidth="1"/>
    <col min="2323" max="2323" width="13.125" style="93" customWidth="1"/>
    <col min="2324" max="2324" width="6.125" style="93" customWidth="1"/>
    <col min="2325" max="2325" width="9.75" style="93" customWidth="1"/>
    <col min="2326" max="2326" width="1.375" style="93" customWidth="1"/>
    <col min="2327" max="2566" width="9" style="93"/>
    <col min="2567" max="2567" width="1.375" style="93" customWidth="1"/>
    <col min="2568" max="2568" width="3.5" style="93" customWidth="1"/>
    <col min="2569" max="2569" width="22.125" style="93" customWidth="1"/>
    <col min="2570" max="2570" width="9.75" style="93" customWidth="1"/>
    <col min="2571" max="2571" width="7.375" style="93" customWidth="1"/>
    <col min="2572" max="2572" width="9" style="93"/>
    <col min="2573" max="2573" width="9.25" style="93" customWidth="1"/>
    <col min="2574" max="2574" width="3.5" style="93" customWidth="1"/>
    <col min="2575" max="2576" width="12.625" style="93" customWidth="1"/>
    <col min="2577" max="2577" width="9" style="93"/>
    <col min="2578" max="2578" width="7.75" style="93" customWidth="1"/>
    <col min="2579" max="2579" width="13.125" style="93" customWidth="1"/>
    <col min="2580" max="2580" width="6.125" style="93" customWidth="1"/>
    <col min="2581" max="2581" width="9.75" style="93" customWidth="1"/>
    <col min="2582" max="2582" width="1.375" style="93" customWidth="1"/>
    <col min="2583" max="2822" width="9" style="93"/>
    <col min="2823" max="2823" width="1.375" style="93" customWidth="1"/>
    <col min="2824" max="2824" width="3.5" style="93" customWidth="1"/>
    <col min="2825" max="2825" width="22.125" style="93" customWidth="1"/>
    <col min="2826" max="2826" width="9.75" style="93" customWidth="1"/>
    <col min="2827" max="2827" width="7.375" style="93" customWidth="1"/>
    <col min="2828" max="2828" width="9" style="93"/>
    <col min="2829" max="2829" width="9.25" style="93" customWidth="1"/>
    <col min="2830" max="2830" width="3.5" style="93" customWidth="1"/>
    <col min="2831" max="2832" width="12.625" style="93" customWidth="1"/>
    <col min="2833" max="2833" width="9" style="93"/>
    <col min="2834" max="2834" width="7.75" style="93" customWidth="1"/>
    <col min="2835" max="2835" width="13.125" style="93" customWidth="1"/>
    <col min="2836" max="2836" width="6.125" style="93" customWidth="1"/>
    <col min="2837" max="2837" width="9.75" style="93" customWidth="1"/>
    <col min="2838" max="2838" width="1.375" style="93" customWidth="1"/>
    <col min="2839" max="3078" width="9" style="93"/>
    <col min="3079" max="3079" width="1.375" style="93" customWidth="1"/>
    <col min="3080" max="3080" width="3.5" style="93" customWidth="1"/>
    <col min="3081" max="3081" width="22.125" style="93" customWidth="1"/>
    <col min="3082" max="3082" width="9.75" style="93" customWidth="1"/>
    <col min="3083" max="3083" width="7.375" style="93" customWidth="1"/>
    <col min="3084" max="3084" width="9" style="93"/>
    <col min="3085" max="3085" width="9.25" style="93" customWidth="1"/>
    <col min="3086" max="3086" width="3.5" style="93" customWidth="1"/>
    <col min="3087" max="3088" width="12.625" style="93" customWidth="1"/>
    <col min="3089" max="3089" width="9" style="93"/>
    <col min="3090" max="3090" width="7.75" style="93" customWidth="1"/>
    <col min="3091" max="3091" width="13.125" style="93" customWidth="1"/>
    <col min="3092" max="3092" width="6.125" style="93" customWidth="1"/>
    <col min="3093" max="3093" width="9.75" style="93" customWidth="1"/>
    <col min="3094" max="3094" width="1.375" style="93" customWidth="1"/>
    <col min="3095" max="3334" width="9" style="93"/>
    <col min="3335" max="3335" width="1.375" style="93" customWidth="1"/>
    <col min="3336" max="3336" width="3.5" style="93" customWidth="1"/>
    <col min="3337" max="3337" width="22.125" style="93" customWidth="1"/>
    <col min="3338" max="3338" width="9.75" style="93" customWidth="1"/>
    <col min="3339" max="3339" width="7.375" style="93" customWidth="1"/>
    <col min="3340" max="3340" width="9" style="93"/>
    <col min="3341" max="3341" width="9.25" style="93" customWidth="1"/>
    <col min="3342" max="3342" width="3.5" style="93" customWidth="1"/>
    <col min="3343" max="3344" width="12.625" style="93" customWidth="1"/>
    <col min="3345" max="3345" width="9" style="93"/>
    <col min="3346" max="3346" width="7.75" style="93" customWidth="1"/>
    <col min="3347" max="3347" width="13.125" style="93" customWidth="1"/>
    <col min="3348" max="3348" width="6.125" style="93" customWidth="1"/>
    <col min="3349" max="3349" width="9.75" style="93" customWidth="1"/>
    <col min="3350" max="3350" width="1.375" style="93" customWidth="1"/>
    <col min="3351" max="3590" width="9" style="93"/>
    <col min="3591" max="3591" width="1.375" style="93" customWidth="1"/>
    <col min="3592" max="3592" width="3.5" style="93" customWidth="1"/>
    <col min="3593" max="3593" width="22.125" style="93" customWidth="1"/>
    <col min="3594" max="3594" width="9.75" style="93" customWidth="1"/>
    <col min="3595" max="3595" width="7.375" style="93" customWidth="1"/>
    <col min="3596" max="3596" width="9" style="93"/>
    <col min="3597" max="3597" width="9.25" style="93" customWidth="1"/>
    <col min="3598" max="3598" width="3.5" style="93" customWidth="1"/>
    <col min="3599" max="3600" width="12.625" style="93" customWidth="1"/>
    <col min="3601" max="3601" width="9" style="93"/>
    <col min="3602" max="3602" width="7.75" style="93" customWidth="1"/>
    <col min="3603" max="3603" width="13.125" style="93" customWidth="1"/>
    <col min="3604" max="3604" width="6.125" style="93" customWidth="1"/>
    <col min="3605" max="3605" width="9.75" style="93" customWidth="1"/>
    <col min="3606" max="3606" width="1.375" style="93" customWidth="1"/>
    <col min="3607" max="3846" width="9" style="93"/>
    <col min="3847" max="3847" width="1.375" style="93" customWidth="1"/>
    <col min="3848" max="3848" width="3.5" style="93" customWidth="1"/>
    <col min="3849" max="3849" width="22.125" style="93" customWidth="1"/>
    <col min="3850" max="3850" width="9.75" style="93" customWidth="1"/>
    <col min="3851" max="3851" width="7.375" style="93" customWidth="1"/>
    <col min="3852" max="3852" width="9" style="93"/>
    <col min="3853" max="3853" width="9.25" style="93" customWidth="1"/>
    <col min="3854" max="3854" width="3.5" style="93" customWidth="1"/>
    <col min="3855" max="3856" width="12.625" style="93" customWidth="1"/>
    <col min="3857" max="3857" width="9" style="93"/>
    <col min="3858" max="3858" width="7.75" style="93" customWidth="1"/>
    <col min="3859" max="3859" width="13.125" style="93" customWidth="1"/>
    <col min="3860" max="3860" width="6.125" style="93" customWidth="1"/>
    <col min="3861" max="3861" width="9.75" style="93" customWidth="1"/>
    <col min="3862" max="3862" width="1.375" style="93" customWidth="1"/>
    <col min="3863" max="4102" width="9" style="93"/>
    <col min="4103" max="4103" width="1.375" style="93" customWidth="1"/>
    <col min="4104" max="4104" width="3.5" style="93" customWidth="1"/>
    <col min="4105" max="4105" width="22.125" style="93" customWidth="1"/>
    <col min="4106" max="4106" width="9.75" style="93" customWidth="1"/>
    <col min="4107" max="4107" width="7.375" style="93" customWidth="1"/>
    <col min="4108" max="4108" width="9" style="93"/>
    <col min="4109" max="4109" width="9.25" style="93" customWidth="1"/>
    <col min="4110" max="4110" width="3.5" style="93" customWidth="1"/>
    <col min="4111" max="4112" width="12.625" style="93" customWidth="1"/>
    <col min="4113" max="4113" width="9" style="93"/>
    <col min="4114" max="4114" width="7.75" style="93" customWidth="1"/>
    <col min="4115" max="4115" width="13.125" style="93" customWidth="1"/>
    <col min="4116" max="4116" width="6.125" style="93" customWidth="1"/>
    <col min="4117" max="4117" width="9.75" style="93" customWidth="1"/>
    <col min="4118" max="4118" width="1.375" style="93" customWidth="1"/>
    <col min="4119" max="4358" width="9" style="93"/>
    <col min="4359" max="4359" width="1.375" style="93" customWidth="1"/>
    <col min="4360" max="4360" width="3.5" style="93" customWidth="1"/>
    <col min="4361" max="4361" width="22.125" style="93" customWidth="1"/>
    <col min="4362" max="4362" width="9.75" style="93" customWidth="1"/>
    <col min="4363" max="4363" width="7.375" style="93" customWidth="1"/>
    <col min="4364" max="4364" width="9" style="93"/>
    <col min="4365" max="4365" width="9.25" style="93" customWidth="1"/>
    <col min="4366" max="4366" width="3.5" style="93" customWidth="1"/>
    <col min="4367" max="4368" width="12.625" style="93" customWidth="1"/>
    <col min="4369" max="4369" width="9" style="93"/>
    <col min="4370" max="4370" width="7.75" style="93" customWidth="1"/>
    <col min="4371" max="4371" width="13.125" style="93" customWidth="1"/>
    <col min="4372" max="4372" width="6.125" style="93" customWidth="1"/>
    <col min="4373" max="4373" width="9.75" style="93" customWidth="1"/>
    <col min="4374" max="4374" width="1.375" style="93" customWidth="1"/>
    <col min="4375" max="4614" width="9" style="93"/>
    <col min="4615" max="4615" width="1.375" style="93" customWidth="1"/>
    <col min="4616" max="4616" width="3.5" style="93" customWidth="1"/>
    <col min="4617" max="4617" width="22.125" style="93" customWidth="1"/>
    <col min="4618" max="4618" width="9.75" style="93" customWidth="1"/>
    <col min="4619" max="4619" width="7.375" style="93" customWidth="1"/>
    <col min="4620" max="4620" width="9" style="93"/>
    <col min="4621" max="4621" width="9.25" style="93" customWidth="1"/>
    <col min="4622" max="4622" width="3.5" style="93" customWidth="1"/>
    <col min="4623" max="4624" width="12.625" style="93" customWidth="1"/>
    <col min="4625" max="4625" width="9" style="93"/>
    <col min="4626" max="4626" width="7.75" style="93" customWidth="1"/>
    <col min="4627" max="4627" width="13.125" style="93" customWidth="1"/>
    <col min="4628" max="4628" width="6.125" style="93" customWidth="1"/>
    <col min="4629" max="4629" width="9.75" style="93" customWidth="1"/>
    <col min="4630" max="4630" width="1.375" style="93" customWidth="1"/>
    <col min="4631" max="4870" width="9" style="93"/>
    <col min="4871" max="4871" width="1.375" style="93" customWidth="1"/>
    <col min="4872" max="4872" width="3.5" style="93" customWidth="1"/>
    <col min="4873" max="4873" width="22.125" style="93" customWidth="1"/>
    <col min="4874" max="4874" width="9.75" style="93" customWidth="1"/>
    <col min="4875" max="4875" width="7.375" style="93" customWidth="1"/>
    <col min="4876" max="4876" width="9" style="93"/>
    <col min="4877" max="4877" width="9.25" style="93" customWidth="1"/>
    <col min="4878" max="4878" width="3.5" style="93" customWidth="1"/>
    <col min="4879" max="4880" width="12.625" style="93" customWidth="1"/>
    <col min="4881" max="4881" width="9" style="93"/>
    <col min="4882" max="4882" width="7.75" style="93" customWidth="1"/>
    <col min="4883" max="4883" width="13.125" style="93" customWidth="1"/>
    <col min="4884" max="4884" width="6.125" style="93" customWidth="1"/>
    <col min="4885" max="4885" width="9.75" style="93" customWidth="1"/>
    <col min="4886" max="4886" width="1.375" style="93" customWidth="1"/>
    <col min="4887" max="5126" width="9" style="93"/>
    <col min="5127" max="5127" width="1.375" style="93" customWidth="1"/>
    <col min="5128" max="5128" width="3.5" style="93" customWidth="1"/>
    <col min="5129" max="5129" width="22.125" style="93" customWidth="1"/>
    <col min="5130" max="5130" width="9.75" style="93" customWidth="1"/>
    <col min="5131" max="5131" width="7.375" style="93" customWidth="1"/>
    <col min="5132" max="5132" width="9" style="93"/>
    <col min="5133" max="5133" width="9.25" style="93" customWidth="1"/>
    <col min="5134" max="5134" width="3.5" style="93" customWidth="1"/>
    <col min="5135" max="5136" width="12.625" style="93" customWidth="1"/>
    <col min="5137" max="5137" width="9" style="93"/>
    <col min="5138" max="5138" width="7.75" style="93" customWidth="1"/>
    <col min="5139" max="5139" width="13.125" style="93" customWidth="1"/>
    <col min="5140" max="5140" width="6.125" style="93" customWidth="1"/>
    <col min="5141" max="5141" width="9.75" style="93" customWidth="1"/>
    <col min="5142" max="5142" width="1.375" style="93" customWidth="1"/>
    <col min="5143" max="5382" width="9" style="93"/>
    <col min="5383" max="5383" width="1.375" style="93" customWidth="1"/>
    <col min="5384" max="5384" width="3.5" style="93" customWidth="1"/>
    <col min="5385" max="5385" width="22.125" style="93" customWidth="1"/>
    <col min="5386" max="5386" width="9.75" style="93" customWidth="1"/>
    <col min="5387" max="5387" width="7.375" style="93" customWidth="1"/>
    <col min="5388" max="5388" width="9" style="93"/>
    <col min="5389" max="5389" width="9.25" style="93" customWidth="1"/>
    <col min="5390" max="5390" width="3.5" style="93" customWidth="1"/>
    <col min="5391" max="5392" width="12.625" style="93" customWidth="1"/>
    <col min="5393" max="5393" width="9" style="93"/>
    <col min="5394" max="5394" width="7.75" style="93" customWidth="1"/>
    <col min="5395" max="5395" width="13.125" style="93" customWidth="1"/>
    <col min="5396" max="5396" width="6.125" style="93" customWidth="1"/>
    <col min="5397" max="5397" width="9.75" style="93" customWidth="1"/>
    <col min="5398" max="5398" width="1.375" style="93" customWidth="1"/>
    <col min="5399" max="5638" width="9" style="93"/>
    <col min="5639" max="5639" width="1.375" style="93" customWidth="1"/>
    <col min="5640" max="5640" width="3.5" style="93" customWidth="1"/>
    <col min="5641" max="5641" width="22.125" style="93" customWidth="1"/>
    <col min="5642" max="5642" width="9.75" style="93" customWidth="1"/>
    <col min="5643" max="5643" width="7.375" style="93" customWidth="1"/>
    <col min="5644" max="5644" width="9" style="93"/>
    <col min="5645" max="5645" width="9.25" style="93" customWidth="1"/>
    <col min="5646" max="5646" width="3.5" style="93" customWidth="1"/>
    <col min="5647" max="5648" width="12.625" style="93" customWidth="1"/>
    <col min="5649" max="5649" width="9" style="93"/>
    <col min="5650" max="5650" width="7.75" style="93" customWidth="1"/>
    <col min="5651" max="5651" width="13.125" style="93" customWidth="1"/>
    <col min="5652" max="5652" width="6.125" style="93" customWidth="1"/>
    <col min="5653" max="5653" width="9.75" style="93" customWidth="1"/>
    <col min="5654" max="5654" width="1.375" style="93" customWidth="1"/>
    <col min="5655" max="5894" width="9" style="93"/>
    <col min="5895" max="5895" width="1.375" style="93" customWidth="1"/>
    <col min="5896" max="5896" width="3.5" style="93" customWidth="1"/>
    <col min="5897" max="5897" width="22.125" style="93" customWidth="1"/>
    <col min="5898" max="5898" width="9.75" style="93" customWidth="1"/>
    <col min="5899" max="5899" width="7.375" style="93" customWidth="1"/>
    <col min="5900" max="5900" width="9" style="93"/>
    <col min="5901" max="5901" width="9.25" style="93" customWidth="1"/>
    <col min="5902" max="5902" width="3.5" style="93" customWidth="1"/>
    <col min="5903" max="5904" width="12.625" style="93" customWidth="1"/>
    <col min="5905" max="5905" width="9" style="93"/>
    <col min="5906" max="5906" width="7.75" style="93" customWidth="1"/>
    <col min="5907" max="5907" width="13.125" style="93" customWidth="1"/>
    <col min="5908" max="5908" width="6.125" style="93" customWidth="1"/>
    <col min="5909" max="5909" width="9.75" style="93" customWidth="1"/>
    <col min="5910" max="5910" width="1.375" style="93" customWidth="1"/>
    <col min="5911" max="6150" width="9" style="93"/>
    <col min="6151" max="6151" width="1.375" style="93" customWidth="1"/>
    <col min="6152" max="6152" width="3.5" style="93" customWidth="1"/>
    <col min="6153" max="6153" width="22.125" style="93" customWidth="1"/>
    <col min="6154" max="6154" width="9.75" style="93" customWidth="1"/>
    <col min="6155" max="6155" width="7.375" style="93" customWidth="1"/>
    <col min="6156" max="6156" width="9" style="93"/>
    <col min="6157" max="6157" width="9.25" style="93" customWidth="1"/>
    <col min="6158" max="6158" width="3.5" style="93" customWidth="1"/>
    <col min="6159" max="6160" width="12.625" style="93" customWidth="1"/>
    <col min="6161" max="6161" width="9" style="93"/>
    <col min="6162" max="6162" width="7.75" style="93" customWidth="1"/>
    <col min="6163" max="6163" width="13.125" style="93" customWidth="1"/>
    <col min="6164" max="6164" width="6.125" style="93" customWidth="1"/>
    <col min="6165" max="6165" width="9.75" style="93" customWidth="1"/>
    <col min="6166" max="6166" width="1.375" style="93" customWidth="1"/>
    <col min="6167" max="6406" width="9" style="93"/>
    <col min="6407" max="6407" width="1.375" style="93" customWidth="1"/>
    <col min="6408" max="6408" width="3.5" style="93" customWidth="1"/>
    <col min="6409" max="6409" width="22.125" style="93" customWidth="1"/>
    <col min="6410" max="6410" width="9.75" style="93" customWidth="1"/>
    <col min="6411" max="6411" width="7.375" style="93" customWidth="1"/>
    <col min="6412" max="6412" width="9" style="93"/>
    <col min="6413" max="6413" width="9.25" style="93" customWidth="1"/>
    <col min="6414" max="6414" width="3.5" style="93" customWidth="1"/>
    <col min="6415" max="6416" width="12.625" style="93" customWidth="1"/>
    <col min="6417" max="6417" width="9" style="93"/>
    <col min="6418" max="6418" width="7.75" style="93" customWidth="1"/>
    <col min="6419" max="6419" width="13.125" style="93" customWidth="1"/>
    <col min="6420" max="6420" width="6.125" style="93" customWidth="1"/>
    <col min="6421" max="6421" width="9.75" style="93" customWidth="1"/>
    <col min="6422" max="6422" width="1.375" style="93" customWidth="1"/>
    <col min="6423" max="6662" width="9" style="93"/>
    <col min="6663" max="6663" width="1.375" style="93" customWidth="1"/>
    <col min="6664" max="6664" width="3.5" style="93" customWidth="1"/>
    <col min="6665" max="6665" width="22.125" style="93" customWidth="1"/>
    <col min="6666" max="6666" width="9.75" style="93" customWidth="1"/>
    <col min="6667" max="6667" width="7.375" style="93" customWidth="1"/>
    <col min="6668" max="6668" width="9" style="93"/>
    <col min="6669" max="6669" width="9.25" style="93" customWidth="1"/>
    <col min="6670" max="6670" width="3.5" style="93" customWidth="1"/>
    <col min="6671" max="6672" width="12.625" style="93" customWidth="1"/>
    <col min="6673" max="6673" width="9" style="93"/>
    <col min="6674" max="6674" width="7.75" style="93" customWidth="1"/>
    <col min="6675" max="6675" width="13.125" style="93" customWidth="1"/>
    <col min="6676" max="6676" width="6.125" style="93" customWidth="1"/>
    <col min="6677" max="6677" width="9.75" style="93" customWidth="1"/>
    <col min="6678" max="6678" width="1.375" style="93" customWidth="1"/>
    <col min="6679" max="6918" width="9" style="93"/>
    <col min="6919" max="6919" width="1.375" style="93" customWidth="1"/>
    <col min="6920" max="6920" width="3.5" style="93" customWidth="1"/>
    <col min="6921" max="6921" width="22.125" style="93" customWidth="1"/>
    <col min="6922" max="6922" width="9.75" style="93" customWidth="1"/>
    <col min="6923" max="6923" width="7.375" style="93" customWidth="1"/>
    <col min="6924" max="6924" width="9" style="93"/>
    <col min="6925" max="6925" width="9.25" style="93" customWidth="1"/>
    <col min="6926" max="6926" width="3.5" style="93" customWidth="1"/>
    <col min="6927" max="6928" width="12.625" style="93" customWidth="1"/>
    <col min="6929" max="6929" width="9" style="93"/>
    <col min="6930" max="6930" width="7.75" style="93" customWidth="1"/>
    <col min="6931" max="6931" width="13.125" style="93" customWidth="1"/>
    <col min="6932" max="6932" width="6.125" style="93" customWidth="1"/>
    <col min="6933" max="6933" width="9.75" style="93" customWidth="1"/>
    <col min="6934" max="6934" width="1.375" style="93" customWidth="1"/>
    <col min="6935" max="7174" width="9" style="93"/>
    <col min="7175" max="7175" width="1.375" style="93" customWidth="1"/>
    <col min="7176" max="7176" width="3.5" style="93" customWidth="1"/>
    <col min="7177" max="7177" width="22.125" style="93" customWidth="1"/>
    <col min="7178" max="7178" width="9.75" style="93" customWidth="1"/>
    <col min="7179" max="7179" width="7.375" style="93" customWidth="1"/>
    <col min="7180" max="7180" width="9" style="93"/>
    <col min="7181" max="7181" width="9.25" style="93" customWidth="1"/>
    <col min="7182" max="7182" width="3.5" style="93" customWidth="1"/>
    <col min="7183" max="7184" width="12.625" style="93" customWidth="1"/>
    <col min="7185" max="7185" width="9" style="93"/>
    <col min="7186" max="7186" width="7.75" style="93" customWidth="1"/>
    <col min="7187" max="7187" width="13.125" style="93" customWidth="1"/>
    <col min="7188" max="7188" width="6.125" style="93" customWidth="1"/>
    <col min="7189" max="7189" width="9.75" style="93" customWidth="1"/>
    <col min="7190" max="7190" width="1.375" style="93" customWidth="1"/>
    <col min="7191" max="7430" width="9" style="93"/>
    <col min="7431" max="7431" width="1.375" style="93" customWidth="1"/>
    <col min="7432" max="7432" width="3.5" style="93" customWidth="1"/>
    <col min="7433" max="7433" width="22.125" style="93" customWidth="1"/>
    <col min="7434" max="7434" width="9.75" style="93" customWidth="1"/>
    <col min="7435" max="7435" width="7.375" style="93" customWidth="1"/>
    <col min="7436" max="7436" width="9" style="93"/>
    <col min="7437" max="7437" width="9.25" style="93" customWidth="1"/>
    <col min="7438" max="7438" width="3.5" style="93" customWidth="1"/>
    <col min="7439" max="7440" width="12.625" style="93" customWidth="1"/>
    <col min="7441" max="7441" width="9" style="93"/>
    <col min="7442" max="7442" width="7.75" style="93" customWidth="1"/>
    <col min="7443" max="7443" width="13.125" style="93" customWidth="1"/>
    <col min="7444" max="7444" width="6.125" style="93" customWidth="1"/>
    <col min="7445" max="7445" width="9.75" style="93" customWidth="1"/>
    <col min="7446" max="7446" width="1.375" style="93" customWidth="1"/>
    <col min="7447" max="7686" width="9" style="93"/>
    <col min="7687" max="7687" width="1.375" style="93" customWidth="1"/>
    <col min="7688" max="7688" width="3.5" style="93" customWidth="1"/>
    <col min="7689" max="7689" width="22.125" style="93" customWidth="1"/>
    <col min="7690" max="7690" width="9.75" style="93" customWidth="1"/>
    <col min="7691" max="7691" width="7.375" style="93" customWidth="1"/>
    <col min="7692" max="7692" width="9" style="93"/>
    <col min="7693" max="7693" width="9.25" style="93" customWidth="1"/>
    <col min="7694" max="7694" width="3.5" style="93" customWidth="1"/>
    <col min="7695" max="7696" width="12.625" style="93" customWidth="1"/>
    <col min="7697" max="7697" width="9" style="93"/>
    <col min="7698" max="7698" width="7.75" style="93" customWidth="1"/>
    <col min="7699" max="7699" width="13.125" style="93" customWidth="1"/>
    <col min="7700" max="7700" width="6.125" style="93" customWidth="1"/>
    <col min="7701" max="7701" width="9.75" style="93" customWidth="1"/>
    <col min="7702" max="7702" width="1.375" style="93" customWidth="1"/>
    <col min="7703" max="7942" width="9" style="93"/>
    <col min="7943" max="7943" width="1.375" style="93" customWidth="1"/>
    <col min="7944" max="7944" width="3.5" style="93" customWidth="1"/>
    <col min="7945" max="7945" width="22.125" style="93" customWidth="1"/>
    <col min="7946" max="7946" width="9.75" style="93" customWidth="1"/>
    <col min="7947" max="7947" width="7.375" style="93" customWidth="1"/>
    <col min="7948" max="7948" width="9" style="93"/>
    <col min="7949" max="7949" width="9.25" style="93" customWidth="1"/>
    <col min="7950" max="7950" width="3.5" style="93" customWidth="1"/>
    <col min="7951" max="7952" width="12.625" style="93" customWidth="1"/>
    <col min="7953" max="7953" width="9" style="93"/>
    <col min="7954" max="7954" width="7.75" style="93" customWidth="1"/>
    <col min="7955" max="7955" width="13.125" style="93" customWidth="1"/>
    <col min="7956" max="7956" width="6.125" style="93" customWidth="1"/>
    <col min="7957" max="7957" width="9.75" style="93" customWidth="1"/>
    <col min="7958" max="7958" width="1.375" style="93" customWidth="1"/>
    <col min="7959" max="8198" width="9" style="93"/>
    <col min="8199" max="8199" width="1.375" style="93" customWidth="1"/>
    <col min="8200" max="8200" width="3.5" style="93" customWidth="1"/>
    <col min="8201" max="8201" width="22.125" style="93" customWidth="1"/>
    <col min="8202" max="8202" width="9.75" style="93" customWidth="1"/>
    <col min="8203" max="8203" width="7.375" style="93" customWidth="1"/>
    <col min="8204" max="8204" width="9" style="93"/>
    <col min="8205" max="8205" width="9.25" style="93" customWidth="1"/>
    <col min="8206" max="8206" width="3.5" style="93" customWidth="1"/>
    <col min="8207" max="8208" width="12.625" style="93" customWidth="1"/>
    <col min="8209" max="8209" width="9" style="93"/>
    <col min="8210" max="8210" width="7.75" style="93" customWidth="1"/>
    <col min="8211" max="8211" width="13.125" style="93" customWidth="1"/>
    <col min="8212" max="8212" width="6.125" style="93" customWidth="1"/>
    <col min="8213" max="8213" width="9.75" style="93" customWidth="1"/>
    <col min="8214" max="8214" width="1.375" style="93" customWidth="1"/>
    <col min="8215" max="8454" width="9" style="93"/>
    <col min="8455" max="8455" width="1.375" style="93" customWidth="1"/>
    <col min="8456" max="8456" width="3.5" style="93" customWidth="1"/>
    <col min="8457" max="8457" width="22.125" style="93" customWidth="1"/>
    <col min="8458" max="8458" width="9.75" style="93" customWidth="1"/>
    <col min="8459" max="8459" width="7.375" style="93" customWidth="1"/>
    <col min="8460" max="8460" width="9" style="93"/>
    <col min="8461" max="8461" width="9.25" style="93" customWidth="1"/>
    <col min="8462" max="8462" width="3.5" style="93" customWidth="1"/>
    <col min="8463" max="8464" width="12.625" style="93" customWidth="1"/>
    <col min="8465" max="8465" width="9" style="93"/>
    <col min="8466" max="8466" width="7.75" style="93" customWidth="1"/>
    <col min="8467" max="8467" width="13.125" style="93" customWidth="1"/>
    <col min="8468" max="8468" width="6.125" style="93" customWidth="1"/>
    <col min="8469" max="8469" width="9.75" style="93" customWidth="1"/>
    <col min="8470" max="8470" width="1.375" style="93" customWidth="1"/>
    <col min="8471" max="8710" width="9" style="93"/>
    <col min="8711" max="8711" width="1.375" style="93" customWidth="1"/>
    <col min="8712" max="8712" width="3.5" style="93" customWidth="1"/>
    <col min="8713" max="8713" width="22.125" style="93" customWidth="1"/>
    <col min="8714" max="8714" width="9.75" style="93" customWidth="1"/>
    <col min="8715" max="8715" width="7.375" style="93" customWidth="1"/>
    <col min="8716" max="8716" width="9" style="93"/>
    <col min="8717" max="8717" width="9.25" style="93" customWidth="1"/>
    <col min="8718" max="8718" width="3.5" style="93" customWidth="1"/>
    <col min="8719" max="8720" width="12.625" style="93" customWidth="1"/>
    <col min="8721" max="8721" width="9" style="93"/>
    <col min="8722" max="8722" width="7.75" style="93" customWidth="1"/>
    <col min="8723" max="8723" width="13.125" style="93" customWidth="1"/>
    <col min="8724" max="8724" width="6.125" style="93" customWidth="1"/>
    <col min="8725" max="8725" width="9.75" style="93" customWidth="1"/>
    <col min="8726" max="8726" width="1.375" style="93" customWidth="1"/>
    <col min="8727" max="8966" width="9" style="93"/>
    <col min="8967" max="8967" width="1.375" style="93" customWidth="1"/>
    <col min="8968" max="8968" width="3.5" style="93" customWidth="1"/>
    <col min="8969" max="8969" width="22.125" style="93" customWidth="1"/>
    <col min="8970" max="8970" width="9.75" style="93" customWidth="1"/>
    <col min="8971" max="8971" width="7.375" style="93" customWidth="1"/>
    <col min="8972" max="8972" width="9" style="93"/>
    <col min="8973" max="8973" width="9.25" style="93" customWidth="1"/>
    <col min="8974" max="8974" width="3.5" style="93" customWidth="1"/>
    <col min="8975" max="8976" width="12.625" style="93" customWidth="1"/>
    <col min="8977" max="8977" width="9" style="93"/>
    <col min="8978" max="8978" width="7.75" style="93" customWidth="1"/>
    <col min="8979" max="8979" width="13.125" style="93" customWidth="1"/>
    <col min="8980" max="8980" width="6.125" style="93" customWidth="1"/>
    <col min="8981" max="8981" width="9.75" style="93" customWidth="1"/>
    <col min="8982" max="8982" width="1.375" style="93" customWidth="1"/>
    <col min="8983" max="9222" width="9" style="93"/>
    <col min="9223" max="9223" width="1.375" style="93" customWidth="1"/>
    <col min="9224" max="9224" width="3.5" style="93" customWidth="1"/>
    <col min="9225" max="9225" width="22.125" style="93" customWidth="1"/>
    <col min="9226" max="9226" width="9.75" style="93" customWidth="1"/>
    <col min="9227" max="9227" width="7.375" style="93" customWidth="1"/>
    <col min="9228" max="9228" width="9" style="93"/>
    <col min="9229" max="9229" width="9.25" style="93" customWidth="1"/>
    <col min="9230" max="9230" width="3.5" style="93" customWidth="1"/>
    <col min="9231" max="9232" width="12.625" style="93" customWidth="1"/>
    <col min="9233" max="9233" width="9" style="93"/>
    <col min="9234" max="9234" width="7.75" style="93" customWidth="1"/>
    <col min="9235" max="9235" width="13.125" style="93" customWidth="1"/>
    <col min="9236" max="9236" width="6.125" style="93" customWidth="1"/>
    <col min="9237" max="9237" width="9.75" style="93" customWidth="1"/>
    <col min="9238" max="9238" width="1.375" style="93" customWidth="1"/>
    <col min="9239" max="9478" width="9" style="93"/>
    <col min="9479" max="9479" width="1.375" style="93" customWidth="1"/>
    <col min="9480" max="9480" width="3.5" style="93" customWidth="1"/>
    <col min="9481" max="9481" width="22.125" style="93" customWidth="1"/>
    <col min="9482" max="9482" width="9.75" style="93" customWidth="1"/>
    <col min="9483" max="9483" width="7.375" style="93" customWidth="1"/>
    <col min="9484" max="9484" width="9" style="93"/>
    <col min="9485" max="9485" width="9.25" style="93" customWidth="1"/>
    <col min="9486" max="9486" width="3.5" style="93" customWidth="1"/>
    <col min="9487" max="9488" width="12.625" style="93" customWidth="1"/>
    <col min="9489" max="9489" width="9" style="93"/>
    <col min="9490" max="9490" width="7.75" style="93" customWidth="1"/>
    <col min="9491" max="9491" width="13.125" style="93" customWidth="1"/>
    <col min="9492" max="9492" width="6.125" style="93" customWidth="1"/>
    <col min="9493" max="9493" width="9.75" style="93" customWidth="1"/>
    <col min="9494" max="9494" width="1.375" style="93" customWidth="1"/>
    <col min="9495" max="9734" width="9" style="93"/>
    <col min="9735" max="9735" width="1.375" style="93" customWidth="1"/>
    <col min="9736" max="9736" width="3.5" style="93" customWidth="1"/>
    <col min="9737" max="9737" width="22.125" style="93" customWidth="1"/>
    <col min="9738" max="9738" width="9.75" style="93" customWidth="1"/>
    <col min="9739" max="9739" width="7.375" style="93" customWidth="1"/>
    <col min="9740" max="9740" width="9" style="93"/>
    <col min="9741" max="9741" width="9.25" style="93" customWidth="1"/>
    <col min="9742" max="9742" width="3.5" style="93" customWidth="1"/>
    <col min="9743" max="9744" width="12.625" style="93" customWidth="1"/>
    <col min="9745" max="9745" width="9" style="93"/>
    <col min="9746" max="9746" width="7.75" style="93" customWidth="1"/>
    <col min="9747" max="9747" width="13.125" style="93" customWidth="1"/>
    <col min="9748" max="9748" width="6.125" style="93" customWidth="1"/>
    <col min="9749" max="9749" width="9.75" style="93" customWidth="1"/>
    <col min="9750" max="9750" width="1.375" style="93" customWidth="1"/>
    <col min="9751" max="9990" width="9" style="93"/>
    <col min="9991" max="9991" width="1.375" style="93" customWidth="1"/>
    <col min="9992" max="9992" width="3.5" style="93" customWidth="1"/>
    <col min="9993" max="9993" width="22.125" style="93" customWidth="1"/>
    <col min="9994" max="9994" width="9.75" style="93" customWidth="1"/>
    <col min="9995" max="9995" width="7.375" style="93" customWidth="1"/>
    <col min="9996" max="9996" width="9" style="93"/>
    <col min="9997" max="9997" width="9.25" style="93" customWidth="1"/>
    <col min="9998" max="9998" width="3.5" style="93" customWidth="1"/>
    <col min="9999" max="10000" width="12.625" style="93" customWidth="1"/>
    <col min="10001" max="10001" width="9" style="93"/>
    <col min="10002" max="10002" width="7.75" style="93" customWidth="1"/>
    <col min="10003" max="10003" width="13.125" style="93" customWidth="1"/>
    <col min="10004" max="10004" width="6.125" style="93" customWidth="1"/>
    <col min="10005" max="10005" width="9.75" style="93" customWidth="1"/>
    <col min="10006" max="10006" width="1.375" style="93" customWidth="1"/>
    <col min="10007" max="10246" width="9" style="93"/>
    <col min="10247" max="10247" width="1.375" style="93" customWidth="1"/>
    <col min="10248" max="10248" width="3.5" style="93" customWidth="1"/>
    <col min="10249" max="10249" width="22.125" style="93" customWidth="1"/>
    <col min="10250" max="10250" width="9.75" style="93" customWidth="1"/>
    <col min="10251" max="10251" width="7.375" style="93" customWidth="1"/>
    <col min="10252" max="10252" width="9" style="93"/>
    <col min="10253" max="10253" width="9.25" style="93" customWidth="1"/>
    <col min="10254" max="10254" width="3.5" style="93" customWidth="1"/>
    <col min="10255" max="10256" width="12.625" style="93" customWidth="1"/>
    <col min="10257" max="10257" width="9" style="93"/>
    <col min="10258" max="10258" width="7.75" style="93" customWidth="1"/>
    <col min="10259" max="10259" width="13.125" style="93" customWidth="1"/>
    <col min="10260" max="10260" width="6.125" style="93" customWidth="1"/>
    <col min="10261" max="10261" width="9.75" style="93" customWidth="1"/>
    <col min="10262" max="10262" width="1.375" style="93" customWidth="1"/>
    <col min="10263" max="10502" width="9" style="93"/>
    <col min="10503" max="10503" width="1.375" style="93" customWidth="1"/>
    <col min="10504" max="10504" width="3.5" style="93" customWidth="1"/>
    <col min="10505" max="10505" width="22.125" style="93" customWidth="1"/>
    <col min="10506" max="10506" width="9.75" style="93" customWidth="1"/>
    <col min="10507" max="10507" width="7.375" style="93" customWidth="1"/>
    <col min="10508" max="10508" width="9" style="93"/>
    <col min="10509" max="10509" width="9.25" style="93" customWidth="1"/>
    <col min="10510" max="10510" width="3.5" style="93" customWidth="1"/>
    <col min="10511" max="10512" width="12.625" style="93" customWidth="1"/>
    <col min="10513" max="10513" width="9" style="93"/>
    <col min="10514" max="10514" width="7.75" style="93" customWidth="1"/>
    <col min="10515" max="10515" width="13.125" style="93" customWidth="1"/>
    <col min="10516" max="10516" width="6.125" style="93" customWidth="1"/>
    <col min="10517" max="10517" width="9.75" style="93" customWidth="1"/>
    <col min="10518" max="10518" width="1.375" style="93" customWidth="1"/>
    <col min="10519" max="10758" width="9" style="93"/>
    <col min="10759" max="10759" width="1.375" style="93" customWidth="1"/>
    <col min="10760" max="10760" width="3.5" style="93" customWidth="1"/>
    <col min="10761" max="10761" width="22.125" style="93" customWidth="1"/>
    <col min="10762" max="10762" width="9.75" style="93" customWidth="1"/>
    <col min="10763" max="10763" width="7.375" style="93" customWidth="1"/>
    <col min="10764" max="10764" width="9" style="93"/>
    <col min="10765" max="10765" width="9.25" style="93" customWidth="1"/>
    <col min="10766" max="10766" width="3.5" style="93" customWidth="1"/>
    <col min="10767" max="10768" width="12.625" style="93" customWidth="1"/>
    <col min="10769" max="10769" width="9" style="93"/>
    <col min="10770" max="10770" width="7.75" style="93" customWidth="1"/>
    <col min="10771" max="10771" width="13.125" style="93" customWidth="1"/>
    <col min="10772" max="10772" width="6.125" style="93" customWidth="1"/>
    <col min="10773" max="10773" width="9.75" style="93" customWidth="1"/>
    <col min="10774" max="10774" width="1.375" style="93" customWidth="1"/>
    <col min="10775" max="11014" width="9" style="93"/>
    <col min="11015" max="11015" width="1.375" style="93" customWidth="1"/>
    <col min="11016" max="11016" width="3.5" style="93" customWidth="1"/>
    <col min="11017" max="11017" width="22.125" style="93" customWidth="1"/>
    <col min="11018" max="11018" width="9.75" style="93" customWidth="1"/>
    <col min="11019" max="11019" width="7.375" style="93" customWidth="1"/>
    <col min="11020" max="11020" width="9" style="93"/>
    <col min="11021" max="11021" width="9.25" style="93" customWidth="1"/>
    <col min="11022" max="11022" width="3.5" style="93" customWidth="1"/>
    <col min="11023" max="11024" width="12.625" style="93" customWidth="1"/>
    <col min="11025" max="11025" width="9" style="93"/>
    <col min="11026" max="11026" width="7.75" style="93" customWidth="1"/>
    <col min="11027" max="11027" width="13.125" style="93" customWidth="1"/>
    <col min="11028" max="11028" width="6.125" style="93" customWidth="1"/>
    <col min="11029" max="11029" width="9.75" style="93" customWidth="1"/>
    <col min="11030" max="11030" width="1.375" style="93" customWidth="1"/>
    <col min="11031" max="11270" width="9" style="93"/>
    <col min="11271" max="11271" width="1.375" style="93" customWidth="1"/>
    <col min="11272" max="11272" width="3.5" style="93" customWidth="1"/>
    <col min="11273" max="11273" width="22.125" style="93" customWidth="1"/>
    <col min="11274" max="11274" width="9.75" style="93" customWidth="1"/>
    <col min="11275" max="11275" width="7.375" style="93" customWidth="1"/>
    <col min="11276" max="11276" width="9" style="93"/>
    <col min="11277" max="11277" width="9.25" style="93" customWidth="1"/>
    <col min="11278" max="11278" width="3.5" style="93" customWidth="1"/>
    <col min="11279" max="11280" width="12.625" style="93" customWidth="1"/>
    <col min="11281" max="11281" width="9" style="93"/>
    <col min="11282" max="11282" width="7.75" style="93" customWidth="1"/>
    <col min="11283" max="11283" width="13.125" style="93" customWidth="1"/>
    <col min="11284" max="11284" width="6.125" style="93" customWidth="1"/>
    <col min="11285" max="11285" width="9.75" style="93" customWidth="1"/>
    <col min="11286" max="11286" width="1.375" style="93" customWidth="1"/>
    <col min="11287" max="11526" width="9" style="93"/>
    <col min="11527" max="11527" width="1.375" style="93" customWidth="1"/>
    <col min="11528" max="11528" width="3.5" style="93" customWidth="1"/>
    <col min="11529" max="11529" width="22.125" style="93" customWidth="1"/>
    <col min="11530" max="11530" width="9.75" style="93" customWidth="1"/>
    <col min="11531" max="11531" width="7.375" style="93" customWidth="1"/>
    <col min="11532" max="11532" width="9" style="93"/>
    <col min="11533" max="11533" width="9.25" style="93" customWidth="1"/>
    <col min="11534" max="11534" width="3.5" style="93" customWidth="1"/>
    <col min="11535" max="11536" width="12.625" style="93" customWidth="1"/>
    <col min="11537" max="11537" width="9" style="93"/>
    <col min="11538" max="11538" width="7.75" style="93" customWidth="1"/>
    <col min="11539" max="11539" width="13.125" style="93" customWidth="1"/>
    <col min="11540" max="11540" width="6.125" style="93" customWidth="1"/>
    <col min="11541" max="11541" width="9.75" style="93" customWidth="1"/>
    <col min="11542" max="11542" width="1.375" style="93" customWidth="1"/>
    <col min="11543" max="11782" width="9" style="93"/>
    <col min="11783" max="11783" width="1.375" style="93" customWidth="1"/>
    <col min="11784" max="11784" width="3.5" style="93" customWidth="1"/>
    <col min="11785" max="11785" width="22.125" style="93" customWidth="1"/>
    <col min="11786" max="11786" width="9.75" style="93" customWidth="1"/>
    <col min="11787" max="11787" width="7.375" style="93" customWidth="1"/>
    <col min="11788" max="11788" width="9" style="93"/>
    <col min="11789" max="11789" width="9.25" style="93" customWidth="1"/>
    <col min="11790" max="11790" width="3.5" style="93" customWidth="1"/>
    <col min="11791" max="11792" width="12.625" style="93" customWidth="1"/>
    <col min="11793" max="11793" width="9" style="93"/>
    <col min="11794" max="11794" width="7.75" style="93" customWidth="1"/>
    <col min="11795" max="11795" width="13.125" style="93" customWidth="1"/>
    <col min="11796" max="11796" width="6.125" style="93" customWidth="1"/>
    <col min="11797" max="11797" width="9.75" style="93" customWidth="1"/>
    <col min="11798" max="11798" width="1.375" style="93" customWidth="1"/>
    <col min="11799" max="12038" width="9" style="93"/>
    <col min="12039" max="12039" width="1.375" style="93" customWidth="1"/>
    <col min="12040" max="12040" width="3.5" style="93" customWidth="1"/>
    <col min="12041" max="12041" width="22.125" style="93" customWidth="1"/>
    <col min="12042" max="12042" width="9.75" style="93" customWidth="1"/>
    <col min="12043" max="12043" width="7.375" style="93" customWidth="1"/>
    <col min="12044" max="12044" width="9" style="93"/>
    <col min="12045" max="12045" width="9.25" style="93" customWidth="1"/>
    <col min="12046" max="12046" width="3.5" style="93" customWidth="1"/>
    <col min="12047" max="12048" width="12.625" style="93" customWidth="1"/>
    <col min="12049" max="12049" width="9" style="93"/>
    <col min="12050" max="12050" width="7.75" style="93" customWidth="1"/>
    <col min="12051" max="12051" width="13.125" style="93" customWidth="1"/>
    <col min="12052" max="12052" width="6.125" style="93" customWidth="1"/>
    <col min="12053" max="12053" width="9.75" style="93" customWidth="1"/>
    <col min="12054" max="12054" width="1.375" style="93" customWidth="1"/>
    <col min="12055" max="12294" width="9" style="93"/>
    <col min="12295" max="12295" width="1.375" style="93" customWidth="1"/>
    <col min="12296" max="12296" width="3.5" style="93" customWidth="1"/>
    <col min="12297" max="12297" width="22.125" style="93" customWidth="1"/>
    <col min="12298" max="12298" width="9.75" style="93" customWidth="1"/>
    <col min="12299" max="12299" width="7.375" style="93" customWidth="1"/>
    <col min="12300" max="12300" width="9" style="93"/>
    <col min="12301" max="12301" width="9.25" style="93" customWidth="1"/>
    <col min="12302" max="12302" width="3.5" style="93" customWidth="1"/>
    <col min="12303" max="12304" width="12.625" style="93" customWidth="1"/>
    <col min="12305" max="12305" width="9" style="93"/>
    <col min="12306" max="12306" width="7.75" style="93" customWidth="1"/>
    <col min="12307" max="12307" width="13.125" style="93" customWidth="1"/>
    <col min="12308" max="12308" width="6.125" style="93" customWidth="1"/>
    <col min="12309" max="12309" width="9.75" style="93" customWidth="1"/>
    <col min="12310" max="12310" width="1.375" style="93" customWidth="1"/>
    <col min="12311" max="12550" width="9" style="93"/>
    <col min="12551" max="12551" width="1.375" style="93" customWidth="1"/>
    <col min="12552" max="12552" width="3.5" style="93" customWidth="1"/>
    <col min="12553" max="12553" width="22.125" style="93" customWidth="1"/>
    <col min="12554" max="12554" width="9.75" style="93" customWidth="1"/>
    <col min="12555" max="12555" width="7.375" style="93" customWidth="1"/>
    <col min="12556" max="12556" width="9" style="93"/>
    <col min="12557" max="12557" width="9.25" style="93" customWidth="1"/>
    <col min="12558" max="12558" width="3.5" style="93" customWidth="1"/>
    <col min="12559" max="12560" width="12.625" style="93" customWidth="1"/>
    <col min="12561" max="12561" width="9" style="93"/>
    <col min="12562" max="12562" width="7.75" style="93" customWidth="1"/>
    <col min="12563" max="12563" width="13.125" style="93" customWidth="1"/>
    <col min="12564" max="12564" width="6.125" style="93" customWidth="1"/>
    <col min="12565" max="12565" width="9.75" style="93" customWidth="1"/>
    <col min="12566" max="12566" width="1.375" style="93" customWidth="1"/>
    <col min="12567" max="12806" width="9" style="93"/>
    <col min="12807" max="12807" width="1.375" style="93" customWidth="1"/>
    <col min="12808" max="12808" width="3.5" style="93" customWidth="1"/>
    <col min="12809" max="12809" width="22.125" style="93" customWidth="1"/>
    <col min="12810" max="12810" width="9.75" style="93" customWidth="1"/>
    <col min="12811" max="12811" width="7.375" style="93" customWidth="1"/>
    <col min="12812" max="12812" width="9" style="93"/>
    <col min="12813" max="12813" width="9.25" style="93" customWidth="1"/>
    <col min="12814" max="12814" width="3.5" style="93" customWidth="1"/>
    <col min="12815" max="12816" width="12.625" style="93" customWidth="1"/>
    <col min="12817" max="12817" width="9" style="93"/>
    <col min="12818" max="12818" width="7.75" style="93" customWidth="1"/>
    <col min="12819" max="12819" width="13.125" style="93" customWidth="1"/>
    <col min="12820" max="12820" width="6.125" style="93" customWidth="1"/>
    <col min="12821" max="12821" width="9.75" style="93" customWidth="1"/>
    <col min="12822" max="12822" width="1.375" style="93" customWidth="1"/>
    <col min="12823" max="13062" width="9" style="93"/>
    <col min="13063" max="13063" width="1.375" style="93" customWidth="1"/>
    <col min="13064" max="13064" width="3.5" style="93" customWidth="1"/>
    <col min="13065" max="13065" width="22.125" style="93" customWidth="1"/>
    <col min="13066" max="13066" width="9.75" style="93" customWidth="1"/>
    <col min="13067" max="13067" width="7.375" style="93" customWidth="1"/>
    <col min="13068" max="13068" width="9" style="93"/>
    <col min="13069" max="13069" width="9.25" style="93" customWidth="1"/>
    <col min="13070" max="13070" width="3.5" style="93" customWidth="1"/>
    <col min="13071" max="13072" width="12.625" style="93" customWidth="1"/>
    <col min="13073" max="13073" width="9" style="93"/>
    <col min="13074" max="13074" width="7.75" style="93" customWidth="1"/>
    <col min="13075" max="13075" width="13.125" style="93" customWidth="1"/>
    <col min="13076" max="13076" width="6.125" style="93" customWidth="1"/>
    <col min="13077" max="13077" width="9.75" style="93" customWidth="1"/>
    <col min="13078" max="13078" width="1.375" style="93" customWidth="1"/>
    <col min="13079" max="13318" width="9" style="93"/>
    <col min="13319" max="13319" width="1.375" style="93" customWidth="1"/>
    <col min="13320" max="13320" width="3.5" style="93" customWidth="1"/>
    <col min="13321" max="13321" width="22.125" style="93" customWidth="1"/>
    <col min="13322" max="13322" width="9.75" style="93" customWidth="1"/>
    <col min="13323" max="13323" width="7.375" style="93" customWidth="1"/>
    <col min="13324" max="13324" width="9" style="93"/>
    <col min="13325" max="13325" width="9.25" style="93" customWidth="1"/>
    <col min="13326" max="13326" width="3.5" style="93" customWidth="1"/>
    <col min="13327" max="13328" width="12.625" style="93" customWidth="1"/>
    <col min="13329" max="13329" width="9" style="93"/>
    <col min="13330" max="13330" width="7.75" style="93" customWidth="1"/>
    <col min="13331" max="13331" width="13.125" style="93" customWidth="1"/>
    <col min="13332" max="13332" width="6.125" style="93" customWidth="1"/>
    <col min="13333" max="13333" width="9.75" style="93" customWidth="1"/>
    <col min="13334" max="13334" width="1.375" style="93" customWidth="1"/>
    <col min="13335" max="13574" width="9" style="93"/>
    <col min="13575" max="13575" width="1.375" style="93" customWidth="1"/>
    <col min="13576" max="13576" width="3.5" style="93" customWidth="1"/>
    <col min="13577" max="13577" width="22.125" style="93" customWidth="1"/>
    <col min="13578" max="13578" width="9.75" style="93" customWidth="1"/>
    <col min="13579" max="13579" width="7.375" style="93" customWidth="1"/>
    <col min="13580" max="13580" width="9" style="93"/>
    <col min="13581" max="13581" width="9.25" style="93" customWidth="1"/>
    <col min="13582" max="13582" width="3.5" style="93" customWidth="1"/>
    <col min="13583" max="13584" width="12.625" style="93" customWidth="1"/>
    <col min="13585" max="13585" width="9" style="93"/>
    <col min="13586" max="13586" width="7.75" style="93" customWidth="1"/>
    <col min="13587" max="13587" width="13.125" style="93" customWidth="1"/>
    <col min="13588" max="13588" width="6.125" style="93" customWidth="1"/>
    <col min="13589" max="13589" width="9.75" style="93" customWidth="1"/>
    <col min="13590" max="13590" width="1.375" style="93" customWidth="1"/>
    <col min="13591" max="13830" width="9" style="93"/>
    <col min="13831" max="13831" width="1.375" style="93" customWidth="1"/>
    <col min="13832" max="13832" width="3.5" style="93" customWidth="1"/>
    <col min="13833" max="13833" width="22.125" style="93" customWidth="1"/>
    <col min="13834" max="13834" width="9.75" style="93" customWidth="1"/>
    <col min="13835" max="13835" width="7.375" style="93" customWidth="1"/>
    <col min="13836" max="13836" width="9" style="93"/>
    <col min="13837" max="13837" width="9.25" style="93" customWidth="1"/>
    <col min="13838" max="13838" width="3.5" style="93" customWidth="1"/>
    <col min="13839" max="13840" width="12.625" style="93" customWidth="1"/>
    <col min="13841" max="13841" width="9" style="93"/>
    <col min="13842" max="13842" width="7.75" style="93" customWidth="1"/>
    <col min="13843" max="13843" width="13.125" style="93" customWidth="1"/>
    <col min="13844" max="13844" width="6.125" style="93" customWidth="1"/>
    <col min="13845" max="13845" width="9.75" style="93" customWidth="1"/>
    <col min="13846" max="13846" width="1.375" style="93" customWidth="1"/>
    <col min="13847" max="14086" width="9" style="93"/>
    <col min="14087" max="14087" width="1.375" style="93" customWidth="1"/>
    <col min="14088" max="14088" width="3.5" style="93" customWidth="1"/>
    <col min="14089" max="14089" width="22.125" style="93" customWidth="1"/>
    <col min="14090" max="14090" width="9.75" style="93" customWidth="1"/>
    <col min="14091" max="14091" width="7.375" style="93" customWidth="1"/>
    <col min="14092" max="14092" width="9" style="93"/>
    <col min="14093" max="14093" width="9.25" style="93" customWidth="1"/>
    <col min="14094" max="14094" width="3.5" style="93" customWidth="1"/>
    <col min="14095" max="14096" width="12.625" style="93" customWidth="1"/>
    <col min="14097" max="14097" width="9" style="93"/>
    <col min="14098" max="14098" width="7.75" style="93" customWidth="1"/>
    <col min="14099" max="14099" width="13.125" style="93" customWidth="1"/>
    <col min="14100" max="14100" width="6.125" style="93" customWidth="1"/>
    <col min="14101" max="14101" width="9.75" style="93" customWidth="1"/>
    <col min="14102" max="14102" width="1.375" style="93" customWidth="1"/>
    <col min="14103" max="14342" width="9" style="93"/>
    <col min="14343" max="14343" width="1.375" style="93" customWidth="1"/>
    <col min="14344" max="14344" width="3.5" style="93" customWidth="1"/>
    <col min="14345" max="14345" width="22.125" style="93" customWidth="1"/>
    <col min="14346" max="14346" width="9.75" style="93" customWidth="1"/>
    <col min="14347" max="14347" width="7.375" style="93" customWidth="1"/>
    <col min="14348" max="14348" width="9" style="93"/>
    <col min="14349" max="14349" width="9.25" style="93" customWidth="1"/>
    <col min="14350" max="14350" width="3.5" style="93" customWidth="1"/>
    <col min="14351" max="14352" width="12.625" style="93" customWidth="1"/>
    <col min="14353" max="14353" width="9" style="93"/>
    <col min="14354" max="14354" width="7.75" style="93" customWidth="1"/>
    <col min="14355" max="14355" width="13.125" style="93" customWidth="1"/>
    <col min="14356" max="14356" width="6.125" style="93" customWidth="1"/>
    <col min="14357" max="14357" width="9.75" style="93" customWidth="1"/>
    <col min="14358" max="14358" width="1.375" style="93" customWidth="1"/>
    <col min="14359" max="14598" width="9" style="93"/>
    <col min="14599" max="14599" width="1.375" style="93" customWidth="1"/>
    <col min="14600" max="14600" width="3.5" style="93" customWidth="1"/>
    <col min="14601" max="14601" width="22.125" style="93" customWidth="1"/>
    <col min="14602" max="14602" width="9.75" style="93" customWidth="1"/>
    <col min="14603" max="14603" width="7.375" style="93" customWidth="1"/>
    <col min="14604" max="14604" width="9" style="93"/>
    <col min="14605" max="14605" width="9.25" style="93" customWidth="1"/>
    <col min="14606" max="14606" width="3.5" style="93" customWidth="1"/>
    <col min="14607" max="14608" width="12.625" style="93" customWidth="1"/>
    <col min="14609" max="14609" width="9" style="93"/>
    <col min="14610" max="14610" width="7.75" style="93" customWidth="1"/>
    <col min="14611" max="14611" width="13.125" style="93" customWidth="1"/>
    <col min="14612" max="14612" width="6.125" style="93" customWidth="1"/>
    <col min="14613" max="14613" width="9.75" style="93" customWidth="1"/>
    <col min="14614" max="14614" width="1.375" style="93" customWidth="1"/>
    <col min="14615" max="14854" width="9" style="93"/>
    <col min="14855" max="14855" width="1.375" style="93" customWidth="1"/>
    <col min="14856" max="14856" width="3.5" style="93" customWidth="1"/>
    <col min="14857" max="14857" width="22.125" style="93" customWidth="1"/>
    <col min="14858" max="14858" width="9.75" style="93" customWidth="1"/>
    <col min="14859" max="14859" width="7.375" style="93" customWidth="1"/>
    <col min="14860" max="14860" width="9" style="93"/>
    <col min="14861" max="14861" width="9.25" style="93" customWidth="1"/>
    <col min="14862" max="14862" width="3.5" style="93" customWidth="1"/>
    <col min="14863" max="14864" width="12.625" style="93" customWidth="1"/>
    <col min="14865" max="14865" width="9" style="93"/>
    <col min="14866" max="14866" width="7.75" style="93" customWidth="1"/>
    <col min="14867" max="14867" width="13.125" style="93" customWidth="1"/>
    <col min="14868" max="14868" width="6.125" style="93" customWidth="1"/>
    <col min="14869" max="14869" width="9.75" style="93" customWidth="1"/>
    <col min="14870" max="14870" width="1.375" style="93" customWidth="1"/>
    <col min="14871" max="15110" width="9" style="93"/>
    <col min="15111" max="15111" width="1.375" style="93" customWidth="1"/>
    <col min="15112" max="15112" width="3.5" style="93" customWidth="1"/>
    <col min="15113" max="15113" width="22.125" style="93" customWidth="1"/>
    <col min="15114" max="15114" width="9.75" style="93" customWidth="1"/>
    <col min="15115" max="15115" width="7.375" style="93" customWidth="1"/>
    <col min="15116" max="15116" width="9" style="93"/>
    <col min="15117" max="15117" width="9.25" style="93" customWidth="1"/>
    <col min="15118" max="15118" width="3.5" style="93" customWidth="1"/>
    <col min="15119" max="15120" width="12.625" style="93" customWidth="1"/>
    <col min="15121" max="15121" width="9" style="93"/>
    <col min="15122" max="15122" width="7.75" style="93" customWidth="1"/>
    <col min="15123" max="15123" width="13.125" style="93" customWidth="1"/>
    <col min="15124" max="15124" width="6.125" style="93" customWidth="1"/>
    <col min="15125" max="15125" width="9.75" style="93" customWidth="1"/>
    <col min="15126" max="15126" width="1.375" style="93" customWidth="1"/>
    <col min="15127" max="15366" width="9" style="93"/>
    <col min="15367" max="15367" width="1.375" style="93" customWidth="1"/>
    <col min="15368" max="15368" width="3.5" style="93" customWidth="1"/>
    <col min="15369" max="15369" width="22.125" style="93" customWidth="1"/>
    <col min="15370" max="15370" width="9.75" style="93" customWidth="1"/>
    <col min="15371" max="15371" width="7.375" style="93" customWidth="1"/>
    <col min="15372" max="15372" width="9" style="93"/>
    <col min="15373" max="15373" width="9.25" style="93" customWidth="1"/>
    <col min="15374" max="15374" width="3.5" style="93" customWidth="1"/>
    <col min="15375" max="15376" width="12.625" style="93" customWidth="1"/>
    <col min="15377" max="15377" width="9" style="93"/>
    <col min="15378" max="15378" width="7.75" style="93" customWidth="1"/>
    <col min="15379" max="15379" width="13.125" style="93" customWidth="1"/>
    <col min="15380" max="15380" width="6.125" style="93" customWidth="1"/>
    <col min="15381" max="15381" width="9.75" style="93" customWidth="1"/>
    <col min="15382" max="15382" width="1.375" style="93" customWidth="1"/>
    <col min="15383" max="15622" width="9" style="93"/>
    <col min="15623" max="15623" width="1.375" style="93" customWidth="1"/>
    <col min="15624" max="15624" width="3.5" style="93" customWidth="1"/>
    <col min="15625" max="15625" width="22.125" style="93" customWidth="1"/>
    <col min="15626" max="15626" width="9.75" style="93" customWidth="1"/>
    <col min="15627" max="15627" width="7.375" style="93" customWidth="1"/>
    <col min="15628" max="15628" width="9" style="93"/>
    <col min="15629" max="15629" width="9.25" style="93" customWidth="1"/>
    <col min="15630" max="15630" width="3.5" style="93" customWidth="1"/>
    <col min="15631" max="15632" width="12.625" style="93" customWidth="1"/>
    <col min="15633" max="15633" width="9" style="93"/>
    <col min="15634" max="15634" width="7.75" style="93" customWidth="1"/>
    <col min="15635" max="15635" width="13.125" style="93" customWidth="1"/>
    <col min="15636" max="15636" width="6.125" style="93" customWidth="1"/>
    <col min="15637" max="15637" width="9.75" style="93" customWidth="1"/>
    <col min="15638" max="15638" width="1.375" style="93" customWidth="1"/>
    <col min="15639" max="15878" width="9" style="93"/>
    <col min="15879" max="15879" width="1.375" style="93" customWidth="1"/>
    <col min="15880" max="15880" width="3.5" style="93" customWidth="1"/>
    <col min="15881" max="15881" width="22.125" style="93" customWidth="1"/>
    <col min="15882" max="15882" width="9.75" style="93" customWidth="1"/>
    <col min="15883" max="15883" width="7.375" style="93" customWidth="1"/>
    <col min="15884" max="15884" width="9" style="93"/>
    <col min="15885" max="15885" width="9.25" style="93" customWidth="1"/>
    <col min="15886" max="15886" width="3.5" style="93" customWidth="1"/>
    <col min="15887" max="15888" width="12.625" style="93" customWidth="1"/>
    <col min="15889" max="15889" width="9" style="93"/>
    <col min="15890" max="15890" width="7.75" style="93" customWidth="1"/>
    <col min="15891" max="15891" width="13.125" style="93" customWidth="1"/>
    <col min="15892" max="15892" width="6.125" style="93" customWidth="1"/>
    <col min="15893" max="15893" width="9.75" style="93" customWidth="1"/>
    <col min="15894" max="15894" width="1.375" style="93" customWidth="1"/>
    <col min="15895" max="16134" width="9" style="93"/>
    <col min="16135" max="16135" width="1.375" style="93" customWidth="1"/>
    <col min="16136" max="16136" width="3.5" style="93" customWidth="1"/>
    <col min="16137" max="16137" width="22.125" style="93" customWidth="1"/>
    <col min="16138" max="16138" width="9.75" style="93" customWidth="1"/>
    <col min="16139" max="16139" width="7.375" style="93" customWidth="1"/>
    <col min="16140" max="16140" width="9" style="93"/>
    <col min="16141" max="16141" width="9.25" style="93" customWidth="1"/>
    <col min="16142" max="16142" width="3.5" style="93" customWidth="1"/>
    <col min="16143" max="16144" width="12.625" style="93" customWidth="1"/>
    <col min="16145" max="16145" width="9" style="93"/>
    <col min="16146" max="16146" width="7.75" style="93" customWidth="1"/>
    <col min="16147" max="16147" width="13.125" style="93" customWidth="1"/>
    <col min="16148" max="16148" width="6.125" style="93" customWidth="1"/>
    <col min="16149" max="16149" width="9.75" style="93" customWidth="1"/>
    <col min="16150" max="16150" width="1.375" style="93" customWidth="1"/>
    <col min="16151" max="16384" width="9" style="93"/>
  </cols>
  <sheetData>
    <row r="1" spans="2:25" ht="9.9499999999999993" customHeight="1" x14ac:dyDescent="0.15"/>
    <row r="2" spans="2:25" ht="24.95" customHeight="1" x14ac:dyDescent="0.15">
      <c r="B2" s="1" t="s">
        <v>759</v>
      </c>
      <c r="C2" s="95"/>
      <c r="D2" s="13"/>
      <c r="E2" s="13"/>
      <c r="F2" s="95"/>
      <c r="G2" s="162"/>
      <c r="H2" s="172"/>
      <c r="I2" s="162"/>
      <c r="J2" s="162"/>
      <c r="K2" s="162"/>
      <c r="L2" s="162"/>
      <c r="M2" s="162"/>
      <c r="N2" s="162"/>
      <c r="O2" s="13"/>
    </row>
    <row r="3" spans="2:25" ht="15" customHeight="1" thickBot="1" x14ac:dyDescent="0.2">
      <c r="B3" s="93" t="s">
        <v>223</v>
      </c>
      <c r="I3" s="13" t="s">
        <v>224</v>
      </c>
      <c r="P3" s="93" t="s">
        <v>249</v>
      </c>
    </row>
    <row r="4" spans="2:25" ht="15" customHeight="1" x14ac:dyDescent="0.15">
      <c r="B4" s="337" t="s">
        <v>74</v>
      </c>
      <c r="C4" s="211" t="s">
        <v>176</v>
      </c>
      <c r="D4" s="211" t="s">
        <v>134</v>
      </c>
      <c r="E4" s="211" t="s">
        <v>135</v>
      </c>
      <c r="F4" s="211" t="s">
        <v>23</v>
      </c>
      <c r="G4" s="199" t="s">
        <v>136</v>
      </c>
      <c r="H4" s="212"/>
      <c r="I4" s="1118" t="s">
        <v>74</v>
      </c>
      <c r="J4" s="1114" t="s">
        <v>180</v>
      </c>
      <c r="K4" s="217" t="s">
        <v>177</v>
      </c>
      <c r="L4" s="217" t="s">
        <v>137</v>
      </c>
      <c r="M4" s="1114" t="s">
        <v>23</v>
      </c>
      <c r="N4" s="1116" t="s">
        <v>136</v>
      </c>
      <c r="O4" s="239"/>
      <c r="P4" s="338" t="s">
        <v>183</v>
      </c>
      <c r="Q4" s="339" t="s">
        <v>184</v>
      </c>
      <c r="R4" s="339" t="s">
        <v>185</v>
      </c>
      <c r="S4" s="339" t="s">
        <v>186</v>
      </c>
      <c r="T4" s="1120" t="s">
        <v>187</v>
      </c>
      <c r="U4" s="1057"/>
      <c r="V4" s="340" t="s">
        <v>188</v>
      </c>
      <c r="W4" s="718" t="s">
        <v>342</v>
      </c>
      <c r="X4" s="718" t="s">
        <v>343</v>
      </c>
      <c r="Y4" s="718"/>
    </row>
    <row r="5" spans="2:25" ht="15" customHeight="1" x14ac:dyDescent="0.15">
      <c r="B5" s="987" t="s">
        <v>170</v>
      </c>
      <c r="C5" s="92" t="s">
        <v>298</v>
      </c>
      <c r="D5" s="92">
        <f>+肥料算出基礎!C4*10/1000</f>
        <v>30</v>
      </c>
      <c r="E5" s="103" t="s">
        <v>174</v>
      </c>
      <c r="F5" s="92">
        <f>+肥料算出基礎!K4/肥料算出基礎!J4*1000</f>
        <v>22160</v>
      </c>
      <c r="G5" s="200">
        <f t="shared" ref="G5:G6" si="0">D5*F5</f>
        <v>664800</v>
      </c>
      <c r="H5" s="213"/>
      <c r="I5" s="1119"/>
      <c r="J5" s="1115"/>
      <c r="K5" s="219" t="s">
        <v>139</v>
      </c>
      <c r="L5" s="729" t="s">
        <v>284</v>
      </c>
      <c r="M5" s="1115"/>
      <c r="N5" s="1117"/>
      <c r="O5" s="239"/>
      <c r="P5" s="341" t="s">
        <v>347</v>
      </c>
      <c r="Q5" s="197">
        <v>30</v>
      </c>
      <c r="R5" s="537" t="s">
        <v>352</v>
      </c>
      <c r="S5" s="197">
        <f>ROUNDDOWN(W5*1.1,-1)</f>
        <v>2290</v>
      </c>
      <c r="T5" s="1112">
        <v>5</v>
      </c>
      <c r="U5" s="1113"/>
      <c r="V5" s="228">
        <f t="shared" ref="V5:V11" si="1">Q5*S5/T5</f>
        <v>13740</v>
      </c>
      <c r="W5" s="718">
        <v>2088</v>
      </c>
      <c r="X5" s="718">
        <v>500</v>
      </c>
      <c r="Y5" s="718" t="s">
        <v>54</v>
      </c>
    </row>
    <row r="6" spans="2:25" ht="15" customHeight="1" x14ac:dyDescent="0.15">
      <c r="B6" s="988"/>
      <c r="C6" s="92"/>
      <c r="D6" s="92"/>
      <c r="E6" s="103"/>
      <c r="F6" s="92"/>
      <c r="G6" s="201">
        <f t="shared" si="0"/>
        <v>0</v>
      </c>
      <c r="H6" s="213"/>
      <c r="I6" s="1089" t="s">
        <v>179</v>
      </c>
      <c r="J6" s="92" t="s">
        <v>443</v>
      </c>
      <c r="K6" s="220">
        <v>9</v>
      </c>
      <c r="L6" s="220">
        <v>1</v>
      </c>
      <c r="M6" s="220">
        <v>123.2</v>
      </c>
      <c r="N6" s="201">
        <f>K6*L6*M6</f>
        <v>1108.8</v>
      </c>
      <c r="O6" s="239"/>
      <c r="P6" s="341" t="s">
        <v>516</v>
      </c>
      <c r="Q6" s="197">
        <v>50</v>
      </c>
      <c r="R6" s="537" t="s">
        <v>352</v>
      </c>
      <c r="S6" s="197">
        <f>ROUNDDOWN(W6*1.1,-1)</f>
        <v>2560</v>
      </c>
      <c r="T6" s="1112">
        <v>1</v>
      </c>
      <c r="U6" s="1113"/>
      <c r="V6" s="228">
        <f t="shared" si="1"/>
        <v>128000</v>
      </c>
      <c r="W6" s="718">
        <v>2333</v>
      </c>
      <c r="X6" s="718">
        <v>100</v>
      </c>
      <c r="Y6" s="718" t="s">
        <v>54</v>
      </c>
    </row>
    <row r="7" spans="2:25" ht="15" customHeight="1" thickBot="1" x14ac:dyDescent="0.2">
      <c r="B7" s="1085"/>
      <c r="C7" s="202" t="s">
        <v>140</v>
      </c>
      <c r="D7" s="202"/>
      <c r="E7" s="202"/>
      <c r="F7" s="202"/>
      <c r="G7" s="203">
        <f>SUM(G5:G6)</f>
        <v>664800</v>
      </c>
      <c r="H7" s="213"/>
      <c r="I7" s="988"/>
      <c r="J7" s="92" t="s">
        <v>438</v>
      </c>
      <c r="K7" s="220">
        <v>6</v>
      </c>
      <c r="L7" s="220">
        <v>3</v>
      </c>
      <c r="M7" s="220">
        <v>123.2</v>
      </c>
      <c r="N7" s="201">
        <f t="shared" ref="N7:N9" si="2">K7*L7*M7</f>
        <v>2217.6</v>
      </c>
      <c r="O7" s="239"/>
      <c r="P7" s="341" t="s">
        <v>517</v>
      </c>
      <c r="Q7" s="197">
        <v>80</v>
      </c>
      <c r="R7" s="537" t="s">
        <v>353</v>
      </c>
      <c r="S7" s="197">
        <f>ROUNDDOWN(W7*1.1,-1)</f>
        <v>2240</v>
      </c>
      <c r="T7" s="1112">
        <v>5</v>
      </c>
      <c r="U7" s="1113"/>
      <c r="V7" s="228">
        <f t="shared" si="1"/>
        <v>35840</v>
      </c>
      <c r="W7" s="718">
        <v>2042</v>
      </c>
      <c r="X7" s="718">
        <v>200</v>
      </c>
      <c r="Y7" s="718" t="s">
        <v>344</v>
      </c>
    </row>
    <row r="8" spans="2:25" ht="15" customHeight="1" thickTop="1" x14ac:dyDescent="0.15">
      <c r="B8" s="1084" t="s">
        <v>167</v>
      </c>
      <c r="C8" s="92" t="s">
        <v>775</v>
      </c>
      <c r="D8" s="133">
        <f>+肥料算出基礎!C5*10/肥料算出基礎!J5</f>
        <v>7.5</v>
      </c>
      <c r="E8" s="103" t="s">
        <v>138</v>
      </c>
      <c r="F8" s="92">
        <v>860</v>
      </c>
      <c r="G8" s="201">
        <f>D8*F8</f>
        <v>6450</v>
      </c>
      <c r="H8" s="213"/>
      <c r="I8" s="988"/>
      <c r="J8" s="92" t="s">
        <v>439</v>
      </c>
      <c r="K8" s="220">
        <v>6</v>
      </c>
      <c r="L8" s="220">
        <v>3</v>
      </c>
      <c r="M8" s="220">
        <v>123.2</v>
      </c>
      <c r="N8" s="201">
        <f t="shared" si="2"/>
        <v>2217.6</v>
      </c>
      <c r="O8" s="239"/>
      <c r="P8" s="341" t="s">
        <v>350</v>
      </c>
      <c r="Q8" s="197">
        <v>3</v>
      </c>
      <c r="R8" s="537" t="s">
        <v>341</v>
      </c>
      <c r="S8" s="197">
        <f>ROUNDDOWN(W8*1.1,-1)</f>
        <v>1180</v>
      </c>
      <c r="T8" s="1112">
        <v>1</v>
      </c>
      <c r="U8" s="1113"/>
      <c r="V8" s="228">
        <f t="shared" si="1"/>
        <v>3540</v>
      </c>
      <c r="W8" s="718">
        <v>1080</v>
      </c>
      <c r="X8" s="718">
        <v>10</v>
      </c>
      <c r="Y8" s="718" t="s">
        <v>345</v>
      </c>
    </row>
    <row r="9" spans="2:25" ht="15" customHeight="1" x14ac:dyDescent="0.15">
      <c r="B9" s="988"/>
      <c r="C9" s="377" t="s">
        <v>776</v>
      </c>
      <c r="D9" s="92">
        <f>+肥料算出基礎!C8*10/肥料算出基礎!J8</f>
        <v>20</v>
      </c>
      <c r="E9" s="103" t="s">
        <v>138</v>
      </c>
      <c r="F9" s="92">
        <v>730</v>
      </c>
      <c r="G9" s="201">
        <f>D9*F9</f>
        <v>14600</v>
      </c>
      <c r="H9" s="213"/>
      <c r="I9" s="988"/>
      <c r="J9" s="92"/>
      <c r="K9" s="220"/>
      <c r="L9" s="220"/>
      <c r="M9" s="220"/>
      <c r="N9" s="201">
        <f t="shared" si="2"/>
        <v>0</v>
      </c>
      <c r="O9" s="239"/>
      <c r="P9" s="341" t="s">
        <v>351</v>
      </c>
      <c r="Q9" s="197">
        <v>300</v>
      </c>
      <c r="R9" s="537" t="s">
        <v>341</v>
      </c>
      <c r="S9" s="197">
        <f>ROUNDDOWN(W9*1.1,-1)</f>
        <v>370</v>
      </c>
      <c r="T9" s="1112">
        <v>1</v>
      </c>
      <c r="U9" s="1113"/>
      <c r="V9" s="228">
        <f>Q9*S9/T9</f>
        <v>111000</v>
      </c>
      <c r="W9" s="718">
        <v>337</v>
      </c>
      <c r="X9" s="718">
        <v>100</v>
      </c>
      <c r="Y9" s="718" t="s">
        <v>346</v>
      </c>
    </row>
    <row r="10" spans="2:25" ht="15" customHeight="1" x14ac:dyDescent="0.15">
      <c r="B10" s="988"/>
      <c r="C10" s="92" t="s">
        <v>777</v>
      </c>
      <c r="D10" s="556">
        <f>+肥料算出基礎!C10*10/肥料算出基礎!J10</f>
        <v>20</v>
      </c>
      <c r="E10" s="103" t="s">
        <v>138</v>
      </c>
      <c r="F10" s="556">
        <f>+肥料算出基礎!K10</f>
        <v>4930</v>
      </c>
      <c r="G10" s="557">
        <f>D10*F10</f>
        <v>98600</v>
      </c>
      <c r="H10" s="213"/>
      <c r="I10" s="988"/>
      <c r="J10" s="558"/>
      <c r="K10" s="559"/>
      <c r="L10" s="559"/>
      <c r="M10" s="559"/>
      <c r="N10" s="560"/>
      <c r="O10" s="239"/>
      <c r="P10" s="490" t="s">
        <v>435</v>
      </c>
      <c r="Q10" s="491">
        <v>4</v>
      </c>
      <c r="R10" s="492" t="s">
        <v>352</v>
      </c>
      <c r="S10" s="491">
        <v>64600</v>
      </c>
      <c r="T10" s="1134">
        <v>5</v>
      </c>
      <c r="U10" s="1113"/>
      <c r="V10" s="494">
        <f t="shared" si="1"/>
        <v>51680</v>
      </c>
      <c r="W10" s="718"/>
      <c r="X10" s="718" t="s">
        <v>522</v>
      </c>
      <c r="Y10" s="718"/>
    </row>
    <row r="11" spans="2:25" ht="15" customHeight="1" thickBot="1" x14ac:dyDescent="0.2">
      <c r="B11" s="988"/>
      <c r="C11" s="92" t="s">
        <v>778</v>
      </c>
      <c r="D11" s="92">
        <f>+肥料算出基礎!C9*10/肥料算出基礎!J9</f>
        <v>20</v>
      </c>
      <c r="E11" s="103" t="s">
        <v>138</v>
      </c>
      <c r="F11" s="92">
        <f>+肥料算出基礎!K9</f>
        <v>4410</v>
      </c>
      <c r="G11" s="201">
        <f>D11*F11</f>
        <v>88200</v>
      </c>
      <c r="H11" s="213"/>
      <c r="I11" s="1085"/>
      <c r="J11" s="342" t="s">
        <v>253</v>
      </c>
      <c r="K11" s="221">
        <f t="shared" ref="K11:L11" si="3">SUM(K6:K9)</f>
        <v>21</v>
      </c>
      <c r="L11" s="221">
        <f t="shared" si="3"/>
        <v>7</v>
      </c>
      <c r="M11" s="221"/>
      <c r="N11" s="216">
        <f>SUM(N6:N9)</f>
        <v>5544</v>
      </c>
      <c r="O11" s="239"/>
      <c r="P11" s="341" t="s">
        <v>588</v>
      </c>
      <c r="Q11" s="197">
        <v>12</v>
      </c>
      <c r="R11" s="537" t="s">
        <v>352</v>
      </c>
      <c r="S11" s="197">
        <f>ROUNDDOWN(W11*1.1,-1)</f>
        <v>6220</v>
      </c>
      <c r="T11" s="1112">
        <v>5</v>
      </c>
      <c r="U11" s="1113"/>
      <c r="V11" s="494">
        <f t="shared" si="1"/>
        <v>14928</v>
      </c>
      <c r="W11" s="718">
        <v>5657</v>
      </c>
      <c r="X11" s="718" t="s">
        <v>589</v>
      </c>
      <c r="Y11" s="718"/>
    </row>
    <row r="12" spans="2:25" ht="15" customHeight="1" thickTop="1" thickBot="1" x14ac:dyDescent="0.2">
      <c r="B12" s="1085"/>
      <c r="C12" s="204" t="s">
        <v>141</v>
      </c>
      <c r="D12" s="205"/>
      <c r="E12" s="205"/>
      <c r="F12" s="205"/>
      <c r="G12" s="206">
        <f>SUM(G8:G11)</f>
        <v>207850</v>
      </c>
      <c r="H12" s="213"/>
      <c r="I12" s="1084" t="s">
        <v>46</v>
      </c>
      <c r="J12" s="92" t="s">
        <v>440</v>
      </c>
      <c r="K12" s="220">
        <v>25</v>
      </c>
      <c r="L12" s="220">
        <v>1</v>
      </c>
      <c r="M12" s="220">
        <v>169.9</v>
      </c>
      <c r="N12" s="201">
        <f>K12*L12*M12</f>
        <v>4247.5</v>
      </c>
      <c r="O12" s="239"/>
      <c r="P12" s="341"/>
      <c r="Q12" s="197"/>
      <c r="R12" s="537"/>
      <c r="S12" s="197"/>
      <c r="T12" s="1112"/>
      <c r="U12" s="1113"/>
      <c r="V12" s="228"/>
      <c r="W12" s="718"/>
      <c r="X12" s="718"/>
      <c r="Y12" s="718"/>
    </row>
    <row r="13" spans="2:25" ht="15" customHeight="1" thickTop="1" x14ac:dyDescent="0.15">
      <c r="B13" s="1084" t="s">
        <v>168</v>
      </c>
      <c r="C13" s="92" t="s">
        <v>772</v>
      </c>
      <c r="D13" s="92">
        <f>+肥料算出基礎!C5*10/肥料算出基礎!J5</f>
        <v>7.5</v>
      </c>
      <c r="E13" s="103" t="s">
        <v>138</v>
      </c>
      <c r="F13" s="92">
        <f>+肥料算出基礎!K5</f>
        <v>3200</v>
      </c>
      <c r="G13" s="201">
        <f>D13*F13</f>
        <v>24000</v>
      </c>
      <c r="H13" s="213"/>
      <c r="I13" s="988"/>
      <c r="J13" s="92" t="s">
        <v>441</v>
      </c>
      <c r="K13" s="220">
        <v>10</v>
      </c>
      <c r="L13" s="220">
        <v>1</v>
      </c>
      <c r="M13" s="220">
        <v>169.9</v>
      </c>
      <c r="N13" s="201">
        <f t="shared" ref="N13:N15" si="4">K13*L13*M13</f>
        <v>1699</v>
      </c>
      <c r="O13" s="239"/>
      <c r="P13" s="341"/>
      <c r="Q13" s="197"/>
      <c r="R13" s="537"/>
      <c r="S13" s="197"/>
      <c r="T13" s="1112"/>
      <c r="U13" s="1113"/>
      <c r="V13" s="228"/>
      <c r="W13" s="718"/>
      <c r="X13" s="718"/>
      <c r="Y13" s="718"/>
    </row>
    <row r="14" spans="2:25" ht="15" customHeight="1" x14ac:dyDescent="0.15">
      <c r="B14" s="988"/>
      <c r="C14" s="92" t="s">
        <v>774</v>
      </c>
      <c r="D14" s="92">
        <f>+肥料算出基礎!C6*10/肥料算出基礎!J6</f>
        <v>20</v>
      </c>
      <c r="E14" s="103" t="s">
        <v>138</v>
      </c>
      <c r="F14" s="92">
        <f>+肥料算出基礎!K6</f>
        <v>2880</v>
      </c>
      <c r="G14" s="201">
        <f>D14*F14</f>
        <v>57600</v>
      </c>
      <c r="H14" s="213"/>
      <c r="I14" s="988"/>
      <c r="J14" s="92" t="s">
        <v>442</v>
      </c>
      <c r="K14" s="220">
        <v>5</v>
      </c>
      <c r="L14" s="220">
        <v>1</v>
      </c>
      <c r="M14" s="220">
        <v>169.9</v>
      </c>
      <c r="N14" s="201">
        <f t="shared" si="4"/>
        <v>849.5</v>
      </c>
      <c r="O14" s="239"/>
      <c r="P14" s="341"/>
      <c r="Q14" s="197"/>
      <c r="R14" s="537"/>
      <c r="S14" s="197"/>
      <c r="T14" s="1112"/>
      <c r="U14" s="1113"/>
      <c r="V14" s="228"/>
      <c r="W14" s="718"/>
      <c r="X14" s="718"/>
      <c r="Y14" s="718"/>
    </row>
    <row r="15" spans="2:25" ht="15" customHeight="1" x14ac:dyDescent="0.15">
      <c r="B15" s="988"/>
      <c r="C15" s="92"/>
      <c r="D15" s="92"/>
      <c r="E15" s="103"/>
      <c r="F15" s="92"/>
      <c r="G15" s="201">
        <f>D15*F15</f>
        <v>0</v>
      </c>
      <c r="H15" s="213"/>
      <c r="I15" s="988"/>
      <c r="J15" s="92" t="s">
        <v>446</v>
      </c>
      <c r="K15" s="220">
        <v>50</v>
      </c>
      <c r="L15" s="220">
        <v>1</v>
      </c>
      <c r="M15" s="220">
        <v>169.9</v>
      </c>
      <c r="N15" s="201">
        <f t="shared" si="4"/>
        <v>8495</v>
      </c>
      <c r="O15" s="239"/>
      <c r="P15" s="341"/>
      <c r="Q15" s="197"/>
      <c r="R15" s="537"/>
      <c r="S15" s="197"/>
      <c r="T15" s="1112"/>
      <c r="U15" s="1113"/>
      <c r="V15" s="228"/>
      <c r="W15" s="718"/>
      <c r="X15" s="718"/>
      <c r="Y15" s="718"/>
    </row>
    <row r="16" spans="2:25" ht="15" customHeight="1" thickBot="1" x14ac:dyDescent="0.2">
      <c r="B16" s="988"/>
      <c r="C16" s="92"/>
      <c r="D16" s="92"/>
      <c r="E16" s="92"/>
      <c r="F16" s="92"/>
      <c r="G16" s="201">
        <f t="shared" ref="G16" si="5">D16*F16</f>
        <v>0</v>
      </c>
      <c r="H16" s="213"/>
      <c r="I16" s="1085"/>
      <c r="J16" s="342" t="s">
        <v>253</v>
      </c>
      <c r="K16" s="221">
        <f t="shared" ref="K16:L16" si="6">SUM(K12:K15)</f>
        <v>90</v>
      </c>
      <c r="L16" s="221">
        <f t="shared" si="6"/>
        <v>4</v>
      </c>
      <c r="M16" s="221"/>
      <c r="N16" s="216">
        <f>SUM(N12:N15)</f>
        <v>15291</v>
      </c>
      <c r="O16" s="239"/>
      <c r="P16" s="341"/>
      <c r="Q16" s="197"/>
      <c r="R16" s="537"/>
      <c r="S16" s="197"/>
      <c r="T16" s="1112"/>
      <c r="U16" s="1113"/>
      <c r="V16" s="228"/>
      <c r="W16" s="718"/>
      <c r="X16" s="718"/>
      <c r="Y16" s="718"/>
    </row>
    <row r="17" spans="2:25" ht="15" customHeight="1" thickTop="1" thickBot="1" x14ac:dyDescent="0.2">
      <c r="B17" s="1085"/>
      <c r="C17" s="204" t="s">
        <v>141</v>
      </c>
      <c r="D17" s="205"/>
      <c r="E17" s="205"/>
      <c r="F17" s="205"/>
      <c r="G17" s="206">
        <f>SUM(G13:G16)</f>
        <v>81600</v>
      </c>
      <c r="H17" s="213"/>
      <c r="I17" s="1084" t="s">
        <v>181</v>
      </c>
      <c r="J17" s="92" t="s">
        <v>444</v>
      </c>
      <c r="K17" s="220">
        <v>22</v>
      </c>
      <c r="L17" s="220">
        <v>0.5</v>
      </c>
      <c r="M17" s="220">
        <v>179.9</v>
      </c>
      <c r="N17" s="201">
        <f>K17*L17*M17</f>
        <v>1978.9</v>
      </c>
      <c r="O17" s="239"/>
      <c r="P17" s="341"/>
      <c r="Q17" s="197"/>
      <c r="R17" s="537"/>
      <c r="S17" s="197"/>
      <c r="T17" s="1112"/>
      <c r="U17" s="1113"/>
      <c r="V17" s="228"/>
      <c r="W17" s="718"/>
      <c r="X17" s="718"/>
      <c r="Y17" s="718"/>
    </row>
    <row r="18" spans="2:25" ht="15" customHeight="1" thickTop="1" x14ac:dyDescent="0.15">
      <c r="B18" s="1084" t="s">
        <v>171</v>
      </c>
      <c r="C18" s="92" t="s">
        <v>773</v>
      </c>
      <c r="D18" s="92">
        <f>+肥料算出基礎!C11*10/肥料算出基礎!J11</f>
        <v>2</v>
      </c>
      <c r="E18" s="103" t="s">
        <v>142</v>
      </c>
      <c r="F18" s="92">
        <f>+肥料算出基礎!K11</f>
        <v>8250</v>
      </c>
      <c r="G18" s="201">
        <f t="shared" ref="G18" si="7">D18*F18</f>
        <v>16500</v>
      </c>
      <c r="H18" s="213"/>
      <c r="I18" s="988"/>
      <c r="J18" s="92"/>
      <c r="K18" s="220"/>
      <c r="L18" s="220"/>
      <c r="M18" s="220"/>
      <c r="N18" s="201">
        <f t="shared" ref="N18:N19" si="8">K18*L18*M18</f>
        <v>0</v>
      </c>
      <c r="O18" s="239"/>
      <c r="P18" s="341"/>
      <c r="Q18" s="197"/>
      <c r="R18" s="537"/>
      <c r="S18" s="197"/>
      <c r="T18" s="1112"/>
      <c r="U18" s="1113"/>
      <c r="V18" s="228"/>
      <c r="W18" s="718"/>
      <c r="X18" s="718"/>
      <c r="Y18" s="718"/>
    </row>
    <row r="19" spans="2:25" ht="15" customHeight="1" x14ac:dyDescent="0.15">
      <c r="B19" s="988"/>
      <c r="C19" s="92"/>
      <c r="D19" s="92"/>
      <c r="E19" s="103"/>
      <c r="F19" s="92"/>
      <c r="G19" s="201">
        <f>D19*F19</f>
        <v>0</v>
      </c>
      <c r="H19" s="213"/>
      <c r="I19" s="988"/>
      <c r="J19" s="92"/>
      <c r="K19" s="220"/>
      <c r="L19" s="220"/>
      <c r="M19" s="220"/>
      <c r="N19" s="201">
        <f t="shared" si="8"/>
        <v>0</v>
      </c>
      <c r="O19" s="239"/>
      <c r="P19" s="341"/>
      <c r="Q19" s="197"/>
      <c r="R19" s="537"/>
      <c r="S19" s="197"/>
      <c r="T19" s="1112"/>
      <c r="U19" s="1113"/>
      <c r="V19" s="228"/>
      <c r="W19" s="718"/>
      <c r="X19" s="718"/>
      <c r="Y19" s="718"/>
    </row>
    <row r="20" spans="2:25" ht="15" customHeight="1" thickBot="1" x14ac:dyDescent="0.2">
      <c r="B20" s="988"/>
      <c r="C20" s="92"/>
      <c r="D20" s="92"/>
      <c r="E20" s="92"/>
      <c r="F20" s="92"/>
      <c r="G20" s="201">
        <f t="shared" ref="G20" si="9">D20*F20</f>
        <v>0</v>
      </c>
      <c r="H20" s="213"/>
      <c r="I20" s="1085"/>
      <c r="J20" s="342" t="s">
        <v>255</v>
      </c>
      <c r="K20" s="221">
        <f>SUM(K17:K19)</f>
        <v>22</v>
      </c>
      <c r="L20" s="222">
        <f>SUM(L17:L19)</f>
        <v>0.5</v>
      </c>
      <c r="M20" s="223"/>
      <c r="N20" s="216">
        <f>SUM(N17:N19)</f>
        <v>1978.9</v>
      </c>
      <c r="O20" s="239"/>
      <c r="P20" s="341"/>
      <c r="Q20" s="197"/>
      <c r="R20" s="537"/>
      <c r="S20" s="197"/>
      <c r="T20" s="1112"/>
      <c r="U20" s="1113"/>
      <c r="V20" s="228"/>
      <c r="W20" s="718"/>
      <c r="X20" s="718"/>
      <c r="Y20" s="718"/>
    </row>
    <row r="21" spans="2:25" ht="15" customHeight="1" thickTop="1" thickBot="1" x14ac:dyDescent="0.2">
      <c r="B21" s="1085"/>
      <c r="C21" s="204" t="s">
        <v>141</v>
      </c>
      <c r="D21" s="205"/>
      <c r="E21" s="205"/>
      <c r="F21" s="205"/>
      <c r="G21" s="206">
        <f>SUM(G18:G20)</f>
        <v>16500</v>
      </c>
      <c r="H21" s="213"/>
      <c r="I21" s="1084" t="s">
        <v>182</v>
      </c>
      <c r="J21" s="92"/>
      <c r="K21" s="220"/>
      <c r="L21" s="220"/>
      <c r="M21" s="220"/>
      <c r="N21" s="201">
        <f>K21*L21*M21</f>
        <v>0</v>
      </c>
      <c r="O21" s="239"/>
      <c r="P21" s="229" t="s">
        <v>28</v>
      </c>
      <c r="Q21" s="230"/>
      <c r="R21" s="230"/>
      <c r="S21" s="230"/>
      <c r="T21" s="1132"/>
      <c r="U21" s="1102"/>
      <c r="V21" s="231">
        <f>SUM(V5:V20)</f>
        <v>358728</v>
      </c>
      <c r="W21" s="718"/>
      <c r="X21" s="718"/>
      <c r="Y21" s="718"/>
    </row>
    <row r="22" spans="2:25" ht="15" customHeight="1" thickTop="1" x14ac:dyDescent="0.15">
      <c r="B22" s="1084" t="s">
        <v>172</v>
      </c>
      <c r="C22" s="92"/>
      <c r="D22" s="92"/>
      <c r="E22" s="103"/>
      <c r="F22" s="92"/>
      <c r="G22" s="201">
        <f>D22*F22</f>
        <v>0</v>
      </c>
      <c r="H22" s="213"/>
      <c r="I22" s="988"/>
      <c r="J22" s="92"/>
      <c r="K22" s="220"/>
      <c r="L22" s="220"/>
      <c r="M22" s="220"/>
      <c r="N22" s="201">
        <f t="shared" ref="N22:N23" si="10">K22*L22*M22</f>
        <v>0</v>
      </c>
      <c r="O22" s="239"/>
      <c r="W22" s="718"/>
      <c r="X22" s="718"/>
      <c r="Y22" s="718"/>
    </row>
    <row r="23" spans="2:25" ht="15" customHeight="1" thickBot="1" x14ac:dyDescent="0.2">
      <c r="B23" s="988"/>
      <c r="C23" s="92"/>
      <c r="D23" s="92"/>
      <c r="E23" s="103"/>
      <c r="F23" s="92"/>
      <c r="G23" s="201">
        <f>D23*F23</f>
        <v>0</v>
      </c>
      <c r="H23" s="213"/>
      <c r="I23" s="988"/>
      <c r="J23" s="92"/>
      <c r="K23" s="220"/>
      <c r="L23" s="220"/>
      <c r="M23" s="220"/>
      <c r="N23" s="201">
        <f t="shared" si="10"/>
        <v>0</v>
      </c>
      <c r="O23" s="239"/>
      <c r="P23" s="93" t="s">
        <v>250</v>
      </c>
      <c r="W23" s="718"/>
      <c r="X23" s="718"/>
      <c r="Y23" s="718"/>
    </row>
    <row r="24" spans="2:25" ht="15" customHeight="1" thickBot="1" x14ac:dyDescent="0.2">
      <c r="B24" s="988"/>
      <c r="C24" s="92"/>
      <c r="D24" s="92"/>
      <c r="E24" s="103"/>
      <c r="F24" s="92"/>
      <c r="G24" s="201">
        <f>D24*F24</f>
        <v>0</v>
      </c>
      <c r="H24" s="213"/>
      <c r="I24" s="1085"/>
      <c r="J24" s="342" t="s">
        <v>255</v>
      </c>
      <c r="K24" s="221">
        <f>SUM(K21:K23)</f>
        <v>0</v>
      </c>
      <c r="L24" s="222">
        <f>SUM(L21:L23)</f>
        <v>0</v>
      </c>
      <c r="M24" s="223"/>
      <c r="N24" s="216">
        <f>SUM(N21:N23)</f>
        <v>0</v>
      </c>
      <c r="O24" s="239"/>
      <c r="P24" s="338" t="s">
        <v>189</v>
      </c>
      <c r="Q24" s="339" t="s">
        <v>184</v>
      </c>
      <c r="R24" s="339" t="s">
        <v>185</v>
      </c>
      <c r="S24" s="339" t="s">
        <v>186</v>
      </c>
      <c r="T24" s="339" t="s">
        <v>187</v>
      </c>
      <c r="U24" s="541" t="s">
        <v>190</v>
      </c>
      <c r="V24" s="340" t="s">
        <v>188</v>
      </c>
      <c r="W24" s="718" t="s">
        <v>294</v>
      </c>
      <c r="X24" s="718" t="s">
        <v>362</v>
      </c>
      <c r="Y24" s="718"/>
    </row>
    <row r="25" spans="2:25" ht="15" customHeight="1" thickTop="1" thickBot="1" x14ac:dyDescent="0.2">
      <c r="B25" s="1090"/>
      <c r="C25" s="207" t="s">
        <v>144</v>
      </c>
      <c r="D25" s="208"/>
      <c r="E25" s="208"/>
      <c r="F25" s="215"/>
      <c r="G25" s="209">
        <f>SUM(G22:G24)</f>
        <v>0</v>
      </c>
      <c r="I25" s="1084" t="s">
        <v>271</v>
      </c>
      <c r="J25" s="92"/>
      <c r="K25" s="220"/>
      <c r="L25" s="220"/>
      <c r="M25" s="220"/>
      <c r="N25" s="201">
        <f>K25*L25*M25</f>
        <v>0</v>
      </c>
      <c r="O25" s="239"/>
      <c r="P25" s="341" t="s">
        <v>523</v>
      </c>
      <c r="Q25" s="197">
        <v>5</v>
      </c>
      <c r="R25" s="537" t="s">
        <v>408</v>
      </c>
      <c r="S25" s="197">
        <v>5160</v>
      </c>
      <c r="T25" s="197">
        <v>2</v>
      </c>
      <c r="U25" s="198">
        <v>1</v>
      </c>
      <c r="V25" s="228">
        <f>Q25*S25/T25/U25</f>
        <v>12900</v>
      </c>
      <c r="W25" s="718">
        <v>4692</v>
      </c>
      <c r="X25" s="730">
        <v>0.5</v>
      </c>
      <c r="Y25" s="718"/>
    </row>
    <row r="26" spans="2:25" ht="15" customHeight="1" x14ac:dyDescent="0.15">
      <c r="H26" s="214"/>
      <c r="I26" s="988"/>
      <c r="J26" s="92"/>
      <c r="K26" s="220"/>
      <c r="L26" s="220"/>
      <c r="M26" s="220"/>
      <c r="N26" s="201">
        <f t="shared" ref="N26:N27" si="11">K26*L26*M26</f>
        <v>0</v>
      </c>
      <c r="O26" s="239"/>
      <c r="P26" s="341" t="s">
        <v>356</v>
      </c>
      <c r="Q26" s="197">
        <v>5</v>
      </c>
      <c r="R26" s="537" t="s">
        <v>407</v>
      </c>
      <c r="S26" s="197">
        <v>3390</v>
      </c>
      <c r="T26" s="197">
        <v>2</v>
      </c>
      <c r="U26" s="198">
        <v>1</v>
      </c>
      <c r="V26" s="228">
        <f t="shared" ref="V26:V37" si="12">Q26*S26/T26/U26</f>
        <v>8475</v>
      </c>
      <c r="W26" s="718">
        <v>3086</v>
      </c>
      <c r="X26" s="730">
        <v>0.5</v>
      </c>
      <c r="Y26" s="718"/>
    </row>
    <row r="27" spans="2:25" ht="15" customHeight="1" thickBot="1" x14ac:dyDescent="0.2">
      <c r="B27" s="13" t="s">
        <v>257</v>
      </c>
      <c r="C27" s="13"/>
      <c r="D27" s="95"/>
      <c r="E27" s="13"/>
      <c r="F27" s="95"/>
      <c r="G27" s="99"/>
      <c r="H27" s="212"/>
      <c r="I27" s="988"/>
      <c r="J27" s="92"/>
      <c r="K27" s="220"/>
      <c r="L27" s="220"/>
      <c r="M27" s="220"/>
      <c r="N27" s="201">
        <f t="shared" si="11"/>
        <v>0</v>
      </c>
      <c r="O27" s="239"/>
      <c r="P27" s="341" t="s">
        <v>357</v>
      </c>
      <c r="Q27" s="197">
        <v>2</v>
      </c>
      <c r="R27" s="537" t="s">
        <v>407</v>
      </c>
      <c r="S27" s="197">
        <v>5720</v>
      </c>
      <c r="T27" s="197">
        <v>2</v>
      </c>
      <c r="U27" s="198">
        <v>1</v>
      </c>
      <c r="V27" s="228">
        <f t="shared" si="12"/>
        <v>5720</v>
      </c>
      <c r="W27" s="718"/>
      <c r="X27" s="730">
        <v>0.2</v>
      </c>
      <c r="Y27" s="718"/>
    </row>
    <row r="28" spans="2:25" ht="15" customHeight="1" thickBot="1" x14ac:dyDescent="0.2">
      <c r="B28" s="337" t="s">
        <v>74</v>
      </c>
      <c r="C28" s="211" t="s">
        <v>133</v>
      </c>
      <c r="D28" s="211" t="s">
        <v>134</v>
      </c>
      <c r="E28" s="211" t="s">
        <v>135</v>
      </c>
      <c r="F28" s="211" t="s">
        <v>23</v>
      </c>
      <c r="G28" s="199" t="s">
        <v>136</v>
      </c>
      <c r="H28" s="213"/>
      <c r="I28" s="1085"/>
      <c r="J28" s="342" t="s">
        <v>253</v>
      </c>
      <c r="K28" s="221">
        <f>SUM(K25:K27)</f>
        <v>0</v>
      </c>
      <c r="L28" s="222">
        <f>SUM(L25:L27)</f>
        <v>0</v>
      </c>
      <c r="M28" s="223"/>
      <c r="N28" s="216">
        <f>SUM(N25:N27)</f>
        <v>0</v>
      </c>
      <c r="O28" s="239"/>
      <c r="P28" s="341" t="s">
        <v>358</v>
      </c>
      <c r="Q28" s="197">
        <v>5</v>
      </c>
      <c r="R28" s="537" t="s">
        <v>407</v>
      </c>
      <c r="S28" s="197">
        <v>970</v>
      </c>
      <c r="T28" s="197">
        <v>2</v>
      </c>
      <c r="U28" s="198">
        <v>1</v>
      </c>
      <c r="V28" s="228">
        <f t="shared" si="12"/>
        <v>2425</v>
      </c>
      <c r="W28" s="718">
        <v>885</v>
      </c>
      <c r="X28" s="730">
        <v>0.5</v>
      </c>
      <c r="Y28" s="718"/>
    </row>
    <row r="29" spans="2:25" ht="15" customHeight="1" thickTop="1" x14ac:dyDescent="0.15">
      <c r="B29" s="987" t="s">
        <v>29</v>
      </c>
      <c r="C29" s="92" t="s">
        <v>762</v>
      </c>
      <c r="D29" s="92">
        <f>+農薬算出基礎!D3*10/農薬算出基礎!C3*1000/農薬算出基礎!E3</f>
        <v>8</v>
      </c>
      <c r="E29" s="103" t="s">
        <v>138</v>
      </c>
      <c r="F29" s="92">
        <f>+農薬算出基礎!F3</f>
        <v>3660</v>
      </c>
      <c r="G29" s="200">
        <f t="shared" ref="G29:G41" si="13">D29*F29</f>
        <v>29280</v>
      </c>
      <c r="H29" s="213"/>
      <c r="I29" s="1084" t="s">
        <v>178</v>
      </c>
      <c r="J29" s="92"/>
      <c r="K29" s="220"/>
      <c r="L29" s="220"/>
      <c r="M29" s="220"/>
      <c r="N29" s="201">
        <f>K29*L29*M29</f>
        <v>0</v>
      </c>
      <c r="O29" s="239"/>
      <c r="P29" s="341" t="s">
        <v>524</v>
      </c>
      <c r="Q29" s="197">
        <v>40</v>
      </c>
      <c r="R29" s="537" t="s">
        <v>408</v>
      </c>
      <c r="S29" s="197">
        <v>1180</v>
      </c>
      <c r="T29" s="197">
        <v>5</v>
      </c>
      <c r="U29" s="198">
        <v>1</v>
      </c>
      <c r="V29" s="228">
        <f t="shared" si="12"/>
        <v>9440</v>
      </c>
      <c r="W29" s="718">
        <v>1080</v>
      </c>
      <c r="X29" s="730">
        <v>8</v>
      </c>
      <c r="Y29" s="718"/>
    </row>
    <row r="30" spans="2:25" ht="15" customHeight="1" x14ac:dyDescent="0.15">
      <c r="B30" s="988"/>
      <c r="C30" s="92" t="s">
        <v>763</v>
      </c>
      <c r="D30" s="92">
        <f>+農薬算出基礎!D4*10/農薬算出基礎!C4*1000/農薬算出基礎!E4</f>
        <v>7.5</v>
      </c>
      <c r="E30" s="103" t="s">
        <v>138</v>
      </c>
      <c r="F30" s="92">
        <f>+農薬算出基礎!F4</f>
        <v>1840</v>
      </c>
      <c r="G30" s="201">
        <f t="shared" si="13"/>
        <v>13800</v>
      </c>
      <c r="H30" s="213"/>
      <c r="I30" s="988"/>
      <c r="J30" s="92"/>
      <c r="K30" s="220"/>
      <c r="L30" s="220"/>
      <c r="M30" s="220"/>
      <c r="N30" s="201">
        <f t="shared" ref="N30:N31" si="14">K30*L30*M30</f>
        <v>0</v>
      </c>
      <c r="O30" s="94"/>
      <c r="P30" s="341" t="s">
        <v>360</v>
      </c>
      <c r="Q30" s="197">
        <v>2</v>
      </c>
      <c r="R30" s="537" t="s">
        <v>88</v>
      </c>
      <c r="S30" s="197">
        <v>10470</v>
      </c>
      <c r="T30" s="197">
        <v>5</v>
      </c>
      <c r="U30" s="376">
        <v>1</v>
      </c>
      <c r="V30" s="228">
        <f t="shared" si="12"/>
        <v>4188</v>
      </c>
      <c r="W30" s="718">
        <v>9700</v>
      </c>
      <c r="X30" s="730">
        <v>0.2</v>
      </c>
      <c r="Y30" s="718" t="s">
        <v>363</v>
      </c>
    </row>
    <row r="31" spans="2:25" ht="15" customHeight="1" x14ac:dyDescent="0.15">
      <c r="B31" s="988"/>
      <c r="C31" s="92" t="s">
        <v>764</v>
      </c>
      <c r="D31" s="92">
        <f>+農薬算出基礎!D5*10/農薬算出基礎!C5*1000/農薬算出基礎!E5</f>
        <v>4</v>
      </c>
      <c r="E31" s="103" t="s">
        <v>138</v>
      </c>
      <c r="F31" s="92">
        <f>+農薬算出基礎!F5</f>
        <v>6260</v>
      </c>
      <c r="G31" s="201">
        <f t="shared" si="13"/>
        <v>25040</v>
      </c>
      <c r="H31" s="213"/>
      <c r="I31" s="988"/>
      <c r="J31" s="92"/>
      <c r="K31" s="220"/>
      <c r="L31" s="220"/>
      <c r="M31" s="220"/>
      <c r="N31" s="201">
        <f t="shared" si="14"/>
        <v>0</v>
      </c>
      <c r="P31" s="341" t="s">
        <v>525</v>
      </c>
      <c r="Q31" s="197">
        <v>4</v>
      </c>
      <c r="R31" s="537" t="s">
        <v>88</v>
      </c>
      <c r="S31" s="197">
        <v>3020</v>
      </c>
      <c r="T31" s="197">
        <v>5</v>
      </c>
      <c r="U31" s="376">
        <v>1</v>
      </c>
      <c r="V31" s="228">
        <f t="shared" si="12"/>
        <v>2416</v>
      </c>
      <c r="W31" s="718">
        <v>2800</v>
      </c>
      <c r="X31" s="730">
        <v>0.4</v>
      </c>
      <c r="Y31" s="718" t="s">
        <v>364</v>
      </c>
    </row>
    <row r="32" spans="2:25" ht="15" customHeight="1" x14ac:dyDescent="0.15">
      <c r="B32" s="988"/>
      <c r="C32" s="92" t="s">
        <v>765</v>
      </c>
      <c r="D32" s="556">
        <f>+農薬算出基礎!D6*10/農薬算出基礎!C6*1000/農薬算出基礎!E6</f>
        <v>3</v>
      </c>
      <c r="E32" s="103" t="s">
        <v>138</v>
      </c>
      <c r="F32" s="556">
        <f>+農薬算出基礎!F6</f>
        <v>3690</v>
      </c>
      <c r="G32" s="557">
        <f t="shared" si="13"/>
        <v>11070</v>
      </c>
      <c r="H32" s="213"/>
      <c r="I32" s="988"/>
      <c r="J32" s="558"/>
      <c r="K32" s="559"/>
      <c r="L32" s="559"/>
      <c r="M32" s="561"/>
      <c r="N32" s="560"/>
      <c r="P32" s="490" t="s">
        <v>526</v>
      </c>
      <c r="Q32" s="491">
        <v>1</v>
      </c>
      <c r="R32" s="492" t="s">
        <v>408</v>
      </c>
      <c r="S32" s="491">
        <v>30000</v>
      </c>
      <c r="T32" s="491">
        <v>10</v>
      </c>
      <c r="U32" s="493">
        <v>1</v>
      </c>
      <c r="V32" s="494">
        <f t="shared" si="12"/>
        <v>3000</v>
      </c>
      <c r="W32" s="718"/>
      <c r="X32" s="718"/>
      <c r="Y32" s="718"/>
    </row>
    <row r="33" spans="2:22" ht="15" customHeight="1" thickBot="1" x14ac:dyDescent="0.2">
      <c r="B33" s="988"/>
      <c r="C33" s="377" t="s">
        <v>766</v>
      </c>
      <c r="D33" s="92">
        <f>+農薬算出基礎!D7*10/農薬算出基礎!C7*1000/農薬算出基礎!E7</f>
        <v>3</v>
      </c>
      <c r="E33" s="103" t="s">
        <v>138</v>
      </c>
      <c r="F33" s="92">
        <f>+農薬算出基礎!F7</f>
        <v>4570</v>
      </c>
      <c r="G33" s="201">
        <f t="shared" si="13"/>
        <v>13710</v>
      </c>
      <c r="H33" s="213"/>
      <c r="I33" s="1090"/>
      <c r="J33" s="343" t="s">
        <v>253</v>
      </c>
      <c r="K33" s="224">
        <f>SUM(K29:K31)</f>
        <v>0</v>
      </c>
      <c r="L33" s="226">
        <f>SUM(L29:L31)</f>
        <v>0</v>
      </c>
      <c r="M33" s="227"/>
      <c r="N33" s="218">
        <f>SUM(N29:N31)</f>
        <v>0</v>
      </c>
      <c r="P33" s="341" t="s">
        <v>415</v>
      </c>
      <c r="Q33" s="197">
        <v>1</v>
      </c>
      <c r="R33" s="537" t="s">
        <v>88</v>
      </c>
      <c r="S33" s="197">
        <v>30000</v>
      </c>
      <c r="T33" s="197">
        <v>7</v>
      </c>
      <c r="U33" s="198">
        <v>1</v>
      </c>
      <c r="V33" s="228">
        <f t="shared" si="12"/>
        <v>4285.7142857142853</v>
      </c>
    </row>
    <row r="34" spans="2:22" ht="15" customHeight="1" x14ac:dyDescent="0.15">
      <c r="B34" s="988"/>
      <c r="C34" s="377" t="s">
        <v>767</v>
      </c>
      <c r="D34" s="556">
        <f>+農薬算出基礎!D8*10/農薬算出基礎!C8*1000/農薬算出基礎!E8</f>
        <v>2</v>
      </c>
      <c r="E34" s="103" t="s">
        <v>138</v>
      </c>
      <c r="F34" s="556">
        <f>+農薬算出基礎!F8</f>
        <v>6350</v>
      </c>
      <c r="G34" s="557">
        <f t="shared" si="13"/>
        <v>12700</v>
      </c>
      <c r="H34" s="213"/>
      <c r="I34" s="489"/>
      <c r="J34" s="212"/>
      <c r="K34" s="508"/>
      <c r="L34" s="508"/>
      <c r="M34" s="508"/>
      <c r="N34" s="213"/>
      <c r="P34" s="490" t="s">
        <v>527</v>
      </c>
      <c r="Q34" s="491">
        <v>4</v>
      </c>
      <c r="R34" s="492" t="s">
        <v>142</v>
      </c>
      <c r="S34" s="491">
        <v>7200</v>
      </c>
      <c r="T34" s="491">
        <v>10</v>
      </c>
      <c r="U34" s="493">
        <v>1</v>
      </c>
      <c r="V34" s="494">
        <f t="shared" si="12"/>
        <v>2880</v>
      </c>
    </row>
    <row r="35" spans="2:22" ht="15" customHeight="1" x14ac:dyDescent="0.15">
      <c r="B35" s="988"/>
      <c r="C35" s="92" t="s">
        <v>768</v>
      </c>
      <c r="D35" s="556">
        <f>+農薬算出基礎!D9*10/農薬算出基礎!C9*1000/農薬算出基礎!E9</f>
        <v>2</v>
      </c>
      <c r="E35" s="103" t="s">
        <v>138</v>
      </c>
      <c r="F35" s="556">
        <f>+農薬算出基礎!F9</f>
        <v>8080</v>
      </c>
      <c r="G35" s="557">
        <f t="shared" si="13"/>
        <v>16160</v>
      </c>
      <c r="H35" s="213"/>
      <c r="I35" s="489"/>
      <c r="J35" s="212"/>
      <c r="K35" s="508"/>
      <c r="L35" s="508"/>
      <c r="M35" s="508"/>
      <c r="N35" s="213"/>
      <c r="P35" s="490" t="s">
        <v>528</v>
      </c>
      <c r="Q35" s="491">
        <v>2</v>
      </c>
      <c r="R35" s="492" t="s">
        <v>408</v>
      </c>
      <c r="S35" s="491">
        <v>10000</v>
      </c>
      <c r="T35" s="491">
        <v>10</v>
      </c>
      <c r="U35" s="493">
        <v>1</v>
      </c>
      <c r="V35" s="494">
        <f t="shared" si="12"/>
        <v>2000</v>
      </c>
    </row>
    <row r="36" spans="2:22" ht="15" customHeight="1" x14ac:dyDescent="0.15">
      <c r="B36" s="988"/>
      <c r="C36" s="92" t="s">
        <v>769</v>
      </c>
      <c r="D36" s="377">
        <f>+農薬算出基礎!D10*10*3/農薬算出基礎!C10*1000/農薬算出基礎!E10</f>
        <v>12</v>
      </c>
      <c r="E36" s="103" t="s">
        <v>138</v>
      </c>
      <c r="F36" s="377">
        <f>+農薬算出基礎!F10</f>
        <v>5970</v>
      </c>
      <c r="G36" s="201">
        <f t="shared" si="13"/>
        <v>71640</v>
      </c>
      <c r="H36" s="213"/>
      <c r="I36" s="191"/>
      <c r="J36" s="213"/>
      <c r="K36" s="213"/>
      <c r="L36" s="213"/>
      <c r="M36" s="213"/>
      <c r="N36" s="213"/>
      <c r="P36" s="341" t="s">
        <v>413</v>
      </c>
      <c r="Q36" s="197">
        <v>1</v>
      </c>
      <c r="R36" s="537" t="s">
        <v>408</v>
      </c>
      <c r="S36" s="197">
        <v>2500</v>
      </c>
      <c r="T36" s="197">
        <v>10</v>
      </c>
      <c r="U36" s="198">
        <v>1</v>
      </c>
      <c r="V36" s="228">
        <f t="shared" si="12"/>
        <v>250</v>
      </c>
    </row>
    <row r="37" spans="2:22" ht="15" customHeight="1" thickBot="1" x14ac:dyDescent="0.2">
      <c r="B37" s="988"/>
      <c r="D37" s="377"/>
      <c r="E37" s="103"/>
      <c r="F37" s="377"/>
      <c r="G37" s="201">
        <f t="shared" si="13"/>
        <v>0</v>
      </c>
      <c r="H37" s="213"/>
      <c r="I37" s="181" t="s">
        <v>248</v>
      </c>
      <c r="J37" s="181"/>
      <c r="K37" s="181"/>
      <c r="L37" s="181"/>
      <c r="M37" s="181"/>
      <c r="P37" s="341" t="s">
        <v>414</v>
      </c>
      <c r="Q37" s="197">
        <v>1</v>
      </c>
      <c r="R37" s="537" t="s">
        <v>408</v>
      </c>
      <c r="S37" s="197">
        <v>3000</v>
      </c>
      <c r="T37" s="197">
        <v>10</v>
      </c>
      <c r="U37" s="198">
        <v>1</v>
      </c>
      <c r="V37" s="228">
        <f t="shared" si="12"/>
        <v>300</v>
      </c>
    </row>
    <row r="38" spans="2:22" ht="15" customHeight="1" thickBot="1" x14ac:dyDescent="0.2">
      <c r="B38" s="988"/>
      <c r="C38" s="500"/>
      <c r="D38" s="92"/>
      <c r="E38" s="103"/>
      <c r="F38" s="92"/>
      <c r="G38" s="201">
        <f t="shared" si="13"/>
        <v>0</v>
      </c>
      <c r="H38" s="213"/>
      <c r="I38" s="317" t="s">
        <v>233</v>
      </c>
      <c r="J38" s="318" t="s">
        <v>5</v>
      </c>
      <c r="K38" s="1086" t="s">
        <v>234</v>
      </c>
      <c r="L38" s="1087"/>
      <c r="M38" s="344" t="s">
        <v>190</v>
      </c>
      <c r="N38" s="345" t="s">
        <v>259</v>
      </c>
      <c r="P38" s="346" t="s">
        <v>238</v>
      </c>
      <c r="Q38" s="230"/>
      <c r="R38" s="230"/>
      <c r="S38" s="230"/>
      <c r="T38" s="230"/>
      <c r="U38" s="232"/>
      <c r="V38" s="231">
        <f>SUM(V25:V37)</f>
        <v>58279.714285714283</v>
      </c>
    </row>
    <row r="39" spans="2:22" ht="15" customHeight="1" x14ac:dyDescent="0.15">
      <c r="B39" s="988"/>
      <c r="C39" s="501"/>
      <c r="D39" s="92"/>
      <c r="E39" s="103"/>
      <c r="F39" s="92"/>
      <c r="G39" s="201">
        <f t="shared" si="13"/>
        <v>0</v>
      </c>
      <c r="H39" s="213"/>
      <c r="I39" s="1104" t="s">
        <v>2</v>
      </c>
      <c r="J39" s="210" t="s">
        <v>561</v>
      </c>
      <c r="K39" s="1103">
        <f>+'６　固定資本装備と減価償却費'!I6</f>
        <v>6480000</v>
      </c>
      <c r="L39" s="1103"/>
      <c r="M39" s="608">
        <v>3</v>
      </c>
      <c r="N39" s="331">
        <f>+K39/M39*0.014*0.3</f>
        <v>9072</v>
      </c>
    </row>
    <row r="40" spans="2:22" ht="15" customHeight="1" thickBot="1" x14ac:dyDescent="0.2">
      <c r="B40" s="988"/>
      <c r="C40" s="497"/>
      <c r="D40" s="92"/>
      <c r="E40" s="103"/>
      <c r="F40" s="92"/>
      <c r="G40" s="201">
        <f t="shared" si="13"/>
        <v>0</v>
      </c>
      <c r="H40" s="213"/>
      <c r="I40" s="1105"/>
      <c r="J40" s="210"/>
      <c r="K40" s="1103"/>
      <c r="L40" s="1103"/>
      <c r="M40" s="542"/>
      <c r="N40" s="331"/>
      <c r="P40" s="181" t="s">
        <v>239</v>
      </c>
      <c r="Q40" s="181"/>
      <c r="R40" s="181"/>
      <c r="S40" s="181"/>
      <c r="T40" s="181"/>
    </row>
    <row r="41" spans="2:22" ht="15" customHeight="1" x14ac:dyDescent="0.15">
      <c r="B41" s="988"/>
      <c r="C41" s="92"/>
      <c r="D41" s="92"/>
      <c r="E41" s="103"/>
      <c r="F41" s="92"/>
      <c r="G41" s="201">
        <f t="shared" si="13"/>
        <v>0</v>
      </c>
      <c r="H41" s="213"/>
      <c r="I41" s="1105"/>
      <c r="J41" s="210"/>
      <c r="K41" s="1103"/>
      <c r="L41" s="1103"/>
      <c r="M41" s="542"/>
      <c r="N41" s="331"/>
      <c r="O41" s="225"/>
      <c r="P41" s="317" t="s">
        <v>232</v>
      </c>
      <c r="Q41" s="1088" t="s">
        <v>240</v>
      </c>
      <c r="R41" s="1088"/>
      <c r="S41" s="540" t="s">
        <v>244</v>
      </c>
      <c r="T41" s="540" t="s">
        <v>243</v>
      </c>
      <c r="U41" s="347" t="s">
        <v>190</v>
      </c>
      <c r="V41" s="348" t="s">
        <v>259</v>
      </c>
    </row>
    <row r="42" spans="2:22" ht="15" customHeight="1" thickBot="1" x14ac:dyDescent="0.2">
      <c r="B42" s="1085"/>
      <c r="C42" s="202" t="s">
        <v>140</v>
      </c>
      <c r="D42" s="202"/>
      <c r="E42" s="202"/>
      <c r="F42" s="202"/>
      <c r="G42" s="203">
        <f>SUM(G29:G41)</f>
        <v>193400</v>
      </c>
      <c r="H42" s="213"/>
      <c r="I42" s="1105"/>
      <c r="J42" s="210"/>
      <c r="K42" s="1103"/>
      <c r="L42" s="1103"/>
      <c r="M42" s="542"/>
      <c r="N42" s="331"/>
      <c r="O42" s="225"/>
      <c r="P42" s="1099" t="s">
        <v>241</v>
      </c>
      <c r="Q42" s="323"/>
      <c r="R42" s="352"/>
      <c r="S42" s="324"/>
      <c r="T42" s="353"/>
      <c r="U42" s="324"/>
      <c r="V42" s="331"/>
    </row>
    <row r="43" spans="2:22" ht="15" customHeight="1" thickTop="1" x14ac:dyDescent="0.15">
      <c r="B43" s="1084" t="s">
        <v>173</v>
      </c>
      <c r="C43" s="92" t="s">
        <v>762</v>
      </c>
      <c r="D43" s="92">
        <f>+農薬算出基礎!D12*10/農薬算出基礎!C12*1000/農薬算出基礎!E12</f>
        <v>11.111111111111111</v>
      </c>
      <c r="E43" s="103" t="s">
        <v>138</v>
      </c>
      <c r="F43" s="92">
        <f>+農薬算出基礎!F12</f>
        <v>2560</v>
      </c>
      <c r="G43" s="201">
        <f>D43*F43</f>
        <v>28444.444444444445</v>
      </c>
      <c r="H43" s="213"/>
      <c r="I43" s="1105"/>
      <c r="J43" s="210"/>
      <c r="K43" s="1103"/>
      <c r="L43" s="1103"/>
      <c r="M43" s="542"/>
      <c r="N43" s="331"/>
      <c r="O43" s="225"/>
      <c r="P43" s="1097"/>
      <c r="Q43" s="323" t="s">
        <v>447</v>
      </c>
      <c r="R43" s="352" t="s">
        <v>644</v>
      </c>
      <c r="S43" s="324"/>
      <c r="T43" s="353"/>
      <c r="U43" s="324">
        <v>1</v>
      </c>
      <c r="V43" s="331">
        <v>64150</v>
      </c>
    </row>
    <row r="44" spans="2:22" ht="15" customHeight="1" x14ac:dyDescent="0.15">
      <c r="B44" s="988"/>
      <c r="C44" s="92" t="s">
        <v>763</v>
      </c>
      <c r="D44" s="92">
        <f>+農薬算出基礎!D13*10/農薬算出基礎!C13*1000/農薬算出基礎!E13</f>
        <v>4</v>
      </c>
      <c r="E44" s="103" t="s">
        <v>138</v>
      </c>
      <c r="F44" s="92">
        <f>+農薬算出基礎!F13</f>
        <v>2380</v>
      </c>
      <c r="G44" s="201">
        <f>D44*F44</f>
        <v>9520</v>
      </c>
      <c r="H44" s="213"/>
      <c r="I44" s="1105"/>
      <c r="J44" s="210"/>
      <c r="K44" s="1103"/>
      <c r="L44" s="1103"/>
      <c r="M44" s="542"/>
      <c r="N44" s="331"/>
      <c r="O44" s="225"/>
      <c r="P44" s="1097"/>
      <c r="Q44" s="323"/>
      <c r="R44" s="352"/>
      <c r="S44" s="324"/>
      <c r="T44" s="353"/>
      <c r="U44" s="324"/>
      <c r="V44" s="331"/>
    </row>
    <row r="45" spans="2:22" ht="15" customHeight="1" x14ac:dyDescent="0.15">
      <c r="B45" s="988"/>
      <c r="C45" s="92" t="s">
        <v>764</v>
      </c>
      <c r="D45" s="92">
        <f>+農薬算出基礎!D14*10/農薬算出基礎!C14*1000/農薬算出基礎!E14+農薬算出基礎!D18*10/農薬算出基礎!C18*1000/農薬算出基礎!E18</f>
        <v>4.5</v>
      </c>
      <c r="E45" s="103" t="s">
        <v>138</v>
      </c>
      <c r="F45" s="92">
        <f>+農薬算出基礎!F14+農薬算出基礎!F17</f>
        <v>11640</v>
      </c>
      <c r="G45" s="201">
        <f t="shared" ref="G45:G56" si="15">D45*F45</f>
        <v>52380</v>
      </c>
      <c r="H45" s="213"/>
      <c r="I45" s="1105"/>
      <c r="J45" s="210"/>
      <c r="K45" s="1103"/>
      <c r="L45" s="1103"/>
      <c r="M45" s="542"/>
      <c r="N45" s="331"/>
      <c r="O45" s="225"/>
      <c r="P45" s="1097"/>
      <c r="Q45" s="323" t="s">
        <v>247</v>
      </c>
      <c r="R45" s="352"/>
      <c r="S45" s="324"/>
      <c r="T45" s="353"/>
      <c r="U45" s="324"/>
      <c r="V45" s="331"/>
    </row>
    <row r="46" spans="2:22" ht="15" customHeight="1" thickBot="1" x14ac:dyDescent="0.2">
      <c r="B46" s="988"/>
      <c r="C46" s="92" t="s">
        <v>765</v>
      </c>
      <c r="D46" s="377">
        <f>+農薬算出基礎!D15*10/農薬算出基礎!C15*1000/農薬算出基礎!E15</f>
        <v>3</v>
      </c>
      <c r="E46" s="103" t="s">
        <v>138</v>
      </c>
      <c r="F46" s="377">
        <f>+農薬算出基礎!F15</f>
        <v>3180</v>
      </c>
      <c r="G46" s="201">
        <f t="shared" si="15"/>
        <v>9540</v>
      </c>
      <c r="H46" s="213"/>
      <c r="I46" s="1106"/>
      <c r="J46" s="319" t="s">
        <v>141</v>
      </c>
      <c r="K46" s="1107"/>
      <c r="L46" s="1108"/>
      <c r="M46" s="320"/>
      <c r="N46" s="327">
        <f>SUM(N39:N45)</f>
        <v>9072</v>
      </c>
      <c r="O46" s="225"/>
      <c r="P46" s="1097"/>
      <c r="Q46" s="323"/>
      <c r="R46" s="352"/>
      <c r="S46" s="324"/>
      <c r="T46" s="353"/>
      <c r="U46" s="324"/>
      <c r="V46" s="331"/>
    </row>
    <row r="47" spans="2:22" ht="15" customHeight="1" thickTop="1" x14ac:dyDescent="0.15">
      <c r="B47" s="988"/>
      <c r="C47" s="377" t="s">
        <v>766</v>
      </c>
      <c r="D47" s="377">
        <f>+農薬算出基礎!D16*10/農薬算出基礎!C16*1000/農薬算出基礎!E16</f>
        <v>4</v>
      </c>
      <c r="E47" s="103" t="s">
        <v>138</v>
      </c>
      <c r="F47" s="377">
        <f>+農薬算出基礎!F16</f>
        <v>4900</v>
      </c>
      <c r="G47" s="201">
        <f t="shared" si="15"/>
        <v>19600</v>
      </c>
      <c r="H47" s="213"/>
      <c r="I47" s="1121" t="s">
        <v>235</v>
      </c>
      <c r="J47" s="321" t="s">
        <v>735</v>
      </c>
      <c r="K47" s="1111">
        <v>8200</v>
      </c>
      <c r="L47" s="1111"/>
      <c r="M47" s="659">
        <v>3</v>
      </c>
      <c r="N47" s="331">
        <f t="shared" ref="N47" si="16">+K47/M47</f>
        <v>2733.3333333333335</v>
      </c>
      <c r="O47" s="225"/>
      <c r="P47" s="1097"/>
      <c r="Q47" s="323"/>
      <c r="R47" s="352"/>
      <c r="S47" s="324"/>
      <c r="T47" s="353"/>
      <c r="U47" s="324"/>
      <c r="V47" s="331"/>
    </row>
    <row r="48" spans="2:22" ht="15" customHeight="1" thickBot="1" x14ac:dyDescent="0.2">
      <c r="B48" s="988"/>
      <c r="C48" s="377" t="s">
        <v>767</v>
      </c>
      <c r="D48" s="92">
        <f>+農薬算出基礎!D17*10/農薬算出基礎!C17*1000/農薬算出基礎!E17</f>
        <v>4</v>
      </c>
      <c r="E48" s="103" t="s">
        <v>138</v>
      </c>
      <c r="F48" s="92">
        <f>+農薬算出基礎!F17</f>
        <v>3300</v>
      </c>
      <c r="G48" s="201">
        <f t="shared" si="15"/>
        <v>13200</v>
      </c>
      <c r="H48" s="213"/>
      <c r="I48" s="1122"/>
      <c r="J48" s="323"/>
      <c r="K48" s="1103"/>
      <c r="L48" s="1103"/>
      <c r="M48" s="542"/>
      <c r="N48" s="331"/>
      <c r="O48" s="225"/>
      <c r="P48" s="1100"/>
      <c r="Q48" s="332" t="s">
        <v>246</v>
      </c>
      <c r="R48" s="333"/>
      <c r="S48" s="333"/>
      <c r="T48" s="333"/>
      <c r="U48" s="333"/>
      <c r="V48" s="334">
        <f>SUM(V42:V47)</f>
        <v>64150</v>
      </c>
    </row>
    <row r="49" spans="2:22" ht="15" customHeight="1" thickTop="1" x14ac:dyDescent="0.15">
      <c r="B49" s="988"/>
      <c r="C49" s="92"/>
      <c r="D49" s="92"/>
      <c r="E49" s="103"/>
      <c r="F49" s="92"/>
      <c r="G49" s="201">
        <f t="shared" si="15"/>
        <v>0</v>
      </c>
      <c r="H49" s="213"/>
      <c r="I49" s="1122"/>
      <c r="J49" s="210"/>
      <c r="K49" s="1103"/>
      <c r="L49" s="1103"/>
      <c r="M49" s="542"/>
      <c r="N49" s="331"/>
      <c r="O49" s="225"/>
      <c r="P49" s="1096" t="s">
        <v>252</v>
      </c>
      <c r="Q49" s="1093" t="s">
        <v>261</v>
      </c>
      <c r="R49" s="354"/>
      <c r="S49" s="321"/>
      <c r="T49" s="355"/>
      <c r="U49" s="321"/>
      <c r="V49" s="349"/>
    </row>
    <row r="50" spans="2:22" ht="15" customHeight="1" thickBot="1" x14ac:dyDescent="0.2">
      <c r="B50" s="988"/>
      <c r="C50" s="92"/>
      <c r="D50" s="92"/>
      <c r="E50" s="92"/>
      <c r="F50" s="92"/>
      <c r="G50" s="201">
        <f t="shared" si="15"/>
        <v>0</v>
      </c>
      <c r="H50" s="213"/>
      <c r="I50" s="1131"/>
      <c r="J50" s="319" t="s">
        <v>141</v>
      </c>
      <c r="K50" s="1107"/>
      <c r="L50" s="1108"/>
      <c r="M50" s="320"/>
      <c r="N50" s="327">
        <f>SUM(N47:N49)</f>
        <v>2733.3333333333335</v>
      </c>
      <c r="O50" s="225"/>
      <c r="P50" s="1097"/>
      <c r="Q50" s="1094"/>
      <c r="R50" s="356"/>
      <c r="S50" s="323"/>
      <c r="T50" s="353"/>
      <c r="U50" s="323"/>
      <c r="V50" s="331"/>
    </row>
    <row r="51" spans="2:22" ht="15" customHeight="1" thickTop="1" x14ac:dyDescent="0.15">
      <c r="B51" s="988"/>
      <c r="C51" s="92"/>
      <c r="D51" s="92"/>
      <c r="E51" s="92"/>
      <c r="F51" s="92"/>
      <c r="G51" s="201">
        <f t="shared" si="15"/>
        <v>0</v>
      </c>
      <c r="H51" s="213"/>
      <c r="I51" s="1121" t="s">
        <v>236</v>
      </c>
      <c r="J51" s="321"/>
      <c r="K51" s="1111"/>
      <c r="L51" s="1111"/>
      <c r="M51" s="543"/>
      <c r="N51" s="349"/>
      <c r="O51" s="225"/>
      <c r="P51" s="1097"/>
      <c r="Q51" s="1094"/>
      <c r="R51" s="356"/>
      <c r="S51" s="323"/>
      <c r="T51" s="323"/>
      <c r="U51" s="210"/>
      <c r="V51" s="357"/>
    </row>
    <row r="52" spans="2:22" ht="15" customHeight="1" x14ac:dyDescent="0.15">
      <c r="B52" s="988"/>
      <c r="C52" s="92"/>
      <c r="D52" s="92"/>
      <c r="E52" s="92"/>
      <c r="F52" s="92"/>
      <c r="G52" s="201">
        <f t="shared" si="15"/>
        <v>0</v>
      </c>
      <c r="H52" s="213"/>
      <c r="I52" s="1122"/>
      <c r="J52" s="323"/>
      <c r="K52" s="1103"/>
      <c r="L52" s="1103"/>
      <c r="M52" s="542"/>
      <c r="N52" s="331"/>
      <c r="O52" s="225"/>
      <c r="P52" s="1097"/>
      <c r="Q52" s="1094"/>
      <c r="R52" s="356" t="s">
        <v>251</v>
      </c>
      <c r="S52" s="323">
        <v>15600</v>
      </c>
      <c r="T52" s="353">
        <v>1</v>
      </c>
      <c r="U52" s="609">
        <v>1.5</v>
      </c>
      <c r="V52" s="331">
        <f>+S52*T52/U52</f>
        <v>10400</v>
      </c>
    </row>
    <row r="53" spans="2:22" ht="15" customHeight="1" thickBot="1" x14ac:dyDescent="0.2">
      <c r="B53" s="1085"/>
      <c r="C53" s="204" t="s">
        <v>141</v>
      </c>
      <c r="D53" s="205"/>
      <c r="E53" s="205"/>
      <c r="F53" s="205"/>
      <c r="G53" s="206">
        <f>SUM(G43:G52)</f>
        <v>132684.44444444444</v>
      </c>
      <c r="H53" s="213"/>
      <c r="I53" s="1122"/>
      <c r="J53" s="210"/>
      <c r="K53" s="1103"/>
      <c r="L53" s="1103"/>
      <c r="M53" s="542"/>
      <c r="N53" s="331"/>
      <c r="O53" s="225"/>
      <c r="P53" s="1097"/>
      <c r="Q53" s="1095"/>
      <c r="R53" s="356"/>
      <c r="S53" s="323"/>
      <c r="T53" s="323"/>
      <c r="U53" s="210"/>
      <c r="V53" s="357"/>
    </row>
    <row r="54" spans="2:22" ht="15" customHeight="1" thickTop="1" thickBot="1" x14ac:dyDescent="0.2">
      <c r="B54" s="1084" t="s">
        <v>31</v>
      </c>
      <c r="C54" s="92" t="s">
        <v>770</v>
      </c>
      <c r="D54" s="92">
        <f>+農薬算出基礎!D20*10*2/農薬算出基礎!C20*1000/農薬算出基礎!E20</f>
        <v>0.90909090909090906</v>
      </c>
      <c r="E54" s="103" t="s">
        <v>142</v>
      </c>
      <c r="F54" s="92">
        <f>+農薬算出基礎!F20</f>
        <v>45740</v>
      </c>
      <c r="G54" s="201">
        <f t="shared" si="15"/>
        <v>41581.818181818184</v>
      </c>
      <c r="H54" s="213"/>
      <c r="I54" s="1131"/>
      <c r="J54" s="319" t="s">
        <v>141</v>
      </c>
      <c r="K54" s="1107"/>
      <c r="L54" s="1108"/>
      <c r="M54" s="320"/>
      <c r="N54" s="327">
        <f>SUM(N51:N53)</f>
        <v>0</v>
      </c>
      <c r="O54" s="225"/>
      <c r="P54" s="1097"/>
      <c r="Q54" s="332" t="s">
        <v>246</v>
      </c>
      <c r="R54" s="333"/>
      <c r="S54" s="333"/>
      <c r="T54" s="333"/>
      <c r="U54" s="333"/>
      <c r="V54" s="334">
        <f>SUM(V49:V53)</f>
        <v>10400</v>
      </c>
    </row>
    <row r="55" spans="2:22" ht="15" customHeight="1" thickTop="1" x14ac:dyDescent="0.15">
      <c r="B55" s="988"/>
      <c r="C55" s="92"/>
      <c r="D55" s="92"/>
      <c r="E55" s="92"/>
      <c r="F55" s="92"/>
      <c r="G55" s="201">
        <f t="shared" si="15"/>
        <v>0</v>
      </c>
      <c r="H55" s="213"/>
      <c r="I55" s="1121" t="s">
        <v>237</v>
      </c>
      <c r="J55" s="321"/>
      <c r="K55" s="1123"/>
      <c r="L55" s="1124"/>
      <c r="M55" s="335"/>
      <c r="N55" s="350"/>
      <c r="O55" s="225"/>
      <c r="P55" s="1097"/>
      <c r="Q55" s="1093" t="s">
        <v>262</v>
      </c>
      <c r="R55" s="354"/>
      <c r="S55" s="321"/>
      <c r="T55" s="355"/>
      <c r="U55" s="321"/>
      <c r="V55" s="349"/>
    </row>
    <row r="56" spans="2:22" ht="15" customHeight="1" x14ac:dyDescent="0.15">
      <c r="B56" s="988"/>
      <c r="C56" s="92"/>
      <c r="D56" s="92"/>
      <c r="E56" s="92"/>
      <c r="F56" s="92"/>
      <c r="G56" s="201">
        <f t="shared" si="15"/>
        <v>0</v>
      </c>
      <c r="H56" s="213"/>
      <c r="I56" s="1122"/>
      <c r="J56" s="323" t="s">
        <v>736</v>
      </c>
      <c r="K56" s="1125">
        <v>1600</v>
      </c>
      <c r="L56" s="1126"/>
      <c r="M56" s="336">
        <v>3</v>
      </c>
      <c r="N56" s="331">
        <f t="shared" ref="N56" si="17">+K56/M56</f>
        <v>533.33333333333337</v>
      </c>
      <c r="O56" s="225"/>
      <c r="P56" s="1097"/>
      <c r="Q56" s="1094"/>
      <c r="R56" s="356"/>
      <c r="S56" s="323"/>
      <c r="T56" s="353"/>
      <c r="U56" s="323"/>
      <c r="V56" s="331"/>
    </row>
    <row r="57" spans="2:22" ht="14.25" thickBot="1" x14ac:dyDescent="0.2">
      <c r="B57" s="1085"/>
      <c r="C57" s="204" t="s">
        <v>141</v>
      </c>
      <c r="D57" s="205"/>
      <c r="E57" s="205"/>
      <c r="F57" s="205"/>
      <c r="G57" s="206">
        <f>SUM(G54:G56)</f>
        <v>41581.818181818184</v>
      </c>
      <c r="I57" s="1122"/>
      <c r="J57" s="323"/>
      <c r="K57" s="1125"/>
      <c r="L57" s="1126"/>
      <c r="M57" s="336"/>
      <c r="N57" s="331"/>
      <c r="O57" s="225"/>
      <c r="P57" s="1097"/>
      <c r="Q57" s="1094"/>
      <c r="R57" s="356"/>
      <c r="S57" s="323"/>
      <c r="T57" s="323"/>
      <c r="U57" s="210"/>
      <c r="V57" s="357"/>
    </row>
    <row r="58" spans="2:22" ht="14.25" thickTop="1" x14ac:dyDescent="0.15">
      <c r="B58" s="1084" t="s">
        <v>175</v>
      </c>
      <c r="C58" s="92" t="s">
        <v>771</v>
      </c>
      <c r="D58" s="92">
        <f>+農薬算出基礎!G24*10/農薬算出基礎!E24</f>
        <v>10</v>
      </c>
      <c r="E58" s="103" t="s">
        <v>143</v>
      </c>
      <c r="F58" s="92">
        <f>+農薬算出基礎!F24</f>
        <v>840</v>
      </c>
      <c r="G58" s="201">
        <f>D58*F58</f>
        <v>8400</v>
      </c>
      <c r="I58" s="1122"/>
      <c r="J58" s="542" t="s">
        <v>251</v>
      </c>
      <c r="K58" s="1127">
        <v>5000</v>
      </c>
      <c r="L58" s="1128"/>
      <c r="M58" s="610">
        <v>1.5</v>
      </c>
      <c r="N58" s="331">
        <f>+K58/M58</f>
        <v>3333.3333333333335</v>
      </c>
      <c r="O58" s="225"/>
      <c r="P58" s="1097"/>
      <c r="Q58" s="1094"/>
      <c r="R58" s="356" t="s">
        <v>251</v>
      </c>
      <c r="S58" s="323">
        <v>25000</v>
      </c>
      <c r="T58" s="353">
        <v>1</v>
      </c>
      <c r="U58" s="609">
        <v>1.5</v>
      </c>
      <c r="V58" s="331">
        <f>+S58*T58/U58</f>
        <v>16666.666666666668</v>
      </c>
    </row>
    <row r="59" spans="2:22" x14ac:dyDescent="0.15">
      <c r="B59" s="988"/>
      <c r="C59" s="92" t="s">
        <v>771</v>
      </c>
      <c r="D59" s="92">
        <f>+農薬算出基礎!G25*10/農薬算出基礎!E25</f>
        <v>10</v>
      </c>
      <c r="E59" s="103" t="s">
        <v>143</v>
      </c>
      <c r="F59" s="92">
        <f>+農薬算出基礎!F25</f>
        <v>1680</v>
      </c>
      <c r="G59" s="201">
        <f>D59*F59</f>
        <v>16800</v>
      </c>
      <c r="I59" s="1122"/>
      <c r="J59" s="323"/>
      <c r="K59" s="1125"/>
      <c r="L59" s="1126"/>
      <c r="M59" s="336"/>
      <c r="N59" s="351"/>
      <c r="O59" s="225"/>
      <c r="P59" s="1097"/>
      <c r="Q59" s="1095"/>
      <c r="R59" s="356"/>
      <c r="S59" s="323"/>
      <c r="T59" s="323"/>
      <c r="U59" s="210"/>
      <c r="V59" s="357"/>
    </row>
    <row r="60" spans="2:22" x14ac:dyDescent="0.15">
      <c r="B60" s="988"/>
      <c r="C60" s="92" t="s">
        <v>771</v>
      </c>
      <c r="D60" s="556">
        <f>+農薬算出基礎!G30*10/農薬算出基礎!E30</f>
        <v>1</v>
      </c>
      <c r="E60" s="571" t="s">
        <v>143</v>
      </c>
      <c r="F60" s="556">
        <f>+農薬算出基礎!F30</f>
        <v>2250</v>
      </c>
      <c r="G60" s="557">
        <f>D60*F60</f>
        <v>2250</v>
      </c>
      <c r="I60" s="1104"/>
      <c r="J60" s="590"/>
      <c r="K60" s="591"/>
      <c r="L60" s="592"/>
      <c r="M60" s="593"/>
      <c r="N60" s="594"/>
      <c r="O60" s="225"/>
      <c r="P60" s="1097"/>
      <c r="Q60" s="595"/>
      <c r="R60" s="596"/>
      <c r="S60" s="590"/>
      <c r="T60" s="590"/>
      <c r="U60" s="597"/>
      <c r="V60" s="598"/>
    </row>
    <row r="61" spans="2:22" x14ac:dyDescent="0.15">
      <c r="B61" s="988"/>
      <c r="C61" s="92" t="s">
        <v>771</v>
      </c>
      <c r="D61" s="92">
        <f>+農薬算出基礎!D27*10/農薬算出基礎!C27*1000/農薬算出基礎!E27</f>
        <v>15</v>
      </c>
      <c r="E61" s="103" t="s">
        <v>143</v>
      </c>
      <c r="F61" s="92">
        <f>+農薬算出基礎!F26</f>
        <v>5540</v>
      </c>
      <c r="G61" s="201">
        <f>D61*F61</f>
        <v>83100</v>
      </c>
      <c r="I61" s="1104"/>
      <c r="J61" s="325" t="s">
        <v>141</v>
      </c>
      <c r="K61" s="1129"/>
      <c r="L61" s="1130"/>
      <c r="M61" s="326"/>
      <c r="N61" s="328">
        <f>SUM(N55:N59)</f>
        <v>3866.666666666667</v>
      </c>
      <c r="O61" s="225"/>
      <c r="P61" s="1098"/>
      <c r="Q61" s="360" t="s">
        <v>246</v>
      </c>
      <c r="R61" s="361"/>
      <c r="S61" s="361"/>
      <c r="T61" s="361"/>
      <c r="U61" s="361"/>
      <c r="V61" s="362">
        <f>SUM(V55:V59)</f>
        <v>16666.666666666668</v>
      </c>
    </row>
    <row r="62" spans="2:22" ht="14.25" thickBot="1" x14ac:dyDescent="0.2">
      <c r="B62" s="1090"/>
      <c r="C62" s="207" t="s">
        <v>144</v>
      </c>
      <c r="D62" s="208"/>
      <c r="E62" s="208"/>
      <c r="F62" s="208"/>
      <c r="G62" s="209">
        <f>SUM(G58:G61)</f>
        <v>110550</v>
      </c>
      <c r="I62" s="1101" t="s">
        <v>238</v>
      </c>
      <c r="J62" s="1102"/>
      <c r="K62" s="1109"/>
      <c r="L62" s="1110"/>
      <c r="M62" s="232"/>
      <c r="N62" s="329">
        <f>SUM(N46,N50,N54,N61)</f>
        <v>15672</v>
      </c>
      <c r="O62" s="225"/>
      <c r="P62" s="1091" t="s">
        <v>238</v>
      </c>
      <c r="Q62" s="1092"/>
      <c r="R62" s="358"/>
      <c r="S62" s="358"/>
      <c r="T62" s="358"/>
      <c r="U62" s="358"/>
      <c r="V62" s="359">
        <f>SUM(V48,V54,V61)</f>
        <v>91216.666666666672</v>
      </c>
    </row>
    <row r="63" spans="2:22" x14ac:dyDescent="0.15">
      <c r="O63" s="225"/>
      <c r="V63" s="93"/>
    </row>
    <row r="64" spans="2:22" x14ac:dyDescent="0.15">
      <c r="I64" s="225"/>
      <c r="J64" s="225"/>
      <c r="K64" s="225"/>
      <c r="L64" s="225"/>
      <c r="M64" s="225"/>
      <c r="N64" s="225"/>
      <c r="O64" s="225"/>
    </row>
    <row r="65" spans="2:22" x14ac:dyDescent="0.15">
      <c r="I65" s="225"/>
      <c r="J65" s="225"/>
      <c r="K65" s="225"/>
      <c r="L65" s="225"/>
      <c r="M65" s="225"/>
      <c r="N65" s="225"/>
      <c r="O65" s="225"/>
    </row>
    <row r="66" spans="2:22" x14ac:dyDescent="0.15">
      <c r="I66" s="225"/>
      <c r="J66" s="225"/>
      <c r="K66" s="225"/>
      <c r="L66" s="225"/>
      <c r="M66" s="225"/>
      <c r="N66" s="225"/>
      <c r="O66" s="225"/>
    </row>
    <row r="67" spans="2:22" x14ac:dyDescent="0.15">
      <c r="I67" s="225"/>
      <c r="J67" s="225"/>
      <c r="K67" s="225"/>
      <c r="L67" s="225"/>
      <c r="M67" s="225"/>
      <c r="N67" s="225"/>
      <c r="O67" s="225"/>
    </row>
    <row r="68" spans="2:22" x14ac:dyDescent="0.15">
      <c r="I68" s="225"/>
      <c r="J68" s="225"/>
      <c r="K68" s="225"/>
      <c r="L68" s="225"/>
      <c r="M68" s="225"/>
      <c r="N68" s="225"/>
      <c r="O68" s="225"/>
    </row>
    <row r="69" spans="2:22" x14ac:dyDescent="0.15">
      <c r="I69" s="225"/>
      <c r="J69" s="225"/>
      <c r="K69" s="225"/>
      <c r="L69" s="225"/>
      <c r="M69" s="225"/>
      <c r="N69" s="225"/>
      <c r="O69" s="225"/>
    </row>
    <row r="70" spans="2:22" s="190" customFormat="1" x14ac:dyDescent="0.15">
      <c r="B70" s="93"/>
      <c r="C70" s="93"/>
      <c r="D70" s="93"/>
      <c r="E70" s="93"/>
      <c r="F70" s="93"/>
      <c r="G70" s="93"/>
      <c r="H70" s="225"/>
      <c r="I70" s="225"/>
      <c r="J70" s="225"/>
      <c r="K70" s="225"/>
      <c r="L70" s="225"/>
      <c r="M70" s="225"/>
      <c r="N70" s="225"/>
      <c r="O70" s="225"/>
      <c r="Q70" s="93"/>
      <c r="R70" s="94"/>
      <c r="S70" s="93"/>
      <c r="T70" s="93"/>
      <c r="U70" s="93"/>
      <c r="V70" s="94"/>
    </row>
    <row r="71" spans="2:22" s="190" customFormat="1" x14ac:dyDescent="0.15">
      <c r="B71" s="93"/>
      <c r="C71" s="93"/>
      <c r="D71" s="93"/>
      <c r="E71" s="93"/>
      <c r="F71" s="93"/>
      <c r="G71" s="93"/>
      <c r="H71" s="225"/>
      <c r="I71" s="225"/>
      <c r="J71" s="225"/>
      <c r="K71" s="225"/>
      <c r="L71" s="225"/>
      <c r="M71" s="225"/>
      <c r="N71" s="225"/>
      <c r="O71" s="225"/>
      <c r="Q71" s="93"/>
      <c r="R71" s="94"/>
      <c r="S71" s="93"/>
      <c r="T71" s="93"/>
      <c r="U71" s="93"/>
      <c r="V71" s="94"/>
    </row>
    <row r="72" spans="2:22" s="190" customFormat="1" x14ac:dyDescent="0.15">
      <c r="B72" s="93"/>
      <c r="C72" s="93"/>
      <c r="D72" s="93"/>
      <c r="E72" s="93"/>
      <c r="F72" s="93"/>
      <c r="G72" s="93"/>
      <c r="H72" s="225"/>
      <c r="I72" s="225"/>
      <c r="J72" s="225"/>
      <c r="K72" s="225"/>
      <c r="L72" s="225"/>
      <c r="M72" s="225"/>
      <c r="N72" s="225"/>
      <c r="O72" s="225"/>
      <c r="Q72" s="93"/>
      <c r="R72" s="94"/>
      <c r="S72" s="93"/>
      <c r="T72" s="93"/>
      <c r="U72" s="93"/>
      <c r="V72" s="94"/>
    </row>
    <row r="73" spans="2:22" s="190" customFormat="1" x14ac:dyDescent="0.15">
      <c r="B73" s="93"/>
      <c r="C73" s="93"/>
      <c r="D73" s="93"/>
      <c r="E73" s="93"/>
      <c r="F73" s="93"/>
      <c r="G73" s="93"/>
      <c r="H73" s="225"/>
      <c r="I73" s="225"/>
      <c r="J73" s="225"/>
      <c r="K73" s="225"/>
      <c r="L73" s="225"/>
      <c r="M73" s="225"/>
      <c r="N73" s="225"/>
      <c r="O73" s="225"/>
      <c r="Q73" s="93"/>
      <c r="R73" s="94"/>
      <c r="S73" s="93"/>
      <c r="T73" s="93"/>
      <c r="U73" s="93"/>
      <c r="V73" s="94"/>
    </row>
    <row r="74" spans="2:22" s="190" customFormat="1" x14ac:dyDescent="0.15">
      <c r="B74" s="93"/>
      <c r="C74" s="93"/>
      <c r="D74" s="93"/>
      <c r="E74" s="93"/>
      <c r="F74" s="93"/>
      <c r="G74" s="93"/>
      <c r="H74" s="225"/>
      <c r="I74" s="225"/>
      <c r="J74" s="225"/>
      <c r="K74" s="225"/>
      <c r="L74" s="225"/>
      <c r="M74" s="225"/>
      <c r="N74" s="225"/>
      <c r="O74" s="225"/>
      <c r="Q74" s="93"/>
      <c r="R74" s="94"/>
      <c r="S74" s="93"/>
      <c r="T74" s="93"/>
      <c r="U74" s="93"/>
      <c r="V74" s="94"/>
    </row>
    <row r="75" spans="2:22" s="190" customFormat="1" x14ac:dyDescent="0.15">
      <c r="B75" s="93"/>
      <c r="C75" s="93"/>
      <c r="D75" s="93"/>
      <c r="E75" s="93"/>
      <c r="F75" s="93"/>
      <c r="G75" s="93"/>
      <c r="H75" s="225"/>
      <c r="I75" s="225"/>
      <c r="J75" s="225"/>
      <c r="K75" s="225"/>
      <c r="L75" s="225"/>
      <c r="M75" s="225"/>
      <c r="N75" s="225"/>
      <c r="O75" s="225"/>
      <c r="Q75" s="93"/>
      <c r="R75" s="94"/>
      <c r="S75" s="93"/>
      <c r="T75" s="93"/>
      <c r="U75" s="93"/>
      <c r="V75" s="94"/>
    </row>
    <row r="76" spans="2:22" s="190" customFormat="1" x14ac:dyDescent="0.15">
      <c r="B76" s="93"/>
      <c r="C76" s="93"/>
      <c r="D76" s="93"/>
      <c r="E76" s="93"/>
      <c r="F76" s="93"/>
      <c r="G76" s="93"/>
      <c r="H76" s="225"/>
      <c r="I76" s="225"/>
      <c r="J76" s="225"/>
      <c r="K76" s="225"/>
      <c r="L76" s="225"/>
      <c r="M76" s="225"/>
      <c r="N76" s="225"/>
      <c r="O76" s="225"/>
      <c r="Q76" s="93"/>
      <c r="R76" s="94"/>
      <c r="S76" s="93"/>
      <c r="T76" s="93"/>
      <c r="U76" s="93"/>
      <c r="V76" s="94"/>
    </row>
    <row r="77" spans="2:22" s="190" customFormat="1" x14ac:dyDescent="0.15">
      <c r="B77" s="93"/>
      <c r="C77" s="93"/>
      <c r="D77" s="93"/>
      <c r="E77" s="93"/>
      <c r="F77" s="93"/>
      <c r="G77" s="93"/>
      <c r="H77" s="225"/>
      <c r="I77" s="225"/>
      <c r="J77" s="225"/>
      <c r="K77" s="225"/>
      <c r="L77" s="225"/>
      <c r="M77" s="225"/>
      <c r="N77" s="225"/>
      <c r="O77" s="225"/>
      <c r="Q77" s="93"/>
      <c r="R77" s="94"/>
      <c r="S77" s="93"/>
      <c r="T77" s="93"/>
      <c r="U77" s="93"/>
      <c r="V77" s="94"/>
    </row>
    <row r="78" spans="2:22" s="190" customFormat="1" x14ac:dyDescent="0.15">
      <c r="B78" s="93"/>
      <c r="C78" s="93"/>
      <c r="D78" s="93"/>
      <c r="E78" s="93"/>
      <c r="F78" s="93"/>
      <c r="G78" s="93"/>
      <c r="H78" s="225"/>
      <c r="I78" s="225"/>
      <c r="J78" s="225"/>
      <c r="K78" s="225"/>
      <c r="L78" s="225"/>
      <c r="M78" s="225"/>
      <c r="N78" s="225"/>
      <c r="O78" s="225"/>
      <c r="Q78" s="93"/>
      <c r="R78" s="94"/>
      <c r="S78" s="93"/>
      <c r="T78" s="93"/>
      <c r="U78" s="93"/>
      <c r="V78" s="94"/>
    </row>
    <row r="79" spans="2:22" s="190" customFormat="1" x14ac:dyDescent="0.15">
      <c r="B79" s="93"/>
      <c r="C79" s="93"/>
      <c r="D79" s="93"/>
      <c r="E79" s="93"/>
      <c r="F79" s="93"/>
      <c r="G79" s="93"/>
      <c r="H79" s="225"/>
      <c r="I79" s="225"/>
      <c r="J79" s="225"/>
      <c r="K79" s="225"/>
      <c r="L79" s="225"/>
      <c r="M79" s="225"/>
      <c r="N79" s="225"/>
      <c r="O79" s="225"/>
      <c r="Q79" s="93"/>
      <c r="R79" s="94"/>
      <c r="S79" s="93"/>
      <c r="T79" s="93"/>
      <c r="U79" s="93"/>
      <c r="V79" s="94"/>
    </row>
    <row r="80" spans="2:22" s="190" customFormat="1" x14ac:dyDescent="0.15">
      <c r="B80" s="93"/>
      <c r="C80" s="93"/>
      <c r="D80" s="93"/>
      <c r="E80" s="93"/>
      <c r="F80" s="93"/>
      <c r="G80" s="93"/>
      <c r="H80" s="225"/>
      <c r="I80" s="225"/>
      <c r="J80" s="225"/>
      <c r="K80" s="225"/>
      <c r="L80" s="225"/>
      <c r="M80" s="225"/>
      <c r="N80" s="225"/>
      <c r="O80" s="225"/>
      <c r="Q80" s="93"/>
      <c r="R80" s="94"/>
      <c r="S80" s="93"/>
      <c r="T80" s="93"/>
      <c r="U80" s="93"/>
      <c r="V80" s="94"/>
    </row>
    <row r="81" spans="2:22" s="190" customFormat="1" x14ac:dyDescent="0.15">
      <c r="B81" s="93"/>
      <c r="C81" s="93"/>
      <c r="D81" s="93"/>
      <c r="E81" s="93"/>
      <c r="F81" s="93"/>
      <c r="G81" s="93"/>
      <c r="H81" s="225"/>
      <c r="I81" s="225"/>
      <c r="J81" s="225"/>
      <c r="K81" s="225"/>
      <c r="L81" s="225"/>
      <c r="M81" s="225"/>
      <c r="N81" s="225"/>
      <c r="O81" s="225"/>
      <c r="Q81" s="93"/>
      <c r="R81" s="94"/>
      <c r="S81" s="93"/>
      <c r="T81" s="93"/>
      <c r="U81" s="93"/>
      <c r="V81" s="94"/>
    </row>
    <row r="82" spans="2:22" s="190" customFormat="1" x14ac:dyDescent="0.15">
      <c r="B82" s="93"/>
      <c r="C82" s="93"/>
      <c r="D82" s="93"/>
      <c r="E82" s="93"/>
      <c r="F82" s="93"/>
      <c r="G82" s="93"/>
      <c r="H82" s="225"/>
      <c r="I82" s="225"/>
      <c r="J82" s="225"/>
      <c r="K82" s="225"/>
      <c r="L82" s="225"/>
      <c r="M82" s="225"/>
      <c r="N82" s="225"/>
      <c r="O82" s="225"/>
      <c r="Q82" s="93"/>
      <c r="R82" s="94"/>
      <c r="S82" s="93"/>
      <c r="T82" s="93"/>
      <c r="U82" s="93"/>
      <c r="V82" s="94"/>
    </row>
    <row r="83" spans="2:22" s="190" customFormat="1" x14ac:dyDescent="0.15">
      <c r="B83" s="93"/>
      <c r="C83" s="93"/>
      <c r="D83" s="93"/>
      <c r="E83" s="93"/>
      <c r="F83" s="93"/>
      <c r="G83" s="93"/>
      <c r="H83" s="225"/>
      <c r="I83" s="225"/>
      <c r="J83" s="225"/>
      <c r="K83" s="225"/>
      <c r="L83" s="225"/>
      <c r="M83" s="225"/>
      <c r="N83" s="225"/>
      <c r="O83" s="225"/>
      <c r="Q83" s="93"/>
      <c r="R83" s="94"/>
      <c r="S83" s="93"/>
      <c r="T83" s="93"/>
      <c r="U83" s="93"/>
      <c r="V83" s="94"/>
    </row>
    <row r="84" spans="2:22" s="190" customFormat="1" x14ac:dyDescent="0.15">
      <c r="B84" s="93"/>
      <c r="C84" s="93"/>
      <c r="D84" s="93"/>
      <c r="E84" s="93"/>
      <c r="F84" s="93"/>
      <c r="G84" s="93"/>
      <c r="H84" s="225"/>
      <c r="I84" s="225"/>
      <c r="J84" s="225"/>
      <c r="K84" s="225"/>
      <c r="L84" s="225"/>
      <c r="M84" s="225"/>
      <c r="N84" s="225"/>
      <c r="O84" s="225"/>
      <c r="Q84" s="93"/>
      <c r="R84" s="94"/>
      <c r="S84" s="93"/>
      <c r="T84" s="93"/>
      <c r="U84" s="93"/>
      <c r="V84" s="94"/>
    </row>
    <row r="85" spans="2:22" s="190" customFormat="1" x14ac:dyDescent="0.15">
      <c r="B85" s="93"/>
      <c r="C85" s="93"/>
      <c r="D85" s="93"/>
      <c r="E85" s="93"/>
      <c r="F85" s="93"/>
      <c r="G85" s="93"/>
      <c r="H85" s="225"/>
      <c r="I85" s="225"/>
      <c r="J85" s="225"/>
      <c r="K85" s="225"/>
      <c r="L85" s="225"/>
      <c r="M85" s="225"/>
      <c r="N85" s="225"/>
      <c r="O85" s="225"/>
      <c r="Q85" s="93"/>
      <c r="R85" s="94"/>
      <c r="S85" s="93"/>
      <c r="T85" s="93"/>
      <c r="U85" s="93"/>
      <c r="V85" s="94"/>
    </row>
    <row r="86" spans="2:22" s="190" customFormat="1" x14ac:dyDescent="0.15">
      <c r="B86" s="93"/>
      <c r="C86" s="93"/>
      <c r="D86" s="93"/>
      <c r="E86" s="93"/>
      <c r="F86" s="93"/>
      <c r="G86" s="93"/>
      <c r="H86" s="225"/>
      <c r="I86" s="225"/>
      <c r="J86" s="225"/>
      <c r="K86" s="225"/>
      <c r="L86" s="225"/>
      <c r="M86" s="225"/>
      <c r="N86" s="225"/>
      <c r="O86" s="225"/>
      <c r="Q86" s="93"/>
      <c r="R86" s="94"/>
      <c r="S86" s="93"/>
      <c r="T86" s="93"/>
      <c r="U86" s="93"/>
      <c r="V86" s="94"/>
    </row>
    <row r="87" spans="2:22" s="190" customFormat="1" x14ac:dyDescent="0.15">
      <c r="B87" s="93"/>
      <c r="C87" s="93"/>
      <c r="D87" s="93"/>
      <c r="E87" s="93"/>
      <c r="F87" s="93"/>
      <c r="G87" s="93"/>
      <c r="H87" s="225"/>
      <c r="I87" s="225"/>
      <c r="J87" s="225"/>
      <c r="K87" s="225"/>
      <c r="L87" s="225"/>
      <c r="M87" s="225"/>
      <c r="N87" s="225"/>
      <c r="O87" s="225"/>
      <c r="Q87" s="93"/>
      <c r="R87" s="94"/>
      <c r="S87" s="93"/>
      <c r="T87" s="93"/>
      <c r="U87" s="93"/>
      <c r="V87" s="94"/>
    </row>
    <row r="88" spans="2:22" s="190" customFormat="1" x14ac:dyDescent="0.15">
      <c r="B88" s="212"/>
      <c r="C88" s="213"/>
      <c r="D88" s="213"/>
      <c r="E88" s="213"/>
      <c r="F88" s="213"/>
      <c r="G88" s="93"/>
      <c r="H88" s="225"/>
      <c r="I88" s="225"/>
      <c r="J88" s="225"/>
      <c r="K88" s="225"/>
      <c r="L88" s="225"/>
      <c r="M88" s="225"/>
      <c r="N88" s="225"/>
      <c r="O88" s="225"/>
      <c r="Q88" s="93"/>
      <c r="R88" s="94"/>
      <c r="S88" s="93"/>
      <c r="T88" s="93"/>
      <c r="U88" s="93"/>
      <c r="V88" s="94"/>
    </row>
    <row r="89" spans="2:22" s="190" customFormat="1" x14ac:dyDescent="0.15">
      <c r="B89" s="212"/>
      <c r="C89" s="213"/>
      <c r="D89" s="213"/>
      <c r="E89" s="213"/>
      <c r="F89" s="213"/>
      <c r="G89" s="93"/>
      <c r="H89" s="225"/>
      <c r="I89" s="225"/>
      <c r="J89" s="225"/>
      <c r="K89" s="225"/>
      <c r="L89" s="225"/>
      <c r="M89" s="225"/>
      <c r="N89" s="225"/>
      <c r="O89" s="225"/>
      <c r="Q89" s="93"/>
      <c r="R89" s="94"/>
      <c r="S89" s="93"/>
      <c r="T89" s="93"/>
      <c r="U89" s="93"/>
      <c r="V89" s="94"/>
    </row>
    <row r="90" spans="2:22" s="190" customFormat="1" x14ac:dyDescent="0.15">
      <c r="B90" s="93"/>
      <c r="C90" s="93"/>
      <c r="D90" s="93"/>
      <c r="E90" s="93"/>
      <c r="F90" s="93"/>
      <c r="G90" s="93"/>
      <c r="H90" s="225"/>
      <c r="I90" s="225"/>
      <c r="J90" s="225"/>
      <c r="K90" s="225"/>
      <c r="L90" s="225"/>
      <c r="M90" s="225"/>
      <c r="N90" s="225"/>
      <c r="O90" s="225"/>
      <c r="Q90" s="93"/>
      <c r="R90" s="94"/>
      <c r="S90" s="93"/>
      <c r="T90" s="93"/>
      <c r="U90" s="93"/>
      <c r="V90" s="94"/>
    </row>
    <row r="91" spans="2:22" s="190" customFormat="1" x14ac:dyDescent="0.15">
      <c r="B91" s="93"/>
      <c r="C91" s="93"/>
      <c r="D91" s="93"/>
      <c r="E91" s="93"/>
      <c r="F91" s="93"/>
      <c r="G91" s="93"/>
      <c r="H91" s="225"/>
      <c r="I91" s="225"/>
      <c r="J91" s="225"/>
      <c r="K91" s="225"/>
      <c r="L91" s="225"/>
      <c r="M91" s="225"/>
      <c r="N91" s="225"/>
      <c r="O91" s="225"/>
      <c r="Q91" s="93"/>
      <c r="R91" s="94"/>
      <c r="S91" s="93"/>
      <c r="T91" s="93"/>
      <c r="U91" s="93"/>
      <c r="V91" s="94"/>
    </row>
    <row r="92" spans="2:22" s="190" customFormat="1" x14ac:dyDescent="0.15">
      <c r="B92" s="93"/>
      <c r="C92" s="93"/>
      <c r="D92" s="93"/>
      <c r="E92" s="93"/>
      <c r="F92" s="93"/>
      <c r="G92" s="93"/>
      <c r="H92" s="225"/>
      <c r="I92" s="225"/>
      <c r="J92" s="225"/>
      <c r="K92" s="225"/>
      <c r="L92" s="225"/>
      <c r="M92" s="225"/>
      <c r="N92" s="225"/>
      <c r="O92" s="225"/>
      <c r="Q92" s="93"/>
      <c r="R92" s="94"/>
      <c r="S92" s="93"/>
      <c r="T92" s="93"/>
      <c r="U92" s="93"/>
      <c r="V92" s="94"/>
    </row>
    <row r="93" spans="2:22" s="190" customFormat="1" x14ac:dyDescent="0.15">
      <c r="B93" s="93"/>
      <c r="C93" s="93"/>
      <c r="D93" s="93"/>
      <c r="E93" s="93"/>
      <c r="F93" s="93"/>
      <c r="G93" s="93"/>
      <c r="H93" s="225"/>
      <c r="I93" s="225"/>
      <c r="J93" s="225"/>
      <c r="K93" s="225"/>
      <c r="L93" s="225"/>
      <c r="M93" s="225"/>
      <c r="N93" s="225"/>
      <c r="O93" s="225"/>
      <c r="Q93" s="93"/>
      <c r="R93" s="94"/>
      <c r="S93" s="93"/>
      <c r="T93" s="93"/>
      <c r="U93" s="93"/>
      <c r="V93" s="94"/>
    </row>
    <row r="94" spans="2:22" s="190" customFormat="1" x14ac:dyDescent="0.15">
      <c r="B94" s="93"/>
      <c r="C94" s="93"/>
      <c r="D94" s="93"/>
      <c r="E94" s="93"/>
      <c r="F94" s="93"/>
      <c r="G94" s="93"/>
      <c r="H94" s="225"/>
      <c r="I94" s="225"/>
      <c r="J94" s="225"/>
      <c r="K94" s="225"/>
      <c r="L94" s="225"/>
      <c r="M94" s="225"/>
      <c r="N94" s="225"/>
      <c r="O94" s="225"/>
      <c r="Q94" s="93"/>
      <c r="R94" s="94"/>
      <c r="S94" s="93"/>
      <c r="T94" s="93"/>
      <c r="U94" s="93"/>
      <c r="V94" s="94"/>
    </row>
    <row r="95" spans="2:22" s="190" customFormat="1" x14ac:dyDescent="0.15">
      <c r="B95" s="93"/>
      <c r="C95" s="93"/>
      <c r="D95" s="93"/>
      <c r="E95" s="93"/>
      <c r="F95" s="93"/>
      <c r="G95" s="93"/>
      <c r="H95" s="225"/>
      <c r="I95" s="225"/>
      <c r="J95" s="225"/>
      <c r="K95" s="225"/>
      <c r="L95" s="225"/>
      <c r="M95" s="225"/>
      <c r="N95" s="225"/>
      <c r="O95" s="225"/>
      <c r="Q95" s="93"/>
      <c r="R95" s="94"/>
      <c r="S95" s="93"/>
      <c r="T95" s="93"/>
      <c r="U95" s="93"/>
      <c r="V95" s="94"/>
    </row>
    <row r="96" spans="2:22" s="190" customFormat="1" x14ac:dyDescent="0.15">
      <c r="B96" s="93"/>
      <c r="C96" s="93"/>
      <c r="D96" s="93"/>
      <c r="E96" s="93"/>
      <c r="F96" s="93"/>
      <c r="G96" s="93"/>
      <c r="H96" s="225"/>
      <c r="I96" s="225"/>
      <c r="J96" s="225"/>
      <c r="K96" s="225"/>
      <c r="L96" s="225"/>
      <c r="M96" s="225"/>
      <c r="N96" s="225"/>
      <c r="O96" s="225"/>
      <c r="Q96" s="93"/>
      <c r="R96" s="94"/>
      <c r="S96" s="93"/>
      <c r="T96" s="93"/>
      <c r="U96" s="93"/>
      <c r="V96" s="94"/>
    </row>
    <row r="97" spans="2:22" s="190" customFormat="1" x14ac:dyDescent="0.15">
      <c r="B97" s="93"/>
      <c r="C97" s="93"/>
      <c r="D97" s="93"/>
      <c r="E97" s="93"/>
      <c r="F97" s="93"/>
      <c r="G97" s="93"/>
      <c r="H97" s="225"/>
      <c r="I97" s="225"/>
      <c r="J97" s="225"/>
      <c r="K97" s="225"/>
      <c r="L97" s="225"/>
      <c r="M97" s="225"/>
      <c r="N97" s="225"/>
      <c r="O97" s="225"/>
      <c r="Q97" s="93"/>
      <c r="R97" s="94"/>
      <c r="S97" s="93"/>
      <c r="T97" s="93"/>
      <c r="U97" s="93"/>
      <c r="V97" s="94"/>
    </row>
    <row r="98" spans="2:22" s="190" customFormat="1" x14ac:dyDescent="0.15">
      <c r="B98" s="93"/>
      <c r="C98" s="93"/>
      <c r="D98" s="93"/>
      <c r="E98" s="93"/>
      <c r="F98" s="93"/>
      <c r="G98" s="93"/>
      <c r="H98" s="225"/>
      <c r="I98" s="225"/>
      <c r="J98" s="225"/>
      <c r="K98" s="225"/>
      <c r="L98" s="225"/>
      <c r="M98" s="225"/>
      <c r="N98" s="225"/>
      <c r="O98" s="225"/>
      <c r="Q98" s="93"/>
      <c r="R98" s="94"/>
      <c r="S98" s="93"/>
      <c r="T98" s="93"/>
      <c r="U98" s="93"/>
      <c r="V98" s="94"/>
    </row>
    <row r="99" spans="2:22" s="190" customFormat="1" x14ac:dyDescent="0.15">
      <c r="B99" s="93"/>
      <c r="C99" s="93"/>
      <c r="D99" s="93"/>
      <c r="E99" s="93"/>
      <c r="F99" s="93"/>
      <c r="G99" s="93"/>
      <c r="H99" s="225"/>
      <c r="I99" s="225"/>
      <c r="J99" s="225"/>
      <c r="K99" s="225"/>
      <c r="L99" s="225"/>
      <c r="M99" s="225"/>
      <c r="N99" s="225"/>
      <c r="O99" s="225"/>
      <c r="Q99" s="93"/>
      <c r="R99" s="94"/>
      <c r="S99" s="93"/>
      <c r="T99" s="93"/>
      <c r="U99" s="93"/>
      <c r="V99" s="94"/>
    </row>
    <row r="100" spans="2:22" s="190" customFormat="1" x14ac:dyDescent="0.15">
      <c r="B100" s="93"/>
      <c r="C100" s="93"/>
      <c r="D100" s="93"/>
      <c r="E100" s="93"/>
      <c r="F100" s="93"/>
      <c r="G100" s="93"/>
      <c r="H100" s="225"/>
      <c r="I100" s="225"/>
      <c r="J100" s="225"/>
      <c r="K100" s="225"/>
      <c r="L100" s="225"/>
      <c r="M100" s="225"/>
      <c r="N100" s="225"/>
      <c r="O100" s="225"/>
      <c r="Q100" s="93"/>
      <c r="R100" s="94"/>
      <c r="S100" s="93"/>
      <c r="T100" s="93"/>
      <c r="U100" s="93"/>
      <c r="V100" s="94"/>
    </row>
    <row r="101" spans="2:22" s="190" customFormat="1" x14ac:dyDescent="0.15">
      <c r="B101" s="93"/>
      <c r="C101" s="93"/>
      <c r="D101" s="93"/>
      <c r="E101" s="93"/>
      <c r="F101" s="93"/>
      <c r="G101" s="93"/>
      <c r="H101" s="225"/>
      <c r="I101" s="225"/>
      <c r="J101" s="225"/>
      <c r="K101" s="225"/>
      <c r="L101" s="225"/>
      <c r="M101" s="225"/>
      <c r="N101" s="225"/>
      <c r="O101" s="225"/>
      <c r="Q101" s="93"/>
      <c r="R101" s="94"/>
      <c r="S101" s="93"/>
      <c r="T101" s="93"/>
      <c r="U101" s="93"/>
      <c r="V101" s="94"/>
    </row>
    <row r="102" spans="2:22" s="190" customFormat="1" x14ac:dyDescent="0.15">
      <c r="B102" s="93"/>
      <c r="C102" s="93"/>
      <c r="D102" s="93"/>
      <c r="E102" s="93"/>
      <c r="F102" s="93"/>
      <c r="G102" s="93"/>
      <c r="H102" s="225"/>
      <c r="I102" s="225"/>
      <c r="J102" s="225"/>
      <c r="K102" s="225"/>
      <c r="L102" s="225"/>
      <c r="M102" s="225"/>
      <c r="N102" s="225"/>
      <c r="O102" s="225"/>
      <c r="Q102" s="93"/>
      <c r="R102" s="94"/>
      <c r="S102" s="93"/>
      <c r="T102" s="93"/>
      <c r="U102" s="93"/>
      <c r="V102" s="94"/>
    </row>
    <row r="103" spans="2:22" s="190" customFormat="1" x14ac:dyDescent="0.15">
      <c r="B103" s="93"/>
      <c r="C103" s="93"/>
      <c r="D103" s="93"/>
      <c r="E103" s="93"/>
      <c r="F103" s="93"/>
      <c r="G103" s="93"/>
      <c r="H103" s="225"/>
      <c r="I103" s="225"/>
      <c r="J103" s="225"/>
      <c r="K103" s="225"/>
      <c r="L103" s="225"/>
      <c r="M103" s="225"/>
      <c r="N103" s="225"/>
      <c r="O103" s="225"/>
      <c r="Q103" s="93"/>
      <c r="R103" s="94"/>
      <c r="S103" s="93"/>
      <c r="T103" s="93"/>
      <c r="U103" s="93"/>
      <c r="V103" s="94"/>
    </row>
    <row r="104" spans="2:22" s="190" customFormat="1" x14ac:dyDescent="0.15">
      <c r="B104" s="93"/>
      <c r="C104" s="93"/>
      <c r="D104" s="93"/>
      <c r="E104" s="93"/>
      <c r="F104" s="93"/>
      <c r="G104" s="93"/>
      <c r="H104" s="225"/>
      <c r="I104" s="225"/>
      <c r="J104" s="225"/>
      <c r="K104" s="225"/>
      <c r="L104" s="225"/>
      <c r="M104" s="225"/>
      <c r="N104" s="225"/>
      <c r="O104" s="225"/>
      <c r="Q104" s="93"/>
      <c r="R104" s="94"/>
      <c r="S104" s="93"/>
      <c r="T104" s="93"/>
      <c r="U104" s="93"/>
      <c r="V104" s="94"/>
    </row>
    <row r="105" spans="2:22" s="190" customFormat="1" x14ac:dyDescent="0.15">
      <c r="B105" s="93"/>
      <c r="C105" s="93"/>
      <c r="D105" s="93"/>
      <c r="E105" s="93"/>
      <c r="F105" s="93"/>
      <c r="G105" s="93"/>
      <c r="H105" s="225"/>
      <c r="I105" s="225"/>
      <c r="J105" s="225"/>
      <c r="K105" s="225"/>
      <c r="L105" s="225"/>
      <c r="M105" s="225"/>
      <c r="N105" s="225"/>
      <c r="O105" s="225"/>
      <c r="Q105" s="93"/>
      <c r="R105" s="94"/>
      <c r="S105" s="93"/>
      <c r="T105" s="93"/>
      <c r="U105" s="93"/>
      <c r="V105" s="94"/>
    </row>
    <row r="106" spans="2:22" s="190" customFormat="1" x14ac:dyDescent="0.15">
      <c r="B106" s="93"/>
      <c r="C106" s="93"/>
      <c r="D106" s="93"/>
      <c r="E106" s="93"/>
      <c r="F106" s="93"/>
      <c r="G106" s="93"/>
      <c r="H106" s="225"/>
      <c r="I106" s="225"/>
      <c r="J106" s="225"/>
      <c r="K106" s="225"/>
      <c r="L106" s="225"/>
      <c r="M106" s="225"/>
      <c r="N106" s="225"/>
      <c r="O106" s="225"/>
      <c r="Q106" s="93"/>
      <c r="R106" s="94"/>
      <c r="S106" s="93"/>
      <c r="T106" s="93"/>
      <c r="U106" s="93"/>
      <c r="V106" s="94"/>
    </row>
    <row r="107" spans="2:22" s="190" customFormat="1" x14ac:dyDescent="0.15">
      <c r="B107" s="93"/>
      <c r="C107" s="93"/>
      <c r="D107" s="93"/>
      <c r="E107" s="93"/>
      <c r="F107" s="93"/>
      <c r="G107" s="93"/>
      <c r="H107" s="225"/>
      <c r="I107" s="225"/>
      <c r="J107" s="225"/>
      <c r="K107" s="225"/>
      <c r="L107" s="225"/>
      <c r="M107" s="225"/>
      <c r="N107" s="225"/>
      <c r="O107" s="225"/>
      <c r="Q107" s="93"/>
      <c r="R107" s="94"/>
      <c r="S107" s="93"/>
      <c r="T107" s="93"/>
      <c r="U107" s="93"/>
      <c r="V107" s="94"/>
    </row>
    <row r="108" spans="2:22" s="190" customFormat="1" x14ac:dyDescent="0.15">
      <c r="B108" s="93"/>
      <c r="C108" s="93"/>
      <c r="D108" s="93"/>
      <c r="E108" s="93"/>
      <c r="F108" s="93"/>
      <c r="G108" s="93"/>
      <c r="H108" s="225"/>
      <c r="I108" s="225"/>
      <c r="J108" s="225"/>
      <c r="K108" s="225"/>
      <c r="L108" s="225"/>
      <c r="M108" s="225"/>
      <c r="N108" s="225"/>
      <c r="O108" s="225"/>
      <c r="Q108" s="93"/>
      <c r="R108" s="94"/>
      <c r="S108" s="93"/>
      <c r="T108" s="93"/>
      <c r="U108" s="93"/>
      <c r="V108" s="94"/>
    </row>
    <row r="109" spans="2:22" s="190" customFormat="1" x14ac:dyDescent="0.15">
      <c r="B109" s="93"/>
      <c r="C109" s="93"/>
      <c r="D109" s="93"/>
      <c r="E109" s="93"/>
      <c r="F109" s="93"/>
      <c r="G109" s="93"/>
      <c r="H109" s="225"/>
      <c r="I109" s="225"/>
      <c r="J109" s="225"/>
      <c r="K109" s="225"/>
      <c r="L109" s="225"/>
      <c r="M109" s="225"/>
      <c r="N109" s="225"/>
      <c r="O109" s="225"/>
      <c r="Q109" s="93"/>
      <c r="R109" s="94"/>
      <c r="S109" s="93"/>
      <c r="T109" s="93"/>
      <c r="U109" s="93"/>
      <c r="V109" s="94"/>
    </row>
    <row r="110" spans="2:22" s="190" customFormat="1" x14ac:dyDescent="0.15">
      <c r="B110" s="93"/>
      <c r="C110" s="93"/>
      <c r="D110" s="93"/>
      <c r="E110" s="93"/>
      <c r="F110" s="93"/>
      <c r="G110" s="93"/>
      <c r="H110" s="225"/>
      <c r="I110" s="225"/>
      <c r="J110" s="225"/>
      <c r="K110" s="225"/>
      <c r="L110" s="225"/>
      <c r="M110" s="225"/>
      <c r="N110" s="225"/>
      <c r="O110" s="225"/>
      <c r="Q110" s="93"/>
      <c r="R110" s="94"/>
      <c r="S110" s="93"/>
      <c r="T110" s="93"/>
      <c r="U110" s="93"/>
      <c r="V110" s="94"/>
    </row>
    <row r="111" spans="2:22" s="190" customFormat="1" x14ac:dyDescent="0.15">
      <c r="B111" s="93"/>
      <c r="C111" s="93"/>
      <c r="D111" s="93"/>
      <c r="E111" s="93"/>
      <c r="F111" s="93"/>
      <c r="G111" s="93"/>
      <c r="H111" s="225"/>
      <c r="I111" s="225"/>
      <c r="J111" s="225"/>
      <c r="K111" s="225"/>
      <c r="L111" s="225"/>
      <c r="M111" s="225"/>
      <c r="N111" s="225"/>
      <c r="O111" s="225"/>
      <c r="Q111" s="93"/>
      <c r="R111" s="94"/>
      <c r="S111" s="93"/>
      <c r="T111" s="93"/>
      <c r="U111" s="93"/>
      <c r="V111" s="94"/>
    </row>
    <row r="112" spans="2:22" s="190" customFormat="1" x14ac:dyDescent="0.15">
      <c r="B112" s="93"/>
      <c r="C112" s="93"/>
      <c r="D112" s="93"/>
      <c r="E112" s="93"/>
      <c r="F112" s="93"/>
      <c r="G112" s="93"/>
      <c r="H112" s="225"/>
      <c r="I112" s="225"/>
      <c r="J112" s="225"/>
      <c r="K112" s="225"/>
      <c r="L112" s="225"/>
      <c r="M112" s="225"/>
      <c r="N112" s="225"/>
      <c r="O112" s="225"/>
      <c r="Q112" s="93"/>
      <c r="R112" s="94"/>
      <c r="S112" s="93"/>
      <c r="T112" s="93"/>
      <c r="U112" s="93"/>
      <c r="V112" s="94"/>
    </row>
    <row r="113" spans="2:22" s="190" customFormat="1" x14ac:dyDescent="0.15">
      <c r="B113" s="93"/>
      <c r="C113" s="93"/>
      <c r="D113" s="93"/>
      <c r="E113" s="93"/>
      <c r="F113" s="93"/>
      <c r="G113" s="93"/>
      <c r="H113" s="225"/>
      <c r="I113" s="225"/>
      <c r="J113" s="225"/>
      <c r="K113" s="225"/>
      <c r="L113" s="225"/>
      <c r="M113" s="225"/>
      <c r="N113" s="225"/>
      <c r="O113" s="225"/>
      <c r="Q113" s="93"/>
      <c r="R113" s="94"/>
      <c r="S113" s="93"/>
      <c r="T113" s="93"/>
      <c r="U113" s="93"/>
      <c r="V113" s="94"/>
    </row>
    <row r="114" spans="2:22" s="190" customFormat="1" x14ac:dyDescent="0.15">
      <c r="B114" s="93"/>
      <c r="C114" s="93"/>
      <c r="D114" s="93"/>
      <c r="E114" s="93"/>
      <c r="F114" s="93"/>
      <c r="G114" s="93"/>
      <c r="H114" s="225"/>
      <c r="I114" s="225"/>
      <c r="J114" s="225"/>
      <c r="K114" s="225"/>
      <c r="L114" s="225"/>
      <c r="M114" s="225"/>
      <c r="N114" s="225"/>
      <c r="O114" s="225"/>
      <c r="Q114" s="93"/>
      <c r="R114" s="94"/>
      <c r="S114" s="93"/>
      <c r="T114" s="93"/>
      <c r="U114" s="93"/>
      <c r="V114" s="94"/>
    </row>
    <row r="115" spans="2:22" s="190" customFormat="1" x14ac:dyDescent="0.15">
      <c r="B115" s="93"/>
      <c r="C115" s="93"/>
      <c r="D115" s="93"/>
      <c r="E115" s="93"/>
      <c r="F115" s="93"/>
      <c r="G115" s="93"/>
      <c r="H115" s="225"/>
      <c r="I115" s="225"/>
      <c r="J115" s="225"/>
      <c r="K115" s="225"/>
      <c r="L115" s="225"/>
      <c r="M115" s="225"/>
      <c r="N115" s="225"/>
      <c r="O115" s="225"/>
      <c r="Q115" s="93"/>
      <c r="R115" s="94"/>
      <c r="S115" s="93"/>
      <c r="T115" s="93"/>
      <c r="U115" s="93"/>
      <c r="V115" s="94"/>
    </row>
    <row r="116" spans="2:22" s="190" customFormat="1" x14ac:dyDescent="0.15">
      <c r="B116" s="93"/>
      <c r="C116" s="93"/>
      <c r="D116" s="93"/>
      <c r="E116" s="93"/>
      <c r="F116" s="93"/>
      <c r="G116" s="93"/>
      <c r="H116" s="225"/>
      <c r="I116" s="225"/>
      <c r="J116" s="225"/>
      <c r="K116" s="225"/>
      <c r="L116" s="225"/>
      <c r="M116" s="225"/>
      <c r="N116" s="225"/>
      <c r="O116" s="225"/>
      <c r="Q116" s="93"/>
      <c r="R116" s="94"/>
      <c r="S116" s="93"/>
      <c r="T116" s="93"/>
      <c r="U116" s="93"/>
      <c r="V116" s="94"/>
    </row>
    <row r="117" spans="2:22" s="190" customFormat="1" x14ac:dyDescent="0.15">
      <c r="B117" s="93"/>
      <c r="C117" s="93"/>
      <c r="D117" s="93"/>
      <c r="E117" s="93"/>
      <c r="F117" s="93"/>
      <c r="G117" s="93"/>
      <c r="H117" s="225"/>
      <c r="I117" s="225"/>
      <c r="J117" s="225"/>
      <c r="K117" s="225"/>
      <c r="L117" s="225"/>
      <c r="M117" s="225"/>
      <c r="N117" s="225"/>
      <c r="O117" s="225"/>
      <c r="Q117" s="93"/>
      <c r="R117" s="94"/>
      <c r="S117" s="93"/>
      <c r="T117" s="93"/>
      <c r="U117" s="93"/>
      <c r="V117" s="94"/>
    </row>
    <row r="118" spans="2:22" s="190" customFormat="1" x14ac:dyDescent="0.15">
      <c r="B118" s="93"/>
      <c r="C118" s="93"/>
      <c r="D118" s="93"/>
      <c r="E118" s="93"/>
      <c r="F118" s="93"/>
      <c r="G118" s="93"/>
      <c r="H118" s="225"/>
      <c r="I118" s="225"/>
      <c r="J118" s="225"/>
      <c r="K118" s="225"/>
      <c r="L118" s="225"/>
      <c r="M118" s="225"/>
      <c r="N118" s="225"/>
      <c r="O118" s="225"/>
      <c r="Q118" s="93"/>
      <c r="R118" s="94"/>
      <c r="S118" s="93"/>
      <c r="T118" s="93"/>
      <c r="U118" s="93"/>
      <c r="V118" s="94"/>
    </row>
    <row r="119" spans="2:22" s="190" customFormat="1" x14ac:dyDescent="0.15">
      <c r="B119" s="93"/>
      <c r="C119" s="93"/>
      <c r="D119" s="93"/>
      <c r="E119" s="93"/>
      <c r="F119" s="93"/>
      <c r="G119" s="93"/>
      <c r="H119" s="225"/>
      <c r="I119" s="225"/>
      <c r="J119" s="225"/>
      <c r="K119" s="225"/>
      <c r="L119" s="225"/>
      <c r="M119" s="225"/>
      <c r="N119" s="225"/>
      <c r="O119" s="225"/>
      <c r="Q119" s="93"/>
      <c r="R119" s="94"/>
      <c r="S119" s="93"/>
      <c r="T119" s="93"/>
      <c r="U119" s="93"/>
      <c r="V119" s="94"/>
    </row>
    <row r="120" spans="2:22" s="190" customFormat="1" x14ac:dyDescent="0.15">
      <c r="B120" s="93"/>
      <c r="C120" s="93"/>
      <c r="D120" s="93"/>
      <c r="E120" s="93"/>
      <c r="F120" s="93"/>
      <c r="G120" s="93"/>
      <c r="H120" s="225"/>
      <c r="I120" s="225"/>
      <c r="J120" s="225"/>
      <c r="K120" s="225"/>
      <c r="L120" s="225"/>
      <c r="M120" s="225"/>
      <c r="N120" s="225"/>
      <c r="O120" s="225"/>
      <c r="Q120" s="93"/>
      <c r="R120" s="94"/>
      <c r="S120" s="93"/>
      <c r="T120" s="93"/>
      <c r="U120" s="93"/>
      <c r="V120" s="94"/>
    </row>
    <row r="121" spans="2:22" s="190" customFormat="1" x14ac:dyDescent="0.15">
      <c r="B121" s="93"/>
      <c r="C121" s="93"/>
      <c r="D121" s="93"/>
      <c r="E121" s="93"/>
      <c r="F121" s="93"/>
      <c r="G121" s="93"/>
      <c r="H121" s="225"/>
      <c r="I121" s="225"/>
      <c r="J121" s="225"/>
      <c r="K121" s="225"/>
      <c r="L121" s="225"/>
      <c r="M121" s="225"/>
      <c r="N121" s="225"/>
      <c r="O121" s="225"/>
      <c r="Q121" s="93"/>
      <c r="R121" s="94"/>
      <c r="S121" s="93"/>
      <c r="T121" s="93"/>
      <c r="U121" s="93"/>
      <c r="V121" s="94"/>
    </row>
    <row r="122" spans="2:22" s="190" customFormat="1" x14ac:dyDescent="0.15">
      <c r="B122" s="93"/>
      <c r="C122" s="93"/>
      <c r="D122" s="93"/>
      <c r="E122" s="93"/>
      <c r="F122" s="93"/>
      <c r="G122" s="93"/>
      <c r="H122" s="225"/>
      <c r="I122" s="225"/>
      <c r="J122" s="225"/>
      <c r="K122" s="225"/>
      <c r="L122" s="225"/>
      <c r="M122" s="225"/>
      <c r="N122" s="225"/>
      <c r="O122" s="225"/>
      <c r="Q122" s="93"/>
      <c r="R122" s="94"/>
      <c r="S122" s="93"/>
      <c r="T122" s="93"/>
      <c r="U122" s="93"/>
      <c r="V122" s="94"/>
    </row>
    <row r="123" spans="2:22" s="190" customFormat="1" x14ac:dyDescent="0.15">
      <c r="B123" s="93"/>
      <c r="C123" s="93"/>
      <c r="D123" s="93"/>
      <c r="E123" s="93"/>
      <c r="F123" s="93"/>
      <c r="G123" s="93"/>
      <c r="H123" s="225"/>
      <c r="I123" s="225"/>
      <c r="J123" s="225"/>
      <c r="K123" s="225"/>
      <c r="L123" s="225"/>
      <c r="M123" s="225"/>
      <c r="N123" s="225"/>
      <c r="O123" s="225"/>
      <c r="Q123" s="93"/>
      <c r="R123" s="94"/>
      <c r="S123" s="93"/>
      <c r="T123" s="93"/>
      <c r="U123" s="93"/>
      <c r="V123" s="94"/>
    </row>
    <row r="124" spans="2:22" s="190" customFormat="1" x14ac:dyDescent="0.15">
      <c r="B124" s="93"/>
      <c r="C124" s="93"/>
      <c r="D124" s="93"/>
      <c r="E124" s="93"/>
      <c r="F124" s="93"/>
      <c r="G124" s="93"/>
      <c r="H124" s="225"/>
      <c r="I124" s="225"/>
      <c r="J124" s="225"/>
      <c r="K124" s="225"/>
      <c r="L124" s="225"/>
      <c r="M124" s="225"/>
      <c r="N124" s="225"/>
      <c r="O124" s="225"/>
      <c r="Q124" s="93"/>
      <c r="R124" s="94"/>
      <c r="S124" s="93"/>
      <c r="T124" s="93"/>
      <c r="U124" s="93"/>
      <c r="V124" s="94"/>
    </row>
    <row r="125" spans="2:22" s="190" customFormat="1" x14ac:dyDescent="0.15">
      <c r="B125" s="93"/>
      <c r="C125" s="93"/>
      <c r="D125" s="93"/>
      <c r="E125" s="93"/>
      <c r="F125" s="93"/>
      <c r="G125" s="93"/>
      <c r="H125" s="225"/>
      <c r="I125" s="225"/>
      <c r="J125" s="225"/>
      <c r="K125" s="225"/>
      <c r="L125" s="225"/>
      <c r="M125" s="225"/>
      <c r="N125" s="225"/>
      <c r="O125" s="225"/>
      <c r="Q125" s="93"/>
      <c r="R125" s="94"/>
      <c r="S125" s="93"/>
      <c r="T125" s="93"/>
      <c r="U125" s="93"/>
      <c r="V125" s="94"/>
    </row>
    <row r="126" spans="2:22" s="190" customFormat="1" x14ac:dyDescent="0.15">
      <c r="B126" s="93"/>
      <c r="C126" s="93"/>
      <c r="D126" s="93"/>
      <c r="E126" s="93"/>
      <c r="F126" s="93"/>
      <c r="G126" s="93"/>
      <c r="H126" s="225"/>
      <c r="I126" s="225"/>
      <c r="J126" s="225"/>
      <c r="K126" s="225"/>
      <c r="L126" s="225"/>
      <c r="M126" s="225"/>
      <c r="N126" s="225"/>
      <c r="O126" s="225"/>
      <c r="Q126" s="93"/>
      <c r="R126" s="94"/>
      <c r="S126" s="93"/>
      <c r="T126" s="93"/>
      <c r="U126" s="93"/>
      <c r="V126" s="94"/>
    </row>
    <row r="127" spans="2:22" s="190" customFormat="1" x14ac:dyDescent="0.15">
      <c r="B127" s="93"/>
      <c r="C127" s="93"/>
      <c r="D127" s="93"/>
      <c r="E127" s="93"/>
      <c r="F127" s="93"/>
      <c r="G127" s="93"/>
      <c r="H127" s="225"/>
      <c r="I127" s="225"/>
      <c r="J127" s="225"/>
      <c r="K127" s="225"/>
      <c r="L127" s="225"/>
      <c r="M127" s="225"/>
      <c r="N127" s="225"/>
      <c r="O127" s="225"/>
      <c r="Q127" s="93"/>
      <c r="R127" s="94"/>
      <c r="S127" s="93"/>
      <c r="T127" s="93"/>
      <c r="U127" s="93"/>
      <c r="V127" s="94"/>
    </row>
    <row r="128" spans="2:22" s="190" customFormat="1" x14ac:dyDescent="0.15">
      <c r="B128" s="93"/>
      <c r="C128" s="93"/>
      <c r="D128" s="93"/>
      <c r="E128" s="93"/>
      <c r="F128" s="93"/>
      <c r="G128" s="93"/>
      <c r="H128" s="225"/>
      <c r="I128" s="225"/>
      <c r="J128" s="225"/>
      <c r="K128" s="225"/>
      <c r="L128" s="225"/>
      <c r="M128" s="225"/>
      <c r="N128" s="225"/>
      <c r="O128" s="225"/>
      <c r="Q128" s="93"/>
      <c r="R128" s="94"/>
      <c r="S128" s="93"/>
      <c r="T128" s="93"/>
      <c r="U128" s="93"/>
      <c r="V128" s="94"/>
    </row>
    <row r="129" spans="2:22" s="190" customFormat="1" x14ac:dyDescent="0.15">
      <c r="B129" s="93"/>
      <c r="C129" s="93"/>
      <c r="D129" s="93"/>
      <c r="E129" s="93"/>
      <c r="F129" s="93"/>
      <c r="G129" s="93"/>
      <c r="H129" s="225"/>
      <c r="I129" s="225"/>
      <c r="J129" s="225"/>
      <c r="K129" s="225"/>
      <c r="L129" s="225"/>
      <c r="M129" s="225"/>
      <c r="N129" s="225"/>
      <c r="O129" s="225"/>
      <c r="Q129" s="93"/>
      <c r="R129" s="94"/>
      <c r="S129" s="93"/>
      <c r="T129" s="93"/>
      <c r="U129" s="93"/>
      <c r="V129" s="94"/>
    </row>
    <row r="130" spans="2:22" s="190" customFormat="1" x14ac:dyDescent="0.15">
      <c r="B130" s="93"/>
      <c r="C130" s="93"/>
      <c r="D130" s="93"/>
      <c r="E130" s="93"/>
      <c r="F130" s="93"/>
      <c r="G130" s="93"/>
      <c r="H130" s="225"/>
      <c r="I130" s="225"/>
      <c r="J130" s="225"/>
      <c r="K130" s="225"/>
      <c r="L130" s="225"/>
      <c r="M130" s="225"/>
      <c r="N130" s="225"/>
      <c r="O130" s="225"/>
      <c r="Q130" s="93"/>
      <c r="R130" s="94"/>
      <c r="S130" s="93"/>
      <c r="T130" s="93"/>
      <c r="U130" s="93"/>
      <c r="V130" s="94"/>
    </row>
    <row r="131" spans="2:22" s="190" customFormat="1" x14ac:dyDescent="0.15">
      <c r="B131" s="93"/>
      <c r="C131" s="93"/>
      <c r="D131" s="93"/>
      <c r="E131" s="93"/>
      <c r="F131" s="93"/>
      <c r="G131" s="93"/>
      <c r="H131" s="225"/>
      <c r="I131" s="225"/>
      <c r="J131" s="225"/>
      <c r="K131" s="225"/>
      <c r="L131" s="225"/>
      <c r="M131" s="225"/>
      <c r="N131" s="225"/>
      <c r="O131" s="225"/>
      <c r="Q131" s="93"/>
      <c r="R131" s="94"/>
      <c r="S131" s="93"/>
      <c r="T131" s="93"/>
      <c r="U131" s="93"/>
      <c r="V131" s="94"/>
    </row>
    <row r="132" spans="2:22" s="190" customFormat="1" x14ac:dyDescent="0.15">
      <c r="B132" s="93"/>
      <c r="C132" s="93"/>
      <c r="D132" s="93"/>
      <c r="E132" s="93"/>
      <c r="F132" s="93"/>
      <c r="G132" s="93"/>
      <c r="H132" s="225"/>
      <c r="I132" s="225"/>
      <c r="J132" s="225"/>
      <c r="K132" s="225"/>
      <c r="L132" s="225"/>
      <c r="M132" s="225"/>
      <c r="N132" s="225"/>
      <c r="O132" s="225"/>
      <c r="Q132" s="93"/>
      <c r="R132" s="94"/>
      <c r="S132" s="93"/>
      <c r="T132" s="93"/>
      <c r="U132" s="93"/>
      <c r="V132" s="94"/>
    </row>
    <row r="133" spans="2:22" s="190" customFormat="1" x14ac:dyDescent="0.15">
      <c r="B133" s="93"/>
      <c r="C133" s="93"/>
      <c r="D133" s="93"/>
      <c r="E133" s="93"/>
      <c r="F133" s="93"/>
      <c r="G133" s="93"/>
      <c r="H133" s="225"/>
      <c r="I133" s="225"/>
      <c r="J133" s="225"/>
      <c r="K133" s="225"/>
      <c r="L133" s="225"/>
      <c r="M133" s="225"/>
      <c r="N133" s="225"/>
      <c r="O133" s="225"/>
      <c r="Q133" s="93"/>
      <c r="R133" s="94"/>
      <c r="S133" s="93"/>
      <c r="T133" s="93"/>
      <c r="U133" s="93"/>
      <c r="V133" s="94"/>
    </row>
    <row r="134" spans="2:22" s="190" customFormat="1" x14ac:dyDescent="0.15">
      <c r="B134" s="93"/>
      <c r="C134" s="93"/>
      <c r="D134" s="93"/>
      <c r="E134" s="93"/>
      <c r="F134" s="93"/>
      <c r="G134" s="93"/>
      <c r="H134" s="225"/>
      <c r="I134" s="225"/>
      <c r="J134" s="225"/>
      <c r="K134" s="225"/>
      <c r="L134" s="225"/>
      <c r="M134" s="225"/>
      <c r="N134" s="225"/>
      <c r="O134" s="225"/>
      <c r="Q134" s="93"/>
      <c r="R134" s="94"/>
      <c r="S134" s="93"/>
      <c r="T134" s="93"/>
      <c r="U134" s="93"/>
      <c r="V134" s="94"/>
    </row>
    <row r="135" spans="2:22" s="190" customFormat="1" x14ac:dyDescent="0.15">
      <c r="B135" s="93"/>
      <c r="C135" s="93"/>
      <c r="D135" s="93"/>
      <c r="E135" s="93"/>
      <c r="F135" s="93"/>
      <c r="G135" s="93"/>
      <c r="H135" s="225"/>
      <c r="I135" s="225"/>
      <c r="J135" s="225"/>
      <c r="K135" s="225"/>
      <c r="L135" s="225"/>
      <c r="M135" s="225"/>
      <c r="N135" s="225"/>
      <c r="O135" s="225"/>
      <c r="Q135" s="93"/>
      <c r="R135" s="94"/>
      <c r="S135" s="93"/>
      <c r="T135" s="93"/>
      <c r="U135" s="93"/>
      <c r="V135" s="94"/>
    </row>
    <row r="136" spans="2:22" s="190" customFormat="1" x14ac:dyDescent="0.15">
      <c r="B136" s="93"/>
      <c r="C136" s="93"/>
      <c r="D136" s="93"/>
      <c r="E136" s="93"/>
      <c r="F136" s="93"/>
      <c r="G136" s="93"/>
      <c r="H136" s="225"/>
      <c r="I136" s="225"/>
      <c r="J136" s="225"/>
      <c r="K136" s="225"/>
      <c r="L136" s="225"/>
      <c r="M136" s="225"/>
      <c r="N136" s="225"/>
      <c r="O136" s="225"/>
      <c r="Q136" s="93"/>
      <c r="R136" s="94"/>
      <c r="S136" s="93"/>
      <c r="T136" s="93"/>
      <c r="U136" s="93"/>
      <c r="V136" s="94"/>
    </row>
    <row r="137" spans="2:22" s="190" customFormat="1" x14ac:dyDescent="0.15">
      <c r="B137" s="93"/>
      <c r="C137" s="93"/>
      <c r="D137" s="93"/>
      <c r="E137" s="93"/>
      <c r="F137" s="93"/>
      <c r="G137" s="93"/>
      <c r="H137" s="225"/>
      <c r="I137" s="225"/>
      <c r="J137" s="225"/>
      <c r="K137" s="225"/>
      <c r="L137" s="225"/>
      <c r="M137" s="225"/>
      <c r="N137" s="225"/>
      <c r="O137" s="225"/>
      <c r="Q137" s="93"/>
      <c r="R137" s="94"/>
      <c r="S137" s="93"/>
      <c r="T137" s="93"/>
      <c r="U137" s="93"/>
      <c r="V137" s="94"/>
    </row>
    <row r="138" spans="2:22" s="190" customFormat="1" x14ac:dyDescent="0.15">
      <c r="B138" s="93"/>
      <c r="C138" s="93"/>
      <c r="D138" s="93"/>
      <c r="E138" s="93"/>
      <c r="F138" s="93"/>
      <c r="G138" s="93"/>
      <c r="H138" s="225"/>
      <c r="I138" s="225"/>
      <c r="J138" s="225"/>
      <c r="K138" s="225"/>
      <c r="L138" s="225"/>
      <c r="M138" s="225"/>
      <c r="N138" s="225"/>
      <c r="O138" s="225"/>
      <c r="Q138" s="93"/>
      <c r="R138" s="94"/>
      <c r="S138" s="93"/>
      <c r="T138" s="93"/>
      <c r="U138" s="93"/>
      <c r="V138" s="94"/>
    </row>
    <row r="139" spans="2:22" s="190" customFormat="1" x14ac:dyDescent="0.15">
      <c r="B139" s="93"/>
      <c r="C139" s="93"/>
      <c r="D139" s="93"/>
      <c r="E139" s="93"/>
      <c r="F139" s="93"/>
      <c r="G139" s="93"/>
      <c r="H139" s="225"/>
      <c r="I139" s="225"/>
      <c r="J139" s="225"/>
      <c r="K139" s="225"/>
      <c r="L139" s="225"/>
      <c r="M139" s="225"/>
      <c r="N139" s="225"/>
      <c r="O139" s="225"/>
      <c r="Q139" s="93"/>
      <c r="R139" s="94"/>
      <c r="S139" s="93"/>
      <c r="T139" s="93"/>
      <c r="U139" s="93"/>
      <c r="V139" s="94"/>
    </row>
    <row r="140" spans="2:22" s="190" customFormat="1" x14ac:dyDescent="0.15">
      <c r="B140" s="93"/>
      <c r="C140" s="93"/>
      <c r="D140" s="93"/>
      <c r="E140" s="93"/>
      <c r="F140" s="93"/>
      <c r="G140" s="93"/>
      <c r="H140" s="225"/>
      <c r="I140" s="225"/>
      <c r="J140" s="225"/>
      <c r="K140" s="225"/>
      <c r="L140" s="225"/>
      <c r="M140" s="225"/>
      <c r="N140" s="225"/>
      <c r="O140" s="225"/>
      <c r="Q140" s="93"/>
      <c r="R140" s="94"/>
      <c r="S140" s="93"/>
      <c r="T140" s="93"/>
      <c r="U140" s="93"/>
      <c r="V140" s="94"/>
    </row>
    <row r="141" spans="2:22" s="190" customFormat="1" x14ac:dyDescent="0.15">
      <c r="B141" s="93"/>
      <c r="C141" s="93"/>
      <c r="D141" s="93"/>
      <c r="E141" s="93"/>
      <c r="F141" s="93"/>
      <c r="G141" s="93"/>
      <c r="H141" s="225"/>
      <c r="I141" s="225"/>
      <c r="J141" s="225"/>
      <c r="K141" s="225"/>
      <c r="L141" s="225"/>
      <c r="M141" s="225"/>
      <c r="N141" s="225"/>
      <c r="O141" s="225"/>
      <c r="Q141" s="93"/>
      <c r="R141" s="94"/>
      <c r="S141" s="93"/>
      <c r="T141" s="93"/>
      <c r="U141" s="93"/>
      <c r="V141" s="94"/>
    </row>
    <row r="142" spans="2:22" s="190" customFormat="1" x14ac:dyDescent="0.15">
      <c r="B142" s="93"/>
      <c r="C142" s="93"/>
      <c r="D142" s="93"/>
      <c r="E142" s="93"/>
      <c r="F142" s="93"/>
      <c r="G142" s="93"/>
      <c r="H142" s="225"/>
      <c r="I142" s="225"/>
      <c r="J142" s="225"/>
      <c r="K142" s="225"/>
      <c r="L142" s="225"/>
      <c r="M142" s="225"/>
      <c r="N142" s="225"/>
      <c r="O142" s="225"/>
      <c r="Q142" s="93"/>
      <c r="R142" s="94"/>
      <c r="S142" s="93"/>
      <c r="T142" s="93"/>
      <c r="U142" s="93"/>
      <c r="V142" s="94"/>
    </row>
    <row r="143" spans="2:22" s="190" customFormat="1" x14ac:dyDescent="0.15">
      <c r="B143" s="93"/>
      <c r="C143" s="93"/>
      <c r="D143" s="93"/>
      <c r="E143" s="93"/>
      <c r="F143" s="93"/>
      <c r="G143" s="93"/>
      <c r="H143" s="225"/>
      <c r="I143" s="225"/>
      <c r="J143" s="225"/>
      <c r="K143" s="225"/>
      <c r="L143" s="225"/>
      <c r="M143" s="225"/>
      <c r="N143" s="225"/>
      <c r="O143" s="225"/>
      <c r="Q143" s="93"/>
      <c r="R143" s="94"/>
      <c r="S143" s="93"/>
      <c r="T143" s="93"/>
      <c r="U143" s="93"/>
      <c r="V143" s="94"/>
    </row>
    <row r="144" spans="2:22" s="190" customFormat="1" x14ac:dyDescent="0.15">
      <c r="B144" s="93"/>
      <c r="C144" s="93"/>
      <c r="D144" s="93"/>
      <c r="E144" s="93"/>
      <c r="F144" s="93"/>
      <c r="G144" s="93"/>
      <c r="H144" s="225"/>
      <c r="I144" s="225"/>
      <c r="J144" s="225"/>
      <c r="K144" s="225"/>
      <c r="L144" s="225"/>
      <c r="M144" s="225"/>
      <c r="N144" s="225"/>
      <c r="O144" s="93"/>
      <c r="Q144" s="93"/>
      <c r="R144" s="94"/>
      <c r="S144" s="93"/>
      <c r="T144" s="93"/>
      <c r="U144" s="93"/>
      <c r="V144" s="94"/>
    </row>
    <row r="145" spans="2:22" s="190" customFormat="1" x14ac:dyDescent="0.15">
      <c r="B145" s="93"/>
      <c r="C145" s="93"/>
      <c r="D145" s="93"/>
      <c r="E145" s="93"/>
      <c r="F145" s="93"/>
      <c r="G145" s="93"/>
      <c r="H145" s="225"/>
      <c r="I145" s="225"/>
      <c r="J145" s="225"/>
      <c r="K145" s="225"/>
      <c r="L145" s="225"/>
      <c r="M145" s="225"/>
      <c r="N145" s="225"/>
      <c r="O145" s="93"/>
      <c r="Q145" s="93"/>
      <c r="R145" s="94"/>
      <c r="S145" s="93"/>
      <c r="T145" s="93"/>
      <c r="U145" s="93"/>
      <c r="V145" s="94"/>
    </row>
    <row r="146" spans="2:22" s="190" customFormat="1" x14ac:dyDescent="0.15">
      <c r="B146" s="93"/>
      <c r="C146" s="93"/>
      <c r="D146" s="93"/>
      <c r="E146" s="93"/>
      <c r="F146" s="93"/>
      <c r="G146" s="93"/>
      <c r="H146" s="225"/>
      <c r="I146" s="225"/>
      <c r="J146" s="225"/>
      <c r="K146" s="225"/>
      <c r="L146" s="225"/>
      <c r="M146" s="225"/>
      <c r="N146" s="225"/>
      <c r="O146" s="93"/>
      <c r="Q146" s="93"/>
      <c r="R146" s="94"/>
      <c r="S146" s="93"/>
      <c r="T146" s="93"/>
      <c r="U146" s="93"/>
      <c r="V146" s="94"/>
    </row>
    <row r="147" spans="2:22" s="190" customFormat="1" x14ac:dyDescent="0.15">
      <c r="B147" s="93"/>
      <c r="C147" s="93"/>
      <c r="D147" s="93"/>
      <c r="E147" s="93"/>
      <c r="F147" s="93"/>
      <c r="G147" s="93"/>
      <c r="H147" s="225"/>
      <c r="I147" s="225"/>
      <c r="J147" s="225"/>
      <c r="K147" s="225"/>
      <c r="L147" s="225"/>
      <c r="M147" s="225"/>
      <c r="N147" s="225"/>
      <c r="O147" s="93"/>
      <c r="Q147" s="93"/>
      <c r="R147" s="94"/>
      <c r="S147" s="93"/>
      <c r="T147" s="93"/>
      <c r="U147" s="93"/>
      <c r="V147" s="94"/>
    </row>
    <row r="148" spans="2:22" s="190" customFormat="1" x14ac:dyDescent="0.15">
      <c r="B148" s="93"/>
      <c r="C148" s="93"/>
      <c r="D148" s="93"/>
      <c r="E148" s="93"/>
      <c r="F148" s="93"/>
      <c r="G148" s="93"/>
      <c r="H148" s="225"/>
      <c r="I148" s="225"/>
      <c r="J148" s="225"/>
      <c r="K148" s="225"/>
      <c r="L148" s="225"/>
      <c r="M148" s="225"/>
      <c r="N148" s="225"/>
      <c r="O148" s="93"/>
      <c r="Q148" s="93"/>
      <c r="R148" s="94"/>
      <c r="S148" s="93"/>
      <c r="T148" s="93"/>
      <c r="U148" s="93"/>
      <c r="V148" s="94"/>
    </row>
    <row r="149" spans="2:22" s="190" customFormat="1" x14ac:dyDescent="0.15">
      <c r="B149" s="93"/>
      <c r="C149" s="93"/>
      <c r="D149" s="93"/>
      <c r="E149" s="93"/>
      <c r="F149" s="93"/>
      <c r="G149" s="93"/>
      <c r="H149" s="225"/>
      <c r="I149" s="225"/>
      <c r="J149" s="225"/>
      <c r="K149" s="225"/>
      <c r="L149" s="225"/>
      <c r="M149" s="225"/>
      <c r="N149" s="225"/>
      <c r="O149" s="93"/>
      <c r="Q149" s="93"/>
      <c r="R149" s="94"/>
      <c r="S149" s="93"/>
      <c r="T149" s="93"/>
      <c r="U149" s="93"/>
      <c r="V149" s="94"/>
    </row>
    <row r="150" spans="2:22" x14ac:dyDescent="0.15">
      <c r="I150" s="225"/>
      <c r="J150" s="225"/>
      <c r="K150" s="225"/>
      <c r="L150" s="225"/>
      <c r="M150" s="225"/>
      <c r="N150" s="225"/>
    </row>
    <row r="151" spans="2:22" x14ac:dyDescent="0.15">
      <c r="I151" s="225"/>
      <c r="J151" s="225"/>
      <c r="K151" s="225"/>
      <c r="L151" s="225"/>
      <c r="M151" s="225"/>
      <c r="N151" s="225"/>
    </row>
    <row r="152" spans="2:22" x14ac:dyDescent="0.15">
      <c r="I152" s="225"/>
      <c r="J152" s="225"/>
      <c r="K152" s="225"/>
      <c r="L152" s="225"/>
      <c r="M152" s="225"/>
      <c r="N152" s="225"/>
    </row>
    <row r="153" spans="2:22" x14ac:dyDescent="0.15">
      <c r="I153" s="225"/>
      <c r="J153" s="225"/>
      <c r="K153" s="225"/>
      <c r="L153" s="225"/>
      <c r="M153" s="225"/>
      <c r="N153" s="225"/>
    </row>
    <row r="154" spans="2:22" x14ac:dyDescent="0.15">
      <c r="I154" s="225"/>
      <c r="J154" s="225"/>
      <c r="K154" s="225"/>
      <c r="L154" s="225"/>
      <c r="M154" s="225"/>
      <c r="N154" s="225"/>
    </row>
    <row r="155" spans="2:22" x14ac:dyDescent="0.15">
      <c r="I155" s="225"/>
      <c r="J155" s="225"/>
      <c r="K155" s="225"/>
      <c r="L155" s="225"/>
      <c r="M155" s="225"/>
      <c r="N155" s="225"/>
    </row>
    <row r="156" spans="2:22" x14ac:dyDescent="0.15">
      <c r="I156" s="225"/>
      <c r="J156" s="225"/>
      <c r="K156" s="225"/>
      <c r="L156" s="225"/>
      <c r="M156" s="225"/>
      <c r="N156" s="225"/>
    </row>
    <row r="157" spans="2:22" x14ac:dyDescent="0.15">
      <c r="I157" s="225"/>
      <c r="J157" s="225"/>
      <c r="K157" s="225"/>
      <c r="L157" s="225"/>
      <c r="M157" s="225"/>
      <c r="N157" s="225"/>
    </row>
    <row r="158" spans="2:22" x14ac:dyDescent="0.15">
      <c r="I158" s="225"/>
      <c r="J158" s="225"/>
      <c r="K158" s="225"/>
      <c r="L158" s="225"/>
      <c r="M158" s="225"/>
      <c r="N158" s="225"/>
    </row>
    <row r="159" spans="2:22" x14ac:dyDescent="0.15">
      <c r="I159" s="225"/>
      <c r="J159" s="225"/>
      <c r="K159" s="225"/>
      <c r="L159" s="225"/>
      <c r="M159" s="225"/>
      <c r="N159" s="225"/>
    </row>
    <row r="160" spans="2:22" x14ac:dyDescent="0.15">
      <c r="J160" s="225"/>
      <c r="K160" s="225"/>
      <c r="L160" s="225"/>
      <c r="M160" s="225"/>
      <c r="N160" s="225"/>
    </row>
    <row r="161" spans="10:14" x14ac:dyDescent="0.15">
      <c r="J161" s="225"/>
      <c r="K161" s="225"/>
      <c r="L161" s="225"/>
      <c r="M161" s="225"/>
      <c r="N161" s="225"/>
    </row>
    <row r="177" spans="2:22" s="190" customFormat="1" x14ac:dyDescent="0.15">
      <c r="B177" s="93"/>
      <c r="C177" s="93"/>
      <c r="D177" s="93"/>
      <c r="E177" s="93"/>
      <c r="F177" s="93"/>
      <c r="G177" s="93"/>
      <c r="H177" s="225"/>
      <c r="I177" s="93"/>
      <c r="J177" s="93"/>
      <c r="K177" s="93"/>
      <c r="L177" s="93"/>
      <c r="M177" s="93"/>
      <c r="N177" s="93"/>
      <c r="O177" s="225"/>
      <c r="Q177" s="93"/>
      <c r="R177" s="94"/>
      <c r="S177" s="93"/>
      <c r="T177" s="93"/>
      <c r="U177" s="93"/>
      <c r="V177" s="94"/>
    </row>
    <row r="178" spans="2:22" s="190" customFormat="1" x14ac:dyDescent="0.15">
      <c r="B178" s="93"/>
      <c r="C178" s="93"/>
      <c r="D178" s="93"/>
      <c r="E178" s="93"/>
      <c r="F178" s="93"/>
      <c r="G178" s="93"/>
      <c r="H178" s="225"/>
      <c r="I178" s="93"/>
      <c r="J178" s="93"/>
      <c r="K178" s="93"/>
      <c r="L178" s="93"/>
      <c r="M178" s="93"/>
      <c r="N178" s="93"/>
      <c r="O178" s="225"/>
      <c r="Q178" s="93"/>
      <c r="R178" s="94"/>
      <c r="S178" s="93"/>
      <c r="T178" s="93"/>
      <c r="U178" s="93"/>
      <c r="V178" s="94"/>
    </row>
    <row r="179" spans="2:22" s="190" customFormat="1" x14ac:dyDescent="0.15">
      <c r="B179" s="93"/>
      <c r="C179" s="93"/>
      <c r="D179" s="93"/>
      <c r="E179" s="93"/>
      <c r="F179" s="93"/>
      <c r="G179" s="93"/>
      <c r="H179" s="225"/>
      <c r="I179" s="93"/>
      <c r="J179" s="93"/>
      <c r="K179" s="93"/>
      <c r="L179" s="93"/>
      <c r="M179" s="93"/>
      <c r="N179" s="93"/>
      <c r="O179" s="225"/>
      <c r="Q179" s="93"/>
      <c r="R179" s="94"/>
      <c r="S179" s="93"/>
      <c r="T179" s="93"/>
      <c r="U179" s="93"/>
      <c r="V179" s="94"/>
    </row>
    <row r="180" spans="2:22" s="190" customFormat="1" x14ac:dyDescent="0.15">
      <c r="B180" s="93"/>
      <c r="C180" s="93"/>
      <c r="D180" s="93"/>
      <c r="E180" s="93"/>
      <c r="F180" s="93"/>
      <c r="G180" s="93"/>
      <c r="H180" s="225"/>
      <c r="I180" s="93"/>
      <c r="J180" s="93"/>
      <c r="K180" s="93"/>
      <c r="L180" s="93"/>
      <c r="M180" s="93"/>
      <c r="N180" s="93"/>
      <c r="O180" s="225"/>
      <c r="Q180" s="93"/>
      <c r="R180" s="94"/>
      <c r="S180" s="93"/>
      <c r="T180" s="93"/>
      <c r="U180" s="93"/>
      <c r="V180" s="94"/>
    </row>
    <row r="181" spans="2:22" s="190" customFormat="1" x14ac:dyDescent="0.15">
      <c r="B181" s="93"/>
      <c r="C181" s="93"/>
      <c r="D181" s="93"/>
      <c r="E181" s="93"/>
      <c r="F181" s="93"/>
      <c r="G181" s="93"/>
      <c r="H181" s="225"/>
      <c r="I181" s="93"/>
      <c r="J181" s="93"/>
      <c r="K181" s="93"/>
      <c r="L181" s="93"/>
      <c r="M181" s="93"/>
      <c r="N181" s="93"/>
      <c r="O181" s="225"/>
      <c r="Q181" s="93"/>
      <c r="R181" s="94"/>
      <c r="S181" s="93"/>
      <c r="T181" s="93"/>
      <c r="U181" s="93"/>
      <c r="V181" s="94"/>
    </row>
    <row r="182" spans="2:22" s="190" customFormat="1" x14ac:dyDescent="0.15">
      <c r="B182" s="93"/>
      <c r="C182" s="93"/>
      <c r="D182" s="93"/>
      <c r="E182" s="93"/>
      <c r="F182" s="93"/>
      <c r="G182" s="93"/>
      <c r="H182" s="225"/>
      <c r="I182" s="93"/>
      <c r="J182" s="93"/>
      <c r="K182" s="93"/>
      <c r="L182" s="93"/>
      <c r="M182" s="93"/>
      <c r="N182" s="93"/>
      <c r="O182" s="225"/>
      <c r="Q182" s="93"/>
      <c r="R182" s="94"/>
      <c r="S182" s="93"/>
      <c r="T182" s="93"/>
      <c r="U182" s="93"/>
      <c r="V182" s="94"/>
    </row>
    <row r="183" spans="2:22" s="190" customFormat="1" x14ac:dyDescent="0.15">
      <c r="B183" s="93"/>
      <c r="C183" s="93"/>
      <c r="D183" s="93"/>
      <c r="E183" s="93"/>
      <c r="F183" s="93"/>
      <c r="G183" s="93"/>
      <c r="H183" s="225"/>
      <c r="I183" s="93"/>
      <c r="J183" s="93"/>
      <c r="K183" s="93"/>
      <c r="L183" s="93"/>
      <c r="M183" s="93"/>
      <c r="N183" s="93"/>
      <c r="O183" s="225"/>
      <c r="Q183" s="93"/>
      <c r="R183" s="94"/>
      <c r="S183" s="93"/>
      <c r="T183" s="93"/>
      <c r="U183" s="93"/>
      <c r="V183" s="94"/>
    </row>
    <row r="184" spans="2:22" s="190" customFormat="1" x14ac:dyDescent="0.15">
      <c r="B184" s="93"/>
      <c r="C184" s="93"/>
      <c r="D184" s="93"/>
      <c r="E184" s="93"/>
      <c r="F184" s="93"/>
      <c r="G184" s="93"/>
      <c r="H184" s="225"/>
      <c r="I184" s="93"/>
      <c r="J184" s="93"/>
      <c r="K184" s="93"/>
      <c r="L184" s="93"/>
      <c r="M184" s="93"/>
      <c r="N184" s="93"/>
      <c r="O184" s="225"/>
      <c r="Q184" s="93"/>
      <c r="R184" s="94"/>
      <c r="S184" s="93"/>
      <c r="T184" s="93"/>
      <c r="U184" s="93"/>
      <c r="V184" s="94"/>
    </row>
    <row r="185" spans="2:22" s="190" customFormat="1" x14ac:dyDescent="0.15">
      <c r="B185" s="93"/>
      <c r="C185" s="93"/>
      <c r="D185" s="93"/>
      <c r="E185" s="93"/>
      <c r="F185" s="93"/>
      <c r="G185" s="93"/>
      <c r="H185" s="225"/>
      <c r="I185" s="93"/>
      <c r="J185" s="93"/>
      <c r="K185" s="93"/>
      <c r="L185" s="93"/>
      <c r="M185" s="93"/>
      <c r="N185" s="93"/>
      <c r="O185" s="225"/>
      <c r="Q185" s="93"/>
      <c r="R185" s="94"/>
      <c r="S185" s="93"/>
      <c r="T185" s="93"/>
      <c r="U185" s="93"/>
      <c r="V185" s="94"/>
    </row>
    <row r="186" spans="2:22" s="190" customFormat="1" x14ac:dyDescent="0.15">
      <c r="B186" s="93"/>
      <c r="C186" s="93"/>
      <c r="D186" s="93"/>
      <c r="E186" s="93"/>
      <c r="F186" s="93"/>
      <c r="G186" s="93"/>
      <c r="H186" s="225"/>
      <c r="I186" s="93"/>
      <c r="J186" s="93"/>
      <c r="K186" s="93"/>
      <c r="L186" s="93"/>
      <c r="M186" s="93"/>
      <c r="N186" s="93"/>
      <c r="O186" s="225"/>
      <c r="Q186" s="93"/>
      <c r="R186" s="94"/>
      <c r="S186" s="93"/>
      <c r="T186" s="93"/>
      <c r="U186" s="93"/>
      <c r="V186" s="94"/>
    </row>
    <row r="187" spans="2:22" s="190" customFormat="1" x14ac:dyDescent="0.15">
      <c r="B187" s="93"/>
      <c r="C187" s="93"/>
      <c r="D187" s="93"/>
      <c r="E187" s="93"/>
      <c r="F187" s="93"/>
      <c r="G187" s="93"/>
      <c r="H187" s="225"/>
      <c r="I187" s="93"/>
      <c r="J187" s="93"/>
      <c r="K187" s="93"/>
      <c r="L187" s="93"/>
      <c r="M187" s="93"/>
      <c r="N187" s="93"/>
      <c r="O187" s="225"/>
      <c r="Q187" s="93"/>
      <c r="R187" s="94"/>
      <c r="S187" s="93"/>
      <c r="T187" s="93"/>
      <c r="U187" s="93"/>
      <c r="V187" s="94"/>
    </row>
    <row r="188" spans="2:22" s="190" customFormat="1" x14ac:dyDescent="0.15">
      <c r="B188" s="93"/>
      <c r="C188" s="93"/>
      <c r="D188" s="93"/>
      <c r="E188" s="93"/>
      <c r="F188" s="93"/>
      <c r="G188" s="93"/>
      <c r="H188" s="225"/>
      <c r="I188" s="93"/>
      <c r="J188" s="93"/>
      <c r="K188" s="93"/>
      <c r="L188" s="93"/>
      <c r="M188" s="93"/>
      <c r="N188" s="93"/>
      <c r="O188" s="225"/>
      <c r="Q188" s="93"/>
      <c r="R188" s="94"/>
      <c r="S188" s="93"/>
      <c r="T188" s="93"/>
      <c r="U188" s="93"/>
      <c r="V188" s="94"/>
    </row>
    <row r="189" spans="2:22" s="190" customFormat="1" x14ac:dyDescent="0.15">
      <c r="B189" s="93"/>
      <c r="C189" s="93"/>
      <c r="D189" s="93"/>
      <c r="E189" s="93"/>
      <c r="F189" s="93"/>
      <c r="G189" s="93"/>
      <c r="H189" s="225"/>
      <c r="I189" s="93"/>
      <c r="J189" s="93"/>
      <c r="K189" s="93"/>
      <c r="L189" s="93"/>
      <c r="M189" s="93"/>
      <c r="N189" s="93"/>
      <c r="O189" s="225"/>
      <c r="Q189" s="93"/>
      <c r="R189" s="94"/>
      <c r="S189" s="93"/>
      <c r="T189" s="93"/>
      <c r="U189" s="93"/>
      <c r="V189" s="94"/>
    </row>
    <row r="190" spans="2:22" s="190" customFormat="1" x14ac:dyDescent="0.15">
      <c r="B190" s="93"/>
      <c r="C190" s="93"/>
      <c r="D190" s="93"/>
      <c r="E190" s="93"/>
      <c r="F190" s="93"/>
      <c r="G190" s="93"/>
      <c r="H190" s="225"/>
      <c r="I190" s="93"/>
      <c r="J190" s="93"/>
      <c r="K190" s="93"/>
      <c r="L190" s="93"/>
      <c r="M190" s="93"/>
      <c r="N190" s="93"/>
      <c r="O190" s="225"/>
      <c r="Q190" s="93"/>
      <c r="R190" s="94"/>
      <c r="S190" s="93"/>
      <c r="T190" s="93"/>
      <c r="U190" s="93"/>
      <c r="V190" s="94"/>
    </row>
    <row r="191" spans="2:22" s="190" customFormat="1" x14ac:dyDescent="0.15">
      <c r="B191" s="93"/>
      <c r="C191" s="93"/>
      <c r="D191" s="93"/>
      <c r="E191" s="93"/>
      <c r="F191" s="93"/>
      <c r="G191" s="93"/>
      <c r="H191" s="225"/>
      <c r="I191" s="93"/>
      <c r="J191" s="93"/>
      <c r="K191" s="93"/>
      <c r="L191" s="93"/>
      <c r="M191" s="93"/>
      <c r="N191" s="93"/>
      <c r="O191" s="225"/>
      <c r="Q191" s="93"/>
      <c r="R191" s="94"/>
      <c r="S191" s="93"/>
      <c r="T191" s="93"/>
      <c r="U191" s="93"/>
      <c r="V191" s="94"/>
    </row>
    <row r="192" spans="2:22" s="190" customFormat="1" x14ac:dyDescent="0.15">
      <c r="B192" s="93"/>
      <c r="C192" s="93"/>
      <c r="D192" s="93"/>
      <c r="E192" s="93"/>
      <c r="F192" s="93"/>
      <c r="G192" s="93"/>
      <c r="H192" s="225"/>
      <c r="I192" s="93"/>
      <c r="J192" s="93"/>
      <c r="K192" s="93"/>
      <c r="L192" s="93"/>
      <c r="M192" s="93"/>
      <c r="N192" s="93"/>
      <c r="O192" s="225"/>
      <c r="Q192" s="93"/>
      <c r="R192" s="94"/>
      <c r="S192" s="93"/>
      <c r="T192" s="93"/>
      <c r="U192" s="93"/>
      <c r="V192" s="94"/>
    </row>
    <row r="193" spans="2:22" s="190" customFormat="1" x14ac:dyDescent="0.15">
      <c r="B193" s="93"/>
      <c r="C193" s="93"/>
      <c r="D193" s="93"/>
      <c r="E193" s="93"/>
      <c r="F193" s="93"/>
      <c r="G193" s="93"/>
      <c r="H193" s="225"/>
      <c r="I193" s="93"/>
      <c r="J193" s="93"/>
      <c r="K193" s="93"/>
      <c r="L193" s="93"/>
      <c r="M193" s="93"/>
      <c r="N193" s="93"/>
      <c r="O193" s="225"/>
      <c r="Q193" s="93"/>
      <c r="R193" s="94"/>
      <c r="S193" s="93"/>
      <c r="T193" s="93"/>
      <c r="U193" s="93"/>
      <c r="V193" s="94"/>
    </row>
    <row r="194" spans="2:22" s="190" customFormat="1" x14ac:dyDescent="0.15">
      <c r="B194" s="93"/>
      <c r="C194" s="93"/>
      <c r="D194" s="93"/>
      <c r="E194" s="93"/>
      <c r="F194" s="93"/>
      <c r="G194" s="93"/>
      <c r="H194" s="225"/>
      <c r="I194" s="93"/>
      <c r="J194" s="93"/>
      <c r="K194" s="93"/>
      <c r="L194" s="93"/>
      <c r="M194" s="93"/>
      <c r="N194" s="93"/>
      <c r="O194" s="225"/>
      <c r="Q194" s="93"/>
      <c r="R194" s="94"/>
      <c r="S194" s="93"/>
      <c r="T194" s="93"/>
      <c r="U194" s="93"/>
      <c r="V194" s="94"/>
    </row>
    <row r="195" spans="2:22" s="190" customFormat="1" x14ac:dyDescent="0.15">
      <c r="B195" s="93"/>
      <c r="C195" s="93"/>
      <c r="D195" s="93"/>
      <c r="E195" s="93"/>
      <c r="F195" s="93"/>
      <c r="G195" s="93"/>
      <c r="H195" s="225"/>
      <c r="I195" s="93"/>
      <c r="J195" s="93"/>
      <c r="K195" s="93"/>
      <c r="L195" s="93"/>
      <c r="M195" s="93"/>
      <c r="N195" s="93"/>
      <c r="O195" s="225"/>
      <c r="Q195" s="93"/>
      <c r="R195" s="94"/>
      <c r="S195" s="93"/>
      <c r="T195" s="93"/>
      <c r="U195" s="93"/>
      <c r="V195" s="94"/>
    </row>
    <row r="196" spans="2:22" s="190" customFormat="1" x14ac:dyDescent="0.15">
      <c r="B196" s="93"/>
      <c r="C196" s="93"/>
      <c r="D196" s="93"/>
      <c r="E196" s="93"/>
      <c r="F196" s="93"/>
      <c r="G196" s="93"/>
      <c r="H196" s="225"/>
      <c r="I196" s="93"/>
      <c r="J196" s="93"/>
      <c r="K196" s="93"/>
      <c r="L196" s="93"/>
      <c r="M196" s="93"/>
      <c r="N196" s="93"/>
      <c r="O196" s="225"/>
      <c r="Q196" s="93"/>
      <c r="R196" s="94"/>
      <c r="S196" s="93"/>
      <c r="T196" s="93"/>
      <c r="U196" s="93"/>
      <c r="V196" s="94"/>
    </row>
  </sheetData>
  <mergeCells count="72">
    <mergeCell ref="B5:B7"/>
    <mergeCell ref="T5:U5"/>
    <mergeCell ref="I6:I11"/>
    <mergeCell ref="T6:U6"/>
    <mergeCell ref="T7:U7"/>
    <mergeCell ref="I4:I5"/>
    <mergeCell ref="J4:J5"/>
    <mergeCell ref="M4:M5"/>
    <mergeCell ref="N4:N5"/>
    <mergeCell ref="T4:U4"/>
    <mergeCell ref="B8:B12"/>
    <mergeCell ref="T8:U8"/>
    <mergeCell ref="T9:U9"/>
    <mergeCell ref="T11:U11"/>
    <mergeCell ref="I12:I16"/>
    <mergeCell ref="T12:U12"/>
    <mergeCell ref="B13:B17"/>
    <mergeCell ref="T13:U13"/>
    <mergeCell ref="T14:U14"/>
    <mergeCell ref="T15:U15"/>
    <mergeCell ref="T16:U16"/>
    <mergeCell ref="I17:I20"/>
    <mergeCell ref="T17:U17"/>
    <mergeCell ref="B18:B21"/>
    <mergeCell ref="T18:U18"/>
    <mergeCell ref="T19:U19"/>
    <mergeCell ref="T20:U20"/>
    <mergeCell ref="I21:I24"/>
    <mergeCell ref="T21:U21"/>
    <mergeCell ref="B22:B25"/>
    <mergeCell ref="I25:I28"/>
    <mergeCell ref="B29:B42"/>
    <mergeCell ref="I29:I33"/>
    <mergeCell ref="K38:L38"/>
    <mergeCell ref="I39:I46"/>
    <mergeCell ref="K39:L39"/>
    <mergeCell ref="K40:L40"/>
    <mergeCell ref="K41:L41"/>
    <mergeCell ref="B43:B53"/>
    <mergeCell ref="K43:L43"/>
    <mergeCell ref="K44:L44"/>
    <mergeCell ref="K45:L45"/>
    <mergeCell ref="K46:L46"/>
    <mergeCell ref="I47:I50"/>
    <mergeCell ref="K47:L47"/>
    <mergeCell ref="K50:L50"/>
    <mergeCell ref="I51:I54"/>
    <mergeCell ref="K51:L51"/>
    <mergeCell ref="K52:L52"/>
    <mergeCell ref="K62:L62"/>
    <mergeCell ref="P62:Q62"/>
    <mergeCell ref="Q41:R41"/>
    <mergeCell ref="K42:L42"/>
    <mergeCell ref="P42:P48"/>
    <mergeCell ref="P49:P61"/>
    <mergeCell ref="Q49:Q53"/>
    <mergeCell ref="T10:U10"/>
    <mergeCell ref="B54:B57"/>
    <mergeCell ref="K54:L54"/>
    <mergeCell ref="I55:I61"/>
    <mergeCell ref="K55:L55"/>
    <mergeCell ref="Q55:Q59"/>
    <mergeCell ref="K56:L56"/>
    <mergeCell ref="K57:L57"/>
    <mergeCell ref="B58:B62"/>
    <mergeCell ref="K58:L58"/>
    <mergeCell ref="K59:L59"/>
    <mergeCell ref="K48:L48"/>
    <mergeCell ref="K49:L49"/>
    <mergeCell ref="K53:L53"/>
    <mergeCell ref="K61:L61"/>
    <mergeCell ref="I62:J62"/>
  </mergeCells>
  <phoneticPr fontId="5"/>
  <pageMargins left="0.78740157480314965" right="0.78740157480314965" top="0.78740157480314965" bottom="0.78740157480314965" header="0.39370078740157483" footer="0.39370078740157483"/>
  <pageSetup paperSize="9" scale="57" orientation="landscape" horizontalDpi="4294967293" verticalDpi="300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0"/>
  <sheetViews>
    <sheetView zoomScale="75" zoomScaleNormal="75" zoomScaleSheetLayoutView="80" workbookViewId="0"/>
  </sheetViews>
  <sheetFormatPr defaultRowHeight="13.5" x14ac:dyDescent="0.15"/>
  <cols>
    <col min="1" max="1" width="1.625" style="93" customWidth="1"/>
    <col min="2" max="2" width="18" style="93" customWidth="1"/>
    <col min="3" max="15" width="6.125" style="93" customWidth="1"/>
    <col min="16" max="16384" width="9" style="93"/>
  </cols>
  <sheetData>
    <row r="1" spans="2:15" ht="9.9499999999999993" customHeight="1" x14ac:dyDescent="0.15"/>
    <row r="2" spans="2:15" ht="24.95" customHeight="1" x14ac:dyDescent="0.15">
      <c r="B2" s="93" t="s">
        <v>614</v>
      </c>
    </row>
    <row r="3" spans="2:15" ht="20.100000000000001" customHeight="1" x14ac:dyDescent="0.15">
      <c r="D3" s="163" t="s">
        <v>264</v>
      </c>
      <c r="E3" s="162" t="s">
        <v>737</v>
      </c>
      <c r="F3" s="162"/>
      <c r="G3" s="163" t="s">
        <v>265</v>
      </c>
      <c r="H3" s="162"/>
      <c r="I3" s="162"/>
    </row>
    <row r="4" spans="2:15" ht="20.100000000000001" customHeight="1" thickBot="1" x14ac:dyDescent="0.2">
      <c r="B4" s="13" t="s">
        <v>279</v>
      </c>
      <c r="C4" s="13" t="s">
        <v>738</v>
      </c>
      <c r="D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2:15" ht="20.100000000000001" customHeight="1" x14ac:dyDescent="0.15">
      <c r="B5" s="379" t="s">
        <v>280</v>
      </c>
      <c r="C5" s="731">
        <v>1</v>
      </c>
      <c r="D5" s="731">
        <v>2</v>
      </c>
      <c r="E5" s="731">
        <v>3</v>
      </c>
      <c r="F5" s="731">
        <v>4</v>
      </c>
      <c r="G5" s="731">
        <v>5</v>
      </c>
      <c r="H5" s="731">
        <v>6</v>
      </c>
      <c r="I5" s="731">
        <v>7</v>
      </c>
      <c r="J5" s="731">
        <v>8</v>
      </c>
      <c r="K5" s="731">
        <v>9</v>
      </c>
      <c r="L5" s="731">
        <v>10</v>
      </c>
      <c r="M5" s="731">
        <v>11</v>
      </c>
      <c r="N5" s="731">
        <v>12</v>
      </c>
      <c r="O5" s="732" t="s">
        <v>281</v>
      </c>
    </row>
    <row r="6" spans="2:15" ht="20.100000000000001" customHeight="1" x14ac:dyDescent="0.15">
      <c r="B6" s="733"/>
      <c r="C6" s="664"/>
      <c r="D6" s="664"/>
      <c r="E6" s="664"/>
      <c r="F6" s="664"/>
      <c r="G6" s="664"/>
      <c r="H6" s="664"/>
      <c r="I6" s="664"/>
      <c r="J6" s="664"/>
      <c r="K6" s="664"/>
      <c r="L6" s="664"/>
      <c r="M6" s="664"/>
      <c r="N6" s="664"/>
      <c r="O6" s="734"/>
    </row>
    <row r="7" spans="2:15" ht="20.100000000000001" customHeight="1" x14ac:dyDescent="0.15">
      <c r="B7" s="733"/>
      <c r="C7" s="664"/>
      <c r="D7" s="664"/>
      <c r="E7" s="664"/>
      <c r="F7" s="664"/>
      <c r="G7" s="664"/>
      <c r="H7" s="664"/>
      <c r="I7" s="664"/>
      <c r="J7" s="664"/>
      <c r="K7" s="664"/>
      <c r="L7" s="664"/>
      <c r="M7" s="664"/>
      <c r="N7" s="664"/>
      <c r="O7" s="734"/>
    </row>
    <row r="8" spans="2:15" ht="20.100000000000001" customHeight="1" x14ac:dyDescent="0.15">
      <c r="B8" s="733"/>
      <c r="C8" s="664"/>
      <c r="D8" s="664"/>
      <c r="E8" s="664"/>
      <c r="F8" s="664"/>
      <c r="G8" s="664"/>
      <c r="H8" s="664"/>
      <c r="I8" s="664"/>
      <c r="J8" s="664"/>
      <c r="K8" s="664"/>
      <c r="L8" s="664"/>
      <c r="M8" s="664"/>
      <c r="N8" s="664"/>
      <c r="O8" s="734"/>
    </row>
    <row r="9" spans="2:15" ht="20.100000000000001" customHeight="1" x14ac:dyDescent="0.15">
      <c r="B9" s="733"/>
      <c r="C9" s="664"/>
      <c r="D9" s="664"/>
      <c r="E9" s="664"/>
      <c r="F9" s="664"/>
      <c r="G9" s="664"/>
      <c r="H9" s="664"/>
      <c r="I9" s="664"/>
      <c r="J9" s="664"/>
      <c r="K9" s="664"/>
      <c r="L9" s="664"/>
      <c r="M9" s="664"/>
      <c r="N9" s="664"/>
      <c r="O9" s="734"/>
    </row>
    <row r="10" spans="2:15" ht="20.100000000000001" customHeight="1" x14ac:dyDescent="0.15">
      <c r="B10" s="733"/>
      <c r="C10" s="664"/>
      <c r="D10" s="664"/>
      <c r="E10" s="664"/>
      <c r="F10" s="664"/>
      <c r="G10" s="664"/>
      <c r="H10" s="664"/>
      <c r="I10" s="664"/>
      <c r="J10" s="664"/>
      <c r="K10" s="664"/>
      <c r="L10" s="664"/>
      <c r="M10" s="664"/>
      <c r="N10" s="664"/>
      <c r="O10" s="734"/>
    </row>
    <row r="11" spans="2:15" ht="20.100000000000001" customHeight="1" thickBot="1" x14ac:dyDescent="0.2">
      <c r="B11" s="381" t="s">
        <v>282</v>
      </c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3"/>
    </row>
    <row r="12" spans="2:15" ht="20.100000000000001" customHeight="1" x14ac:dyDescent="0.15"/>
    <row r="13" spans="2:15" ht="20.100000000000001" customHeight="1" thickBot="1" x14ac:dyDescent="0.2">
      <c r="B13" s="13" t="s">
        <v>279</v>
      </c>
      <c r="C13" s="13" t="s">
        <v>283</v>
      </c>
      <c r="D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ht="20.100000000000001" customHeight="1" x14ac:dyDescent="0.15">
      <c r="B14" s="379" t="s">
        <v>280</v>
      </c>
      <c r="C14" s="731">
        <v>1</v>
      </c>
      <c r="D14" s="731">
        <v>2</v>
      </c>
      <c r="E14" s="731">
        <v>3</v>
      </c>
      <c r="F14" s="731">
        <v>4</v>
      </c>
      <c r="G14" s="731">
        <v>5</v>
      </c>
      <c r="H14" s="731">
        <v>6</v>
      </c>
      <c r="I14" s="731">
        <v>7</v>
      </c>
      <c r="J14" s="731">
        <v>8</v>
      </c>
      <c r="K14" s="731">
        <v>9</v>
      </c>
      <c r="L14" s="731">
        <v>10</v>
      </c>
      <c r="M14" s="731">
        <v>11</v>
      </c>
      <c r="N14" s="731">
        <v>12</v>
      </c>
      <c r="O14" s="732" t="s">
        <v>281</v>
      </c>
    </row>
    <row r="15" spans="2:15" ht="20.100000000000001" customHeight="1" x14ac:dyDescent="0.15">
      <c r="B15" s="733"/>
      <c r="C15" s="664"/>
      <c r="D15" s="664"/>
      <c r="E15" s="664"/>
      <c r="F15" s="664"/>
      <c r="G15" s="664"/>
      <c r="H15" s="664"/>
      <c r="I15" s="664"/>
      <c r="J15" s="664"/>
      <c r="K15" s="664"/>
      <c r="L15" s="664"/>
      <c r="M15" s="664"/>
      <c r="N15" s="664"/>
      <c r="O15" s="734"/>
    </row>
    <row r="16" spans="2:15" ht="20.100000000000001" customHeight="1" x14ac:dyDescent="0.15">
      <c r="B16" s="733"/>
      <c r="C16" s="664"/>
      <c r="D16" s="664"/>
      <c r="E16" s="664"/>
      <c r="F16" s="664"/>
      <c r="G16" s="664"/>
      <c r="H16" s="664"/>
      <c r="I16" s="664"/>
      <c r="J16" s="664"/>
      <c r="K16" s="664"/>
      <c r="L16" s="664"/>
      <c r="M16" s="664"/>
      <c r="N16" s="664"/>
      <c r="O16" s="734"/>
    </row>
    <row r="17" spans="2:15" ht="20.100000000000001" customHeight="1" x14ac:dyDescent="0.15">
      <c r="B17" s="733" t="s">
        <v>287</v>
      </c>
      <c r="C17" s="664"/>
      <c r="D17" s="664"/>
      <c r="E17" s="664"/>
      <c r="F17" s="664"/>
      <c r="G17" s="664"/>
      <c r="H17" s="664">
        <v>1635</v>
      </c>
      <c r="I17" s="664">
        <v>1811</v>
      </c>
      <c r="J17" s="664">
        <v>1449</v>
      </c>
      <c r="K17" s="664">
        <v>930</v>
      </c>
      <c r="L17" s="664">
        <v>924</v>
      </c>
      <c r="M17" s="664">
        <v>934</v>
      </c>
      <c r="N17" s="664"/>
      <c r="O17" s="734">
        <f>AVERAGE(H17:M17)</f>
        <v>1280.5</v>
      </c>
    </row>
    <row r="18" spans="2:15" ht="20.100000000000001" customHeight="1" x14ac:dyDescent="0.15">
      <c r="B18" s="733" t="s">
        <v>286</v>
      </c>
      <c r="C18" s="664"/>
      <c r="D18" s="664"/>
      <c r="E18" s="664"/>
      <c r="F18" s="664"/>
      <c r="G18" s="664"/>
      <c r="H18" s="664">
        <v>1632</v>
      </c>
      <c r="I18" s="664">
        <v>1787</v>
      </c>
      <c r="J18" s="664">
        <v>1461</v>
      </c>
      <c r="K18" s="664">
        <v>902</v>
      </c>
      <c r="L18" s="664">
        <v>765</v>
      </c>
      <c r="M18" s="664">
        <v>893</v>
      </c>
      <c r="N18" s="664"/>
      <c r="O18" s="734">
        <f t="shared" ref="O18:O19" si="0">AVERAGE(H18:M18)</f>
        <v>1240</v>
      </c>
    </row>
    <row r="19" spans="2:15" ht="20.100000000000001" customHeight="1" x14ac:dyDescent="0.15">
      <c r="B19" s="733" t="s">
        <v>285</v>
      </c>
      <c r="C19" s="664"/>
      <c r="D19" s="664"/>
      <c r="E19" s="664"/>
      <c r="F19" s="664"/>
      <c r="G19" s="664"/>
      <c r="H19" s="664">
        <v>1703</v>
      </c>
      <c r="I19" s="664">
        <v>1861</v>
      </c>
      <c r="J19" s="664">
        <v>1472</v>
      </c>
      <c r="K19" s="664">
        <v>903</v>
      </c>
      <c r="L19" s="664">
        <v>800</v>
      </c>
      <c r="M19" s="664">
        <v>1031</v>
      </c>
      <c r="N19" s="664"/>
      <c r="O19" s="734">
        <f t="shared" si="0"/>
        <v>1295</v>
      </c>
    </row>
    <row r="20" spans="2:15" ht="20.100000000000001" customHeight="1" thickBot="1" x14ac:dyDescent="0.2">
      <c r="B20" s="381" t="s">
        <v>282</v>
      </c>
      <c r="C20" s="382"/>
      <c r="D20" s="382"/>
      <c r="E20" s="382"/>
      <c r="F20" s="382"/>
      <c r="G20" s="382"/>
      <c r="H20" s="382">
        <f t="shared" ref="H20:O20" si="1">AVERAGE(H15:H19)</f>
        <v>1656.6666666666667</v>
      </c>
      <c r="I20" s="382">
        <f t="shared" si="1"/>
        <v>1819.6666666666667</v>
      </c>
      <c r="J20" s="382">
        <f t="shared" si="1"/>
        <v>1460.6666666666667</v>
      </c>
      <c r="K20" s="382">
        <f t="shared" si="1"/>
        <v>911.66666666666663</v>
      </c>
      <c r="L20" s="382">
        <f t="shared" si="1"/>
        <v>829.66666666666663</v>
      </c>
      <c r="M20" s="382">
        <f t="shared" si="1"/>
        <v>952.66666666666663</v>
      </c>
      <c r="N20" s="382"/>
      <c r="O20" s="383">
        <f t="shared" si="1"/>
        <v>1271.8333333333333</v>
      </c>
    </row>
  </sheetData>
  <phoneticPr fontId="5"/>
  <pageMargins left="0.78740157480314965" right="0.78740157480314965" top="0.78740157480314965" bottom="0.78740157480314965" header="0.39370078740157483" footer="0.39370078740157483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2"/>
  <sheetViews>
    <sheetView zoomScale="75" zoomScaleNormal="75" zoomScaleSheetLayoutView="65" workbookViewId="0"/>
  </sheetViews>
  <sheetFormatPr defaultRowHeight="13.5" x14ac:dyDescent="0.15"/>
  <cols>
    <col min="1" max="1" width="1.625" style="144" customWidth="1"/>
    <col min="2" max="2" width="7.625" style="144" customWidth="1"/>
    <col min="3" max="3" width="25.625" style="144" customWidth="1"/>
    <col min="4" max="4" width="18.625" style="144" customWidth="1"/>
    <col min="5" max="5" width="17.625" style="144" customWidth="1"/>
    <col min="6" max="7" width="15.625" style="144" customWidth="1"/>
    <col min="8" max="8" width="20" style="144" customWidth="1"/>
    <col min="9" max="14" width="15.625" style="144" customWidth="1"/>
    <col min="15" max="15" width="17" style="144" customWidth="1"/>
    <col min="16" max="16384" width="9" style="144"/>
  </cols>
  <sheetData>
    <row r="1" spans="2:15" ht="9.9499999999999993" customHeight="1" x14ac:dyDescent="0.15"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2:15" ht="24.95" customHeight="1" thickBot="1" x14ac:dyDescent="0.2">
      <c r="B2" s="370" t="s">
        <v>745</v>
      </c>
      <c r="F2" s="371" t="s">
        <v>264</v>
      </c>
      <c r="G2" s="144" t="s">
        <v>387</v>
      </c>
      <c r="I2" s="371" t="s">
        <v>265</v>
      </c>
      <c r="J2" s="144" t="s">
        <v>484</v>
      </c>
    </row>
    <row r="3" spans="2:15" ht="20.100000000000001" customHeight="1" x14ac:dyDescent="0.15">
      <c r="B3" s="914" t="s">
        <v>101</v>
      </c>
      <c r="C3" s="915"/>
      <c r="D3" s="740" t="s">
        <v>389</v>
      </c>
      <c r="E3" s="740" t="s">
        <v>388</v>
      </c>
      <c r="F3" s="740" t="s">
        <v>390</v>
      </c>
      <c r="G3" s="740" t="s">
        <v>391</v>
      </c>
      <c r="H3" s="740" t="s">
        <v>392</v>
      </c>
      <c r="I3" s="740" t="s">
        <v>393</v>
      </c>
      <c r="J3" s="740" t="s">
        <v>394</v>
      </c>
      <c r="K3" s="740" t="s">
        <v>395</v>
      </c>
      <c r="L3" s="740" t="s">
        <v>396</v>
      </c>
      <c r="M3" s="712" t="s">
        <v>628</v>
      </c>
      <c r="N3" s="712" t="s">
        <v>397</v>
      </c>
      <c r="O3" s="691" t="s">
        <v>398</v>
      </c>
    </row>
    <row r="4" spans="2:15" ht="150" customHeight="1" x14ac:dyDescent="0.15">
      <c r="B4" s="916" t="s">
        <v>92</v>
      </c>
      <c r="C4" s="737" t="s">
        <v>93</v>
      </c>
      <c r="D4" s="742" t="s">
        <v>725</v>
      </c>
      <c r="E4" s="742" t="s">
        <v>456</v>
      </c>
      <c r="F4" s="742" t="s">
        <v>466</v>
      </c>
      <c r="G4" s="742" t="s">
        <v>452</v>
      </c>
      <c r="H4" s="742" t="s">
        <v>726</v>
      </c>
      <c r="I4" s="742" t="s">
        <v>457</v>
      </c>
      <c r="J4" s="742" t="s">
        <v>459</v>
      </c>
      <c r="K4" s="742"/>
      <c r="L4" s="742"/>
      <c r="M4" s="706" t="s">
        <v>465</v>
      </c>
      <c r="N4" s="706" t="s">
        <v>467</v>
      </c>
      <c r="O4" s="748" t="s">
        <v>464</v>
      </c>
    </row>
    <row r="5" spans="2:15" ht="20.100000000000001" customHeight="1" x14ac:dyDescent="0.15">
      <c r="B5" s="916"/>
      <c r="C5" s="737" t="s">
        <v>94</v>
      </c>
      <c r="D5" s="737" t="s">
        <v>689</v>
      </c>
      <c r="E5" s="737" t="s">
        <v>451</v>
      </c>
      <c r="F5" s="737" t="s">
        <v>690</v>
      </c>
      <c r="G5" s="737" t="s">
        <v>691</v>
      </c>
      <c r="H5" s="737" t="s">
        <v>451</v>
      </c>
      <c r="I5" s="737" t="s">
        <v>458</v>
      </c>
      <c r="J5" s="737" t="s">
        <v>693</v>
      </c>
      <c r="K5" s="737" t="s">
        <v>627</v>
      </c>
      <c r="L5" s="737" t="s">
        <v>469</v>
      </c>
      <c r="M5" s="738" t="s">
        <v>468</v>
      </c>
      <c r="N5" s="738" t="s">
        <v>470</v>
      </c>
      <c r="O5" s="749" t="s">
        <v>694</v>
      </c>
    </row>
    <row r="6" spans="2:15" ht="150" customHeight="1" x14ac:dyDescent="0.15">
      <c r="B6" s="916"/>
      <c r="C6" s="737" t="s">
        <v>100</v>
      </c>
      <c r="D6" s="742"/>
      <c r="E6" s="742" t="s">
        <v>449</v>
      </c>
      <c r="F6" s="742" t="s">
        <v>477</v>
      </c>
      <c r="G6" s="742" t="s">
        <v>454</v>
      </c>
      <c r="H6" s="742"/>
      <c r="I6" s="742"/>
      <c r="J6" s="742" t="s">
        <v>461</v>
      </c>
      <c r="K6" s="742"/>
      <c r="L6" s="742" t="s">
        <v>472</v>
      </c>
      <c r="M6" s="706"/>
      <c r="N6" s="706" t="s">
        <v>471</v>
      </c>
      <c r="O6" s="748"/>
    </row>
    <row r="7" spans="2:15" ht="20.100000000000001" customHeight="1" x14ac:dyDescent="0.15">
      <c r="B7" s="916"/>
      <c r="C7" s="743" t="s">
        <v>97</v>
      </c>
      <c r="D7" s="737"/>
      <c r="E7" s="737">
        <v>1</v>
      </c>
      <c r="F7" s="737">
        <v>1</v>
      </c>
      <c r="G7" s="737">
        <v>9</v>
      </c>
      <c r="H7" s="737"/>
      <c r="I7" s="737"/>
      <c r="J7" s="737">
        <v>5.5</v>
      </c>
      <c r="K7" s="737">
        <v>4.4000000000000004</v>
      </c>
      <c r="L7" s="737">
        <v>10</v>
      </c>
      <c r="M7" s="738"/>
      <c r="N7" s="738">
        <v>9</v>
      </c>
      <c r="O7" s="749"/>
    </row>
    <row r="8" spans="2:15" ht="20.100000000000001" customHeight="1" x14ac:dyDescent="0.15">
      <c r="B8" s="916"/>
      <c r="C8" s="737" t="s">
        <v>98</v>
      </c>
      <c r="D8" s="737">
        <v>12</v>
      </c>
      <c r="E8" s="737">
        <v>33</v>
      </c>
      <c r="F8" s="737">
        <v>4.5</v>
      </c>
      <c r="G8" s="737">
        <v>9</v>
      </c>
      <c r="H8" s="737">
        <v>102</v>
      </c>
      <c r="I8" s="737">
        <v>8</v>
      </c>
      <c r="J8" s="737">
        <v>5.5</v>
      </c>
      <c r="K8" s="737">
        <v>4.4000000000000004</v>
      </c>
      <c r="L8" s="737">
        <v>120</v>
      </c>
      <c r="M8" s="738">
        <v>4</v>
      </c>
      <c r="N8" s="738">
        <v>9</v>
      </c>
      <c r="O8" s="749">
        <v>40</v>
      </c>
    </row>
    <row r="9" spans="2:15" ht="20.100000000000001" customHeight="1" x14ac:dyDescent="0.15">
      <c r="B9" s="916"/>
      <c r="C9" s="737" t="s">
        <v>99</v>
      </c>
      <c r="D9" s="737"/>
      <c r="E9" s="737"/>
      <c r="F9" s="737"/>
      <c r="G9" s="737"/>
      <c r="H9" s="737"/>
      <c r="I9" s="737"/>
      <c r="J9" s="737"/>
      <c r="K9" s="737"/>
      <c r="L9" s="737"/>
      <c r="M9" s="738"/>
      <c r="N9" s="738"/>
      <c r="O9" s="749"/>
    </row>
    <row r="10" spans="2:15" ht="150" customHeight="1" x14ac:dyDescent="0.15">
      <c r="B10" s="917" t="s">
        <v>95</v>
      </c>
      <c r="C10" s="913"/>
      <c r="D10" s="750" t="s">
        <v>448</v>
      </c>
      <c r="E10" s="750" t="s">
        <v>473</v>
      </c>
      <c r="F10" s="750"/>
      <c r="G10" s="750" t="s">
        <v>463</v>
      </c>
      <c r="H10" s="750" t="s">
        <v>455</v>
      </c>
      <c r="I10" s="750" t="s">
        <v>475</v>
      </c>
      <c r="J10" s="750" t="s">
        <v>462</v>
      </c>
      <c r="K10" s="750"/>
      <c r="L10" s="750" t="s">
        <v>476</v>
      </c>
      <c r="M10" s="739"/>
      <c r="N10" s="739"/>
      <c r="O10" s="751" t="s">
        <v>474</v>
      </c>
    </row>
    <row r="11" spans="2:15" ht="150" customHeight="1" thickBot="1" x14ac:dyDescent="0.2">
      <c r="B11" s="918" t="s">
        <v>96</v>
      </c>
      <c r="C11" s="919"/>
      <c r="D11" s="744" t="s">
        <v>450</v>
      </c>
      <c r="E11" s="744"/>
      <c r="F11" s="745"/>
      <c r="G11" s="746"/>
      <c r="H11" s="746"/>
      <c r="I11" s="746"/>
      <c r="J11" s="746"/>
      <c r="K11" s="746"/>
      <c r="L11" s="746"/>
      <c r="M11" s="752"/>
      <c r="N11" s="752"/>
      <c r="O11" s="753"/>
    </row>
    <row r="12" spans="2:15" ht="9.75" customHeight="1" x14ac:dyDescent="0.15">
      <c r="B12" s="703"/>
    </row>
  </sheetData>
  <mergeCells count="4">
    <mergeCell ref="B3:C3"/>
    <mergeCell ref="B4:B9"/>
    <mergeCell ref="B10:C10"/>
    <mergeCell ref="B11:C11"/>
  </mergeCells>
  <phoneticPr fontId="5"/>
  <pageMargins left="0.78740157480314965" right="0.78740157480314965" top="0.78740157480314965" bottom="0.78740157480314965" header="0.39370078740157483" footer="0.39370078740157483"/>
  <pageSetup paperSize="9" scale="57" orientation="landscape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0"/>
  <sheetViews>
    <sheetView zoomScale="75" zoomScaleNormal="75" zoomScaleSheetLayoutView="80" workbookViewId="0"/>
  </sheetViews>
  <sheetFormatPr defaultRowHeight="13.5" x14ac:dyDescent="0.15"/>
  <cols>
    <col min="1" max="1" width="1.625" style="93" customWidth="1"/>
    <col min="2" max="2" width="18" style="93" customWidth="1"/>
    <col min="3" max="15" width="6.125" style="93" customWidth="1"/>
    <col min="16" max="16384" width="9" style="93"/>
  </cols>
  <sheetData>
    <row r="1" spans="2:15" ht="9.9499999999999993" customHeight="1" x14ac:dyDescent="0.15"/>
    <row r="2" spans="2:15" ht="24.95" customHeight="1" x14ac:dyDescent="0.15">
      <c r="B2" s="93" t="s">
        <v>739</v>
      </c>
    </row>
    <row r="3" spans="2:15" ht="20.100000000000001" customHeight="1" x14ac:dyDescent="0.15">
      <c r="D3" s="163" t="s">
        <v>264</v>
      </c>
      <c r="E3" s="162" t="s">
        <v>740</v>
      </c>
      <c r="F3" s="162"/>
      <c r="H3" s="162" t="s">
        <v>72</v>
      </c>
      <c r="I3" s="162"/>
      <c r="K3" s="163"/>
    </row>
    <row r="4" spans="2:15" ht="20.100000000000001" customHeight="1" thickBot="1" x14ac:dyDescent="0.2">
      <c r="B4" s="13" t="s">
        <v>279</v>
      </c>
      <c r="C4" s="13" t="s">
        <v>738</v>
      </c>
      <c r="D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2:15" ht="20.100000000000001" customHeight="1" x14ac:dyDescent="0.15">
      <c r="B5" s="379" t="s">
        <v>280</v>
      </c>
      <c r="C5" s="731">
        <v>1</v>
      </c>
      <c r="D5" s="731">
        <v>2</v>
      </c>
      <c r="E5" s="731">
        <v>3</v>
      </c>
      <c r="F5" s="731">
        <v>4</v>
      </c>
      <c r="G5" s="731">
        <v>5</v>
      </c>
      <c r="H5" s="731">
        <v>6</v>
      </c>
      <c r="I5" s="731">
        <v>7</v>
      </c>
      <c r="J5" s="731">
        <v>8</v>
      </c>
      <c r="K5" s="731">
        <v>9</v>
      </c>
      <c r="L5" s="731">
        <v>10</v>
      </c>
      <c r="M5" s="731">
        <v>11</v>
      </c>
      <c r="N5" s="731">
        <v>12</v>
      </c>
      <c r="O5" s="732" t="s">
        <v>281</v>
      </c>
    </row>
    <row r="6" spans="2:15" ht="20.100000000000001" customHeight="1" x14ac:dyDescent="0.15">
      <c r="B6" s="733"/>
      <c r="C6" s="664"/>
      <c r="D6" s="664"/>
      <c r="E6" s="664"/>
      <c r="F6" s="664"/>
      <c r="G6" s="664"/>
      <c r="H6" s="664"/>
      <c r="I6" s="664"/>
      <c r="J6" s="664"/>
      <c r="K6" s="664"/>
      <c r="L6" s="664"/>
      <c r="M6" s="664"/>
      <c r="N6" s="664"/>
      <c r="O6" s="734"/>
    </row>
    <row r="7" spans="2:15" ht="20.100000000000001" customHeight="1" x14ac:dyDescent="0.15">
      <c r="B7" s="733"/>
      <c r="C7" s="664"/>
      <c r="D7" s="664"/>
      <c r="E7" s="664"/>
      <c r="F7" s="664"/>
      <c r="G7" s="664"/>
      <c r="H7" s="664"/>
      <c r="I7" s="664"/>
      <c r="J7" s="664"/>
      <c r="K7" s="664"/>
      <c r="L7" s="664"/>
      <c r="M7" s="664"/>
      <c r="N7" s="664"/>
      <c r="O7" s="734"/>
    </row>
    <row r="8" spans="2:15" ht="20.100000000000001" customHeight="1" x14ac:dyDescent="0.15">
      <c r="B8" s="733"/>
      <c r="C8" s="664"/>
      <c r="D8" s="664"/>
      <c r="E8" s="664"/>
      <c r="F8" s="664"/>
      <c r="G8" s="664"/>
      <c r="H8" s="664"/>
      <c r="I8" s="664"/>
      <c r="J8" s="664"/>
      <c r="K8" s="664"/>
      <c r="L8" s="664"/>
      <c r="M8" s="664"/>
      <c r="N8" s="664"/>
      <c r="O8" s="734"/>
    </row>
    <row r="9" spans="2:15" ht="20.100000000000001" customHeight="1" x14ac:dyDescent="0.15">
      <c r="B9" s="733"/>
      <c r="C9" s="664"/>
      <c r="D9" s="664"/>
      <c r="E9" s="664"/>
      <c r="F9" s="664"/>
      <c r="G9" s="664"/>
      <c r="H9" s="664"/>
      <c r="I9" s="664"/>
      <c r="J9" s="664"/>
      <c r="K9" s="664"/>
      <c r="L9" s="664"/>
      <c r="M9" s="664"/>
      <c r="N9" s="664"/>
      <c r="O9" s="734"/>
    </row>
    <row r="10" spans="2:15" ht="20.100000000000001" customHeight="1" x14ac:dyDescent="0.15">
      <c r="B10" s="733"/>
      <c r="C10" s="664"/>
      <c r="D10" s="664"/>
      <c r="E10" s="664"/>
      <c r="F10" s="664"/>
      <c r="G10" s="664"/>
      <c r="H10" s="664"/>
      <c r="I10" s="664"/>
      <c r="J10" s="664"/>
      <c r="K10" s="664"/>
      <c r="L10" s="664"/>
      <c r="M10" s="664"/>
      <c r="N10" s="664"/>
      <c r="O10" s="734"/>
    </row>
    <row r="11" spans="2:15" ht="20.100000000000001" customHeight="1" thickBot="1" x14ac:dyDescent="0.2">
      <c r="B11" s="381" t="s">
        <v>282</v>
      </c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3"/>
    </row>
    <row r="12" spans="2:15" ht="20.100000000000001" customHeight="1" x14ac:dyDescent="0.15"/>
    <row r="13" spans="2:15" ht="20.100000000000001" customHeight="1" thickBot="1" x14ac:dyDescent="0.2">
      <c r="B13" s="13" t="s">
        <v>279</v>
      </c>
      <c r="C13" s="13" t="s">
        <v>283</v>
      </c>
      <c r="D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ht="20.100000000000001" customHeight="1" x14ac:dyDescent="0.15">
      <c r="B14" s="379" t="s">
        <v>280</v>
      </c>
      <c r="C14" s="731">
        <v>1</v>
      </c>
      <c r="D14" s="731">
        <v>2</v>
      </c>
      <c r="E14" s="731">
        <v>3</v>
      </c>
      <c r="F14" s="731">
        <v>4</v>
      </c>
      <c r="G14" s="731">
        <v>5</v>
      </c>
      <c r="H14" s="731">
        <v>6</v>
      </c>
      <c r="I14" s="731">
        <v>7</v>
      </c>
      <c r="J14" s="731">
        <v>8</v>
      </c>
      <c r="K14" s="731">
        <v>9</v>
      </c>
      <c r="L14" s="731">
        <v>10</v>
      </c>
      <c r="M14" s="731">
        <v>11</v>
      </c>
      <c r="N14" s="731">
        <v>12</v>
      </c>
      <c r="O14" s="732" t="s">
        <v>281</v>
      </c>
    </row>
    <row r="15" spans="2:15" ht="20.100000000000001" customHeight="1" x14ac:dyDescent="0.15">
      <c r="B15" s="733"/>
      <c r="C15" s="664"/>
      <c r="D15" s="664"/>
      <c r="E15" s="664"/>
      <c r="F15" s="664"/>
      <c r="G15" s="664"/>
      <c r="H15" s="664"/>
      <c r="I15" s="664"/>
      <c r="J15" s="664"/>
      <c r="K15" s="664"/>
      <c r="L15" s="664"/>
      <c r="M15" s="664"/>
      <c r="N15" s="664"/>
      <c r="O15" s="734"/>
    </row>
    <row r="16" spans="2:15" ht="20.100000000000001" customHeight="1" x14ac:dyDescent="0.15">
      <c r="B16" s="733"/>
      <c r="C16" s="664"/>
      <c r="D16" s="664"/>
      <c r="E16" s="664"/>
      <c r="F16" s="664"/>
      <c r="G16" s="664"/>
      <c r="H16" s="664"/>
      <c r="I16" s="664"/>
      <c r="J16" s="664"/>
      <c r="K16" s="664"/>
      <c r="L16" s="664"/>
      <c r="M16" s="664"/>
      <c r="N16" s="664"/>
      <c r="O16" s="734"/>
    </row>
    <row r="17" spans="2:15" ht="20.100000000000001" customHeight="1" x14ac:dyDescent="0.15">
      <c r="B17" s="733"/>
      <c r="C17" s="664"/>
      <c r="D17" s="664"/>
      <c r="E17" s="664"/>
      <c r="F17" s="664"/>
      <c r="G17" s="664"/>
      <c r="H17" s="664"/>
      <c r="I17" s="664"/>
      <c r="J17" s="664"/>
      <c r="K17" s="664"/>
      <c r="L17" s="664"/>
      <c r="M17" s="664"/>
      <c r="N17" s="664"/>
      <c r="O17" s="734"/>
    </row>
    <row r="18" spans="2:15" ht="20.100000000000001" customHeight="1" x14ac:dyDescent="0.15">
      <c r="B18" s="733" t="s">
        <v>285</v>
      </c>
      <c r="C18" s="664"/>
      <c r="D18" s="664"/>
      <c r="E18" s="664"/>
      <c r="F18" s="664"/>
      <c r="G18" s="664"/>
      <c r="H18" s="664"/>
      <c r="I18" s="664">
        <v>2150</v>
      </c>
      <c r="J18" s="664">
        <v>1605</v>
      </c>
      <c r="K18" s="664">
        <v>1057</v>
      </c>
      <c r="L18" s="664">
        <v>1155</v>
      </c>
      <c r="M18" s="664">
        <v>1333</v>
      </c>
      <c r="N18" s="664"/>
      <c r="O18" s="734">
        <f t="shared" ref="O18:O19" si="0">AVERAGE(C18:N18)</f>
        <v>1460</v>
      </c>
    </row>
    <row r="19" spans="2:15" ht="20.100000000000001" customHeight="1" x14ac:dyDescent="0.15">
      <c r="B19" s="733" t="s">
        <v>741</v>
      </c>
      <c r="C19" s="664"/>
      <c r="D19" s="664"/>
      <c r="E19" s="664"/>
      <c r="F19" s="664"/>
      <c r="G19" s="664"/>
      <c r="H19" s="664"/>
      <c r="I19" s="664">
        <v>2034</v>
      </c>
      <c r="J19" s="664">
        <v>1547</v>
      </c>
      <c r="K19" s="664">
        <v>1114</v>
      </c>
      <c r="L19" s="664">
        <v>1193</v>
      </c>
      <c r="M19" s="664">
        <v>1256</v>
      </c>
      <c r="N19" s="664"/>
      <c r="O19" s="734">
        <f t="shared" si="0"/>
        <v>1428.8</v>
      </c>
    </row>
    <row r="20" spans="2:15" ht="20.100000000000001" customHeight="1" thickBot="1" x14ac:dyDescent="0.2">
      <c r="B20" s="381" t="s">
        <v>282</v>
      </c>
      <c r="C20" s="382"/>
      <c r="D20" s="382"/>
      <c r="E20" s="382"/>
      <c r="F20" s="382"/>
      <c r="G20" s="382"/>
      <c r="H20" s="382"/>
      <c r="I20" s="382">
        <f t="shared" ref="I20:O20" si="1">AVERAGE(I15:I19)</f>
        <v>2092</v>
      </c>
      <c r="J20" s="382">
        <f t="shared" si="1"/>
        <v>1576</v>
      </c>
      <c r="K20" s="382">
        <f t="shared" si="1"/>
        <v>1085.5</v>
      </c>
      <c r="L20" s="382">
        <f t="shared" si="1"/>
        <v>1174</v>
      </c>
      <c r="M20" s="382">
        <f t="shared" si="1"/>
        <v>1294.5</v>
      </c>
      <c r="N20" s="382"/>
      <c r="O20" s="383">
        <f t="shared" si="1"/>
        <v>1444.4</v>
      </c>
    </row>
  </sheetData>
  <phoneticPr fontId="5"/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Y195"/>
  <sheetViews>
    <sheetView zoomScaleNormal="100" workbookViewId="0">
      <selection activeCell="N39" sqref="N39"/>
    </sheetView>
  </sheetViews>
  <sheetFormatPr defaultRowHeight="13.5" x14ac:dyDescent="0.15"/>
  <cols>
    <col min="1" max="1" width="1.625" style="93" customWidth="1"/>
    <col min="2" max="2" width="3.625" style="93" customWidth="1"/>
    <col min="3" max="3" width="15.625" style="93" customWidth="1"/>
    <col min="4" max="7" width="8.625" style="93" customWidth="1"/>
    <col min="8" max="8" width="1.625" style="225" customWidth="1"/>
    <col min="9" max="9" width="3.625" style="93" customWidth="1"/>
    <col min="10" max="10" width="15.625" style="93" customWidth="1"/>
    <col min="11" max="14" width="8.625" style="93" customWidth="1"/>
    <col min="15" max="15" width="3.5" style="93" customWidth="1"/>
    <col min="16" max="16" width="15.625" style="190" customWidth="1"/>
    <col min="17" max="17" width="8.625" style="93" customWidth="1"/>
    <col min="18" max="18" width="8.625" style="94" customWidth="1"/>
    <col min="19" max="21" width="8.625" style="93" customWidth="1"/>
    <col min="22" max="22" width="10.625" style="94" customWidth="1"/>
    <col min="23" max="262" width="9" style="93"/>
    <col min="263" max="263" width="1.375" style="93" customWidth="1"/>
    <col min="264" max="264" width="3.5" style="93" customWidth="1"/>
    <col min="265" max="265" width="22.125" style="93" customWidth="1"/>
    <col min="266" max="266" width="9.75" style="93" customWidth="1"/>
    <col min="267" max="267" width="7.375" style="93" customWidth="1"/>
    <col min="268" max="268" width="9" style="93"/>
    <col min="269" max="269" width="9.25" style="93" customWidth="1"/>
    <col min="270" max="270" width="3.5" style="93" customWidth="1"/>
    <col min="271" max="272" width="12.625" style="93" customWidth="1"/>
    <col min="273" max="273" width="9" style="93"/>
    <col min="274" max="274" width="7.75" style="93" customWidth="1"/>
    <col min="275" max="275" width="13.125" style="93" customWidth="1"/>
    <col min="276" max="276" width="6.125" style="93" customWidth="1"/>
    <col min="277" max="277" width="9.75" style="93" customWidth="1"/>
    <col min="278" max="278" width="1.375" style="93" customWidth="1"/>
    <col min="279" max="518" width="9" style="93"/>
    <col min="519" max="519" width="1.375" style="93" customWidth="1"/>
    <col min="520" max="520" width="3.5" style="93" customWidth="1"/>
    <col min="521" max="521" width="22.125" style="93" customWidth="1"/>
    <col min="522" max="522" width="9.75" style="93" customWidth="1"/>
    <col min="523" max="523" width="7.375" style="93" customWidth="1"/>
    <col min="524" max="524" width="9" style="93"/>
    <col min="525" max="525" width="9.25" style="93" customWidth="1"/>
    <col min="526" max="526" width="3.5" style="93" customWidth="1"/>
    <col min="527" max="528" width="12.625" style="93" customWidth="1"/>
    <col min="529" max="529" width="9" style="93"/>
    <col min="530" max="530" width="7.75" style="93" customWidth="1"/>
    <col min="531" max="531" width="13.125" style="93" customWidth="1"/>
    <col min="532" max="532" width="6.125" style="93" customWidth="1"/>
    <col min="533" max="533" width="9.75" style="93" customWidth="1"/>
    <col min="534" max="534" width="1.375" style="93" customWidth="1"/>
    <col min="535" max="774" width="9" style="93"/>
    <col min="775" max="775" width="1.375" style="93" customWidth="1"/>
    <col min="776" max="776" width="3.5" style="93" customWidth="1"/>
    <col min="777" max="777" width="22.125" style="93" customWidth="1"/>
    <col min="778" max="778" width="9.75" style="93" customWidth="1"/>
    <col min="779" max="779" width="7.375" style="93" customWidth="1"/>
    <col min="780" max="780" width="9" style="93"/>
    <col min="781" max="781" width="9.25" style="93" customWidth="1"/>
    <col min="782" max="782" width="3.5" style="93" customWidth="1"/>
    <col min="783" max="784" width="12.625" style="93" customWidth="1"/>
    <col min="785" max="785" width="9" style="93"/>
    <col min="786" max="786" width="7.75" style="93" customWidth="1"/>
    <col min="787" max="787" width="13.125" style="93" customWidth="1"/>
    <col min="788" max="788" width="6.125" style="93" customWidth="1"/>
    <col min="789" max="789" width="9.75" style="93" customWidth="1"/>
    <col min="790" max="790" width="1.375" style="93" customWidth="1"/>
    <col min="791" max="1030" width="9" style="93"/>
    <col min="1031" max="1031" width="1.375" style="93" customWidth="1"/>
    <col min="1032" max="1032" width="3.5" style="93" customWidth="1"/>
    <col min="1033" max="1033" width="22.125" style="93" customWidth="1"/>
    <col min="1034" max="1034" width="9.75" style="93" customWidth="1"/>
    <col min="1035" max="1035" width="7.375" style="93" customWidth="1"/>
    <col min="1036" max="1036" width="9" style="93"/>
    <col min="1037" max="1037" width="9.25" style="93" customWidth="1"/>
    <col min="1038" max="1038" width="3.5" style="93" customWidth="1"/>
    <col min="1039" max="1040" width="12.625" style="93" customWidth="1"/>
    <col min="1041" max="1041" width="9" style="93"/>
    <col min="1042" max="1042" width="7.75" style="93" customWidth="1"/>
    <col min="1043" max="1043" width="13.125" style="93" customWidth="1"/>
    <col min="1044" max="1044" width="6.125" style="93" customWidth="1"/>
    <col min="1045" max="1045" width="9.75" style="93" customWidth="1"/>
    <col min="1046" max="1046" width="1.375" style="93" customWidth="1"/>
    <col min="1047" max="1286" width="9" style="93"/>
    <col min="1287" max="1287" width="1.375" style="93" customWidth="1"/>
    <col min="1288" max="1288" width="3.5" style="93" customWidth="1"/>
    <col min="1289" max="1289" width="22.125" style="93" customWidth="1"/>
    <col min="1290" max="1290" width="9.75" style="93" customWidth="1"/>
    <col min="1291" max="1291" width="7.375" style="93" customWidth="1"/>
    <col min="1292" max="1292" width="9" style="93"/>
    <col min="1293" max="1293" width="9.25" style="93" customWidth="1"/>
    <col min="1294" max="1294" width="3.5" style="93" customWidth="1"/>
    <col min="1295" max="1296" width="12.625" style="93" customWidth="1"/>
    <col min="1297" max="1297" width="9" style="93"/>
    <col min="1298" max="1298" width="7.75" style="93" customWidth="1"/>
    <col min="1299" max="1299" width="13.125" style="93" customWidth="1"/>
    <col min="1300" max="1300" width="6.125" style="93" customWidth="1"/>
    <col min="1301" max="1301" width="9.75" style="93" customWidth="1"/>
    <col min="1302" max="1302" width="1.375" style="93" customWidth="1"/>
    <col min="1303" max="1542" width="9" style="93"/>
    <col min="1543" max="1543" width="1.375" style="93" customWidth="1"/>
    <col min="1544" max="1544" width="3.5" style="93" customWidth="1"/>
    <col min="1545" max="1545" width="22.125" style="93" customWidth="1"/>
    <col min="1546" max="1546" width="9.75" style="93" customWidth="1"/>
    <col min="1547" max="1547" width="7.375" style="93" customWidth="1"/>
    <col min="1548" max="1548" width="9" style="93"/>
    <col min="1549" max="1549" width="9.25" style="93" customWidth="1"/>
    <col min="1550" max="1550" width="3.5" style="93" customWidth="1"/>
    <col min="1551" max="1552" width="12.625" style="93" customWidth="1"/>
    <col min="1553" max="1553" width="9" style="93"/>
    <col min="1554" max="1554" width="7.75" style="93" customWidth="1"/>
    <col min="1555" max="1555" width="13.125" style="93" customWidth="1"/>
    <col min="1556" max="1556" width="6.125" style="93" customWidth="1"/>
    <col min="1557" max="1557" width="9.75" style="93" customWidth="1"/>
    <col min="1558" max="1558" width="1.375" style="93" customWidth="1"/>
    <col min="1559" max="1798" width="9" style="93"/>
    <col min="1799" max="1799" width="1.375" style="93" customWidth="1"/>
    <col min="1800" max="1800" width="3.5" style="93" customWidth="1"/>
    <col min="1801" max="1801" width="22.125" style="93" customWidth="1"/>
    <col min="1802" max="1802" width="9.75" style="93" customWidth="1"/>
    <col min="1803" max="1803" width="7.375" style="93" customWidth="1"/>
    <col min="1804" max="1804" width="9" style="93"/>
    <col min="1805" max="1805" width="9.25" style="93" customWidth="1"/>
    <col min="1806" max="1806" width="3.5" style="93" customWidth="1"/>
    <col min="1807" max="1808" width="12.625" style="93" customWidth="1"/>
    <col min="1809" max="1809" width="9" style="93"/>
    <col min="1810" max="1810" width="7.75" style="93" customWidth="1"/>
    <col min="1811" max="1811" width="13.125" style="93" customWidth="1"/>
    <col min="1812" max="1812" width="6.125" style="93" customWidth="1"/>
    <col min="1813" max="1813" width="9.75" style="93" customWidth="1"/>
    <col min="1814" max="1814" width="1.375" style="93" customWidth="1"/>
    <col min="1815" max="2054" width="9" style="93"/>
    <col min="2055" max="2055" width="1.375" style="93" customWidth="1"/>
    <col min="2056" max="2056" width="3.5" style="93" customWidth="1"/>
    <col min="2057" max="2057" width="22.125" style="93" customWidth="1"/>
    <col min="2058" max="2058" width="9.75" style="93" customWidth="1"/>
    <col min="2059" max="2059" width="7.375" style="93" customWidth="1"/>
    <col min="2060" max="2060" width="9" style="93"/>
    <col min="2061" max="2061" width="9.25" style="93" customWidth="1"/>
    <col min="2062" max="2062" width="3.5" style="93" customWidth="1"/>
    <col min="2063" max="2064" width="12.625" style="93" customWidth="1"/>
    <col min="2065" max="2065" width="9" style="93"/>
    <col min="2066" max="2066" width="7.75" style="93" customWidth="1"/>
    <col min="2067" max="2067" width="13.125" style="93" customWidth="1"/>
    <col min="2068" max="2068" width="6.125" style="93" customWidth="1"/>
    <col min="2069" max="2069" width="9.75" style="93" customWidth="1"/>
    <col min="2070" max="2070" width="1.375" style="93" customWidth="1"/>
    <col min="2071" max="2310" width="9" style="93"/>
    <col min="2311" max="2311" width="1.375" style="93" customWidth="1"/>
    <col min="2312" max="2312" width="3.5" style="93" customWidth="1"/>
    <col min="2313" max="2313" width="22.125" style="93" customWidth="1"/>
    <col min="2314" max="2314" width="9.75" style="93" customWidth="1"/>
    <col min="2315" max="2315" width="7.375" style="93" customWidth="1"/>
    <col min="2316" max="2316" width="9" style="93"/>
    <col min="2317" max="2317" width="9.25" style="93" customWidth="1"/>
    <col min="2318" max="2318" width="3.5" style="93" customWidth="1"/>
    <col min="2319" max="2320" width="12.625" style="93" customWidth="1"/>
    <col min="2321" max="2321" width="9" style="93"/>
    <col min="2322" max="2322" width="7.75" style="93" customWidth="1"/>
    <col min="2323" max="2323" width="13.125" style="93" customWidth="1"/>
    <col min="2324" max="2324" width="6.125" style="93" customWidth="1"/>
    <col min="2325" max="2325" width="9.75" style="93" customWidth="1"/>
    <col min="2326" max="2326" width="1.375" style="93" customWidth="1"/>
    <col min="2327" max="2566" width="9" style="93"/>
    <col min="2567" max="2567" width="1.375" style="93" customWidth="1"/>
    <col min="2568" max="2568" width="3.5" style="93" customWidth="1"/>
    <col min="2569" max="2569" width="22.125" style="93" customWidth="1"/>
    <col min="2570" max="2570" width="9.75" style="93" customWidth="1"/>
    <col min="2571" max="2571" width="7.375" style="93" customWidth="1"/>
    <col min="2572" max="2572" width="9" style="93"/>
    <col min="2573" max="2573" width="9.25" style="93" customWidth="1"/>
    <col min="2574" max="2574" width="3.5" style="93" customWidth="1"/>
    <col min="2575" max="2576" width="12.625" style="93" customWidth="1"/>
    <col min="2577" max="2577" width="9" style="93"/>
    <col min="2578" max="2578" width="7.75" style="93" customWidth="1"/>
    <col min="2579" max="2579" width="13.125" style="93" customWidth="1"/>
    <col min="2580" max="2580" width="6.125" style="93" customWidth="1"/>
    <col min="2581" max="2581" width="9.75" style="93" customWidth="1"/>
    <col min="2582" max="2582" width="1.375" style="93" customWidth="1"/>
    <col min="2583" max="2822" width="9" style="93"/>
    <col min="2823" max="2823" width="1.375" style="93" customWidth="1"/>
    <col min="2824" max="2824" width="3.5" style="93" customWidth="1"/>
    <col min="2825" max="2825" width="22.125" style="93" customWidth="1"/>
    <col min="2826" max="2826" width="9.75" style="93" customWidth="1"/>
    <col min="2827" max="2827" width="7.375" style="93" customWidth="1"/>
    <col min="2828" max="2828" width="9" style="93"/>
    <col min="2829" max="2829" width="9.25" style="93" customWidth="1"/>
    <col min="2830" max="2830" width="3.5" style="93" customWidth="1"/>
    <col min="2831" max="2832" width="12.625" style="93" customWidth="1"/>
    <col min="2833" max="2833" width="9" style="93"/>
    <col min="2834" max="2834" width="7.75" style="93" customWidth="1"/>
    <col min="2835" max="2835" width="13.125" style="93" customWidth="1"/>
    <col min="2836" max="2836" width="6.125" style="93" customWidth="1"/>
    <col min="2837" max="2837" width="9.75" style="93" customWidth="1"/>
    <col min="2838" max="2838" width="1.375" style="93" customWidth="1"/>
    <col min="2839" max="3078" width="9" style="93"/>
    <col min="3079" max="3079" width="1.375" style="93" customWidth="1"/>
    <col min="3080" max="3080" width="3.5" style="93" customWidth="1"/>
    <col min="3081" max="3081" width="22.125" style="93" customWidth="1"/>
    <col min="3082" max="3082" width="9.75" style="93" customWidth="1"/>
    <col min="3083" max="3083" width="7.375" style="93" customWidth="1"/>
    <col min="3084" max="3084" width="9" style="93"/>
    <col min="3085" max="3085" width="9.25" style="93" customWidth="1"/>
    <col min="3086" max="3086" width="3.5" style="93" customWidth="1"/>
    <col min="3087" max="3088" width="12.625" style="93" customWidth="1"/>
    <col min="3089" max="3089" width="9" style="93"/>
    <col min="3090" max="3090" width="7.75" style="93" customWidth="1"/>
    <col min="3091" max="3091" width="13.125" style="93" customWidth="1"/>
    <col min="3092" max="3092" width="6.125" style="93" customWidth="1"/>
    <col min="3093" max="3093" width="9.75" style="93" customWidth="1"/>
    <col min="3094" max="3094" width="1.375" style="93" customWidth="1"/>
    <col min="3095" max="3334" width="9" style="93"/>
    <col min="3335" max="3335" width="1.375" style="93" customWidth="1"/>
    <col min="3336" max="3336" width="3.5" style="93" customWidth="1"/>
    <col min="3337" max="3337" width="22.125" style="93" customWidth="1"/>
    <col min="3338" max="3338" width="9.75" style="93" customWidth="1"/>
    <col min="3339" max="3339" width="7.375" style="93" customWidth="1"/>
    <col min="3340" max="3340" width="9" style="93"/>
    <col min="3341" max="3341" width="9.25" style="93" customWidth="1"/>
    <col min="3342" max="3342" width="3.5" style="93" customWidth="1"/>
    <col min="3343" max="3344" width="12.625" style="93" customWidth="1"/>
    <col min="3345" max="3345" width="9" style="93"/>
    <col min="3346" max="3346" width="7.75" style="93" customWidth="1"/>
    <col min="3347" max="3347" width="13.125" style="93" customWidth="1"/>
    <col min="3348" max="3348" width="6.125" style="93" customWidth="1"/>
    <col min="3349" max="3349" width="9.75" style="93" customWidth="1"/>
    <col min="3350" max="3350" width="1.375" style="93" customWidth="1"/>
    <col min="3351" max="3590" width="9" style="93"/>
    <col min="3591" max="3591" width="1.375" style="93" customWidth="1"/>
    <col min="3592" max="3592" width="3.5" style="93" customWidth="1"/>
    <col min="3593" max="3593" width="22.125" style="93" customWidth="1"/>
    <col min="3594" max="3594" width="9.75" style="93" customWidth="1"/>
    <col min="3595" max="3595" width="7.375" style="93" customWidth="1"/>
    <col min="3596" max="3596" width="9" style="93"/>
    <col min="3597" max="3597" width="9.25" style="93" customWidth="1"/>
    <col min="3598" max="3598" width="3.5" style="93" customWidth="1"/>
    <col min="3599" max="3600" width="12.625" style="93" customWidth="1"/>
    <col min="3601" max="3601" width="9" style="93"/>
    <col min="3602" max="3602" width="7.75" style="93" customWidth="1"/>
    <col min="3603" max="3603" width="13.125" style="93" customWidth="1"/>
    <col min="3604" max="3604" width="6.125" style="93" customWidth="1"/>
    <col min="3605" max="3605" width="9.75" style="93" customWidth="1"/>
    <col min="3606" max="3606" width="1.375" style="93" customWidth="1"/>
    <col min="3607" max="3846" width="9" style="93"/>
    <col min="3847" max="3847" width="1.375" style="93" customWidth="1"/>
    <col min="3848" max="3848" width="3.5" style="93" customWidth="1"/>
    <col min="3849" max="3849" width="22.125" style="93" customWidth="1"/>
    <col min="3850" max="3850" width="9.75" style="93" customWidth="1"/>
    <col min="3851" max="3851" width="7.375" style="93" customWidth="1"/>
    <col min="3852" max="3852" width="9" style="93"/>
    <col min="3853" max="3853" width="9.25" style="93" customWidth="1"/>
    <col min="3854" max="3854" width="3.5" style="93" customWidth="1"/>
    <col min="3855" max="3856" width="12.625" style="93" customWidth="1"/>
    <col min="3857" max="3857" width="9" style="93"/>
    <col min="3858" max="3858" width="7.75" style="93" customWidth="1"/>
    <col min="3859" max="3859" width="13.125" style="93" customWidth="1"/>
    <col min="3860" max="3860" width="6.125" style="93" customWidth="1"/>
    <col min="3861" max="3861" width="9.75" style="93" customWidth="1"/>
    <col min="3862" max="3862" width="1.375" style="93" customWidth="1"/>
    <col min="3863" max="4102" width="9" style="93"/>
    <col min="4103" max="4103" width="1.375" style="93" customWidth="1"/>
    <col min="4104" max="4104" width="3.5" style="93" customWidth="1"/>
    <col min="4105" max="4105" width="22.125" style="93" customWidth="1"/>
    <col min="4106" max="4106" width="9.75" style="93" customWidth="1"/>
    <col min="4107" max="4107" width="7.375" style="93" customWidth="1"/>
    <col min="4108" max="4108" width="9" style="93"/>
    <col min="4109" max="4109" width="9.25" style="93" customWidth="1"/>
    <col min="4110" max="4110" width="3.5" style="93" customWidth="1"/>
    <col min="4111" max="4112" width="12.625" style="93" customWidth="1"/>
    <col min="4113" max="4113" width="9" style="93"/>
    <col min="4114" max="4114" width="7.75" style="93" customWidth="1"/>
    <col min="4115" max="4115" width="13.125" style="93" customWidth="1"/>
    <col min="4116" max="4116" width="6.125" style="93" customWidth="1"/>
    <col min="4117" max="4117" width="9.75" style="93" customWidth="1"/>
    <col min="4118" max="4118" width="1.375" style="93" customWidth="1"/>
    <col min="4119" max="4358" width="9" style="93"/>
    <col min="4359" max="4359" width="1.375" style="93" customWidth="1"/>
    <col min="4360" max="4360" width="3.5" style="93" customWidth="1"/>
    <col min="4361" max="4361" width="22.125" style="93" customWidth="1"/>
    <col min="4362" max="4362" width="9.75" style="93" customWidth="1"/>
    <col min="4363" max="4363" width="7.375" style="93" customWidth="1"/>
    <col min="4364" max="4364" width="9" style="93"/>
    <col min="4365" max="4365" width="9.25" style="93" customWidth="1"/>
    <col min="4366" max="4366" width="3.5" style="93" customWidth="1"/>
    <col min="4367" max="4368" width="12.625" style="93" customWidth="1"/>
    <col min="4369" max="4369" width="9" style="93"/>
    <col min="4370" max="4370" width="7.75" style="93" customWidth="1"/>
    <col min="4371" max="4371" width="13.125" style="93" customWidth="1"/>
    <col min="4372" max="4372" width="6.125" style="93" customWidth="1"/>
    <col min="4373" max="4373" width="9.75" style="93" customWidth="1"/>
    <col min="4374" max="4374" width="1.375" style="93" customWidth="1"/>
    <col min="4375" max="4614" width="9" style="93"/>
    <col min="4615" max="4615" width="1.375" style="93" customWidth="1"/>
    <col min="4616" max="4616" width="3.5" style="93" customWidth="1"/>
    <col min="4617" max="4617" width="22.125" style="93" customWidth="1"/>
    <col min="4618" max="4618" width="9.75" style="93" customWidth="1"/>
    <col min="4619" max="4619" width="7.375" style="93" customWidth="1"/>
    <col min="4620" max="4620" width="9" style="93"/>
    <col min="4621" max="4621" width="9.25" style="93" customWidth="1"/>
    <col min="4622" max="4622" width="3.5" style="93" customWidth="1"/>
    <col min="4623" max="4624" width="12.625" style="93" customWidth="1"/>
    <col min="4625" max="4625" width="9" style="93"/>
    <col min="4626" max="4626" width="7.75" style="93" customWidth="1"/>
    <col min="4627" max="4627" width="13.125" style="93" customWidth="1"/>
    <col min="4628" max="4628" width="6.125" style="93" customWidth="1"/>
    <col min="4629" max="4629" width="9.75" style="93" customWidth="1"/>
    <col min="4630" max="4630" width="1.375" style="93" customWidth="1"/>
    <col min="4631" max="4870" width="9" style="93"/>
    <col min="4871" max="4871" width="1.375" style="93" customWidth="1"/>
    <col min="4872" max="4872" width="3.5" style="93" customWidth="1"/>
    <col min="4873" max="4873" width="22.125" style="93" customWidth="1"/>
    <col min="4874" max="4874" width="9.75" style="93" customWidth="1"/>
    <col min="4875" max="4875" width="7.375" style="93" customWidth="1"/>
    <col min="4876" max="4876" width="9" style="93"/>
    <col min="4877" max="4877" width="9.25" style="93" customWidth="1"/>
    <col min="4878" max="4878" width="3.5" style="93" customWidth="1"/>
    <col min="4879" max="4880" width="12.625" style="93" customWidth="1"/>
    <col min="4881" max="4881" width="9" style="93"/>
    <col min="4882" max="4882" width="7.75" style="93" customWidth="1"/>
    <col min="4883" max="4883" width="13.125" style="93" customWidth="1"/>
    <col min="4884" max="4884" width="6.125" style="93" customWidth="1"/>
    <col min="4885" max="4885" width="9.75" style="93" customWidth="1"/>
    <col min="4886" max="4886" width="1.375" style="93" customWidth="1"/>
    <col min="4887" max="5126" width="9" style="93"/>
    <col min="5127" max="5127" width="1.375" style="93" customWidth="1"/>
    <col min="5128" max="5128" width="3.5" style="93" customWidth="1"/>
    <col min="5129" max="5129" width="22.125" style="93" customWidth="1"/>
    <col min="5130" max="5130" width="9.75" style="93" customWidth="1"/>
    <col min="5131" max="5131" width="7.375" style="93" customWidth="1"/>
    <col min="5132" max="5132" width="9" style="93"/>
    <col min="5133" max="5133" width="9.25" style="93" customWidth="1"/>
    <col min="5134" max="5134" width="3.5" style="93" customWidth="1"/>
    <col min="5135" max="5136" width="12.625" style="93" customWidth="1"/>
    <col min="5137" max="5137" width="9" style="93"/>
    <col min="5138" max="5138" width="7.75" style="93" customWidth="1"/>
    <col min="5139" max="5139" width="13.125" style="93" customWidth="1"/>
    <col min="5140" max="5140" width="6.125" style="93" customWidth="1"/>
    <col min="5141" max="5141" width="9.75" style="93" customWidth="1"/>
    <col min="5142" max="5142" width="1.375" style="93" customWidth="1"/>
    <col min="5143" max="5382" width="9" style="93"/>
    <col min="5383" max="5383" width="1.375" style="93" customWidth="1"/>
    <col min="5384" max="5384" width="3.5" style="93" customWidth="1"/>
    <col min="5385" max="5385" width="22.125" style="93" customWidth="1"/>
    <col min="5386" max="5386" width="9.75" style="93" customWidth="1"/>
    <col min="5387" max="5387" width="7.375" style="93" customWidth="1"/>
    <col min="5388" max="5388" width="9" style="93"/>
    <col min="5389" max="5389" width="9.25" style="93" customWidth="1"/>
    <col min="5390" max="5390" width="3.5" style="93" customWidth="1"/>
    <col min="5391" max="5392" width="12.625" style="93" customWidth="1"/>
    <col min="5393" max="5393" width="9" style="93"/>
    <col min="5394" max="5394" width="7.75" style="93" customWidth="1"/>
    <col min="5395" max="5395" width="13.125" style="93" customWidth="1"/>
    <col min="5396" max="5396" width="6.125" style="93" customWidth="1"/>
    <col min="5397" max="5397" width="9.75" style="93" customWidth="1"/>
    <col min="5398" max="5398" width="1.375" style="93" customWidth="1"/>
    <col min="5399" max="5638" width="9" style="93"/>
    <col min="5639" max="5639" width="1.375" style="93" customWidth="1"/>
    <col min="5640" max="5640" width="3.5" style="93" customWidth="1"/>
    <col min="5641" max="5641" width="22.125" style="93" customWidth="1"/>
    <col min="5642" max="5642" width="9.75" style="93" customWidth="1"/>
    <col min="5643" max="5643" width="7.375" style="93" customWidth="1"/>
    <col min="5644" max="5644" width="9" style="93"/>
    <col min="5645" max="5645" width="9.25" style="93" customWidth="1"/>
    <col min="5646" max="5646" width="3.5" style="93" customWidth="1"/>
    <col min="5647" max="5648" width="12.625" style="93" customWidth="1"/>
    <col min="5649" max="5649" width="9" style="93"/>
    <col min="5650" max="5650" width="7.75" style="93" customWidth="1"/>
    <col min="5651" max="5651" width="13.125" style="93" customWidth="1"/>
    <col min="5652" max="5652" width="6.125" style="93" customWidth="1"/>
    <col min="5653" max="5653" width="9.75" style="93" customWidth="1"/>
    <col min="5654" max="5654" width="1.375" style="93" customWidth="1"/>
    <col min="5655" max="5894" width="9" style="93"/>
    <col min="5895" max="5895" width="1.375" style="93" customWidth="1"/>
    <col min="5896" max="5896" width="3.5" style="93" customWidth="1"/>
    <col min="5897" max="5897" width="22.125" style="93" customWidth="1"/>
    <col min="5898" max="5898" width="9.75" style="93" customWidth="1"/>
    <col min="5899" max="5899" width="7.375" style="93" customWidth="1"/>
    <col min="5900" max="5900" width="9" style="93"/>
    <col min="5901" max="5901" width="9.25" style="93" customWidth="1"/>
    <col min="5902" max="5902" width="3.5" style="93" customWidth="1"/>
    <col min="5903" max="5904" width="12.625" style="93" customWidth="1"/>
    <col min="5905" max="5905" width="9" style="93"/>
    <col min="5906" max="5906" width="7.75" style="93" customWidth="1"/>
    <col min="5907" max="5907" width="13.125" style="93" customWidth="1"/>
    <col min="5908" max="5908" width="6.125" style="93" customWidth="1"/>
    <col min="5909" max="5909" width="9.75" style="93" customWidth="1"/>
    <col min="5910" max="5910" width="1.375" style="93" customWidth="1"/>
    <col min="5911" max="6150" width="9" style="93"/>
    <col min="6151" max="6151" width="1.375" style="93" customWidth="1"/>
    <col min="6152" max="6152" width="3.5" style="93" customWidth="1"/>
    <col min="6153" max="6153" width="22.125" style="93" customWidth="1"/>
    <col min="6154" max="6154" width="9.75" style="93" customWidth="1"/>
    <col min="6155" max="6155" width="7.375" style="93" customWidth="1"/>
    <col min="6156" max="6156" width="9" style="93"/>
    <col min="6157" max="6157" width="9.25" style="93" customWidth="1"/>
    <col min="6158" max="6158" width="3.5" style="93" customWidth="1"/>
    <col min="6159" max="6160" width="12.625" style="93" customWidth="1"/>
    <col min="6161" max="6161" width="9" style="93"/>
    <col min="6162" max="6162" width="7.75" style="93" customWidth="1"/>
    <col min="6163" max="6163" width="13.125" style="93" customWidth="1"/>
    <col min="6164" max="6164" width="6.125" style="93" customWidth="1"/>
    <col min="6165" max="6165" width="9.75" style="93" customWidth="1"/>
    <col min="6166" max="6166" width="1.375" style="93" customWidth="1"/>
    <col min="6167" max="6406" width="9" style="93"/>
    <col min="6407" max="6407" width="1.375" style="93" customWidth="1"/>
    <col min="6408" max="6408" width="3.5" style="93" customWidth="1"/>
    <col min="6409" max="6409" width="22.125" style="93" customWidth="1"/>
    <col min="6410" max="6410" width="9.75" style="93" customWidth="1"/>
    <col min="6411" max="6411" width="7.375" style="93" customWidth="1"/>
    <col min="6412" max="6412" width="9" style="93"/>
    <col min="6413" max="6413" width="9.25" style="93" customWidth="1"/>
    <col min="6414" max="6414" width="3.5" style="93" customWidth="1"/>
    <col min="6415" max="6416" width="12.625" style="93" customWidth="1"/>
    <col min="6417" max="6417" width="9" style="93"/>
    <col min="6418" max="6418" width="7.75" style="93" customWidth="1"/>
    <col min="6419" max="6419" width="13.125" style="93" customWidth="1"/>
    <col min="6420" max="6420" width="6.125" style="93" customWidth="1"/>
    <col min="6421" max="6421" width="9.75" style="93" customWidth="1"/>
    <col min="6422" max="6422" width="1.375" style="93" customWidth="1"/>
    <col min="6423" max="6662" width="9" style="93"/>
    <col min="6663" max="6663" width="1.375" style="93" customWidth="1"/>
    <col min="6664" max="6664" width="3.5" style="93" customWidth="1"/>
    <col min="6665" max="6665" width="22.125" style="93" customWidth="1"/>
    <col min="6666" max="6666" width="9.75" style="93" customWidth="1"/>
    <col min="6667" max="6667" width="7.375" style="93" customWidth="1"/>
    <col min="6668" max="6668" width="9" style="93"/>
    <col min="6669" max="6669" width="9.25" style="93" customWidth="1"/>
    <col min="6670" max="6670" width="3.5" style="93" customWidth="1"/>
    <col min="6671" max="6672" width="12.625" style="93" customWidth="1"/>
    <col min="6673" max="6673" width="9" style="93"/>
    <col min="6674" max="6674" width="7.75" style="93" customWidth="1"/>
    <col min="6675" max="6675" width="13.125" style="93" customWidth="1"/>
    <col min="6676" max="6676" width="6.125" style="93" customWidth="1"/>
    <col min="6677" max="6677" width="9.75" style="93" customWidth="1"/>
    <col min="6678" max="6678" width="1.375" style="93" customWidth="1"/>
    <col min="6679" max="6918" width="9" style="93"/>
    <col min="6919" max="6919" width="1.375" style="93" customWidth="1"/>
    <col min="6920" max="6920" width="3.5" style="93" customWidth="1"/>
    <col min="6921" max="6921" width="22.125" style="93" customWidth="1"/>
    <col min="6922" max="6922" width="9.75" style="93" customWidth="1"/>
    <col min="6923" max="6923" width="7.375" style="93" customWidth="1"/>
    <col min="6924" max="6924" width="9" style="93"/>
    <col min="6925" max="6925" width="9.25" style="93" customWidth="1"/>
    <col min="6926" max="6926" width="3.5" style="93" customWidth="1"/>
    <col min="6927" max="6928" width="12.625" style="93" customWidth="1"/>
    <col min="6929" max="6929" width="9" style="93"/>
    <col min="6930" max="6930" width="7.75" style="93" customWidth="1"/>
    <col min="6931" max="6931" width="13.125" style="93" customWidth="1"/>
    <col min="6932" max="6932" width="6.125" style="93" customWidth="1"/>
    <col min="6933" max="6933" width="9.75" style="93" customWidth="1"/>
    <col min="6934" max="6934" width="1.375" style="93" customWidth="1"/>
    <col min="6935" max="7174" width="9" style="93"/>
    <col min="7175" max="7175" width="1.375" style="93" customWidth="1"/>
    <col min="7176" max="7176" width="3.5" style="93" customWidth="1"/>
    <col min="7177" max="7177" width="22.125" style="93" customWidth="1"/>
    <col min="7178" max="7178" width="9.75" style="93" customWidth="1"/>
    <col min="7179" max="7179" width="7.375" style="93" customWidth="1"/>
    <col min="7180" max="7180" width="9" style="93"/>
    <col min="7181" max="7181" width="9.25" style="93" customWidth="1"/>
    <col min="7182" max="7182" width="3.5" style="93" customWidth="1"/>
    <col min="7183" max="7184" width="12.625" style="93" customWidth="1"/>
    <col min="7185" max="7185" width="9" style="93"/>
    <col min="7186" max="7186" width="7.75" style="93" customWidth="1"/>
    <col min="7187" max="7187" width="13.125" style="93" customWidth="1"/>
    <col min="7188" max="7188" width="6.125" style="93" customWidth="1"/>
    <col min="7189" max="7189" width="9.75" style="93" customWidth="1"/>
    <col min="7190" max="7190" width="1.375" style="93" customWidth="1"/>
    <col min="7191" max="7430" width="9" style="93"/>
    <col min="7431" max="7431" width="1.375" style="93" customWidth="1"/>
    <col min="7432" max="7432" width="3.5" style="93" customWidth="1"/>
    <col min="7433" max="7433" width="22.125" style="93" customWidth="1"/>
    <col min="7434" max="7434" width="9.75" style="93" customWidth="1"/>
    <col min="7435" max="7435" width="7.375" style="93" customWidth="1"/>
    <col min="7436" max="7436" width="9" style="93"/>
    <col min="7437" max="7437" width="9.25" style="93" customWidth="1"/>
    <col min="7438" max="7438" width="3.5" style="93" customWidth="1"/>
    <col min="7439" max="7440" width="12.625" style="93" customWidth="1"/>
    <col min="7441" max="7441" width="9" style="93"/>
    <col min="7442" max="7442" width="7.75" style="93" customWidth="1"/>
    <col min="7443" max="7443" width="13.125" style="93" customWidth="1"/>
    <col min="7444" max="7444" width="6.125" style="93" customWidth="1"/>
    <col min="7445" max="7445" width="9.75" style="93" customWidth="1"/>
    <col min="7446" max="7446" width="1.375" style="93" customWidth="1"/>
    <col min="7447" max="7686" width="9" style="93"/>
    <col min="7687" max="7687" width="1.375" style="93" customWidth="1"/>
    <col min="7688" max="7688" width="3.5" style="93" customWidth="1"/>
    <col min="7689" max="7689" width="22.125" style="93" customWidth="1"/>
    <col min="7690" max="7690" width="9.75" style="93" customWidth="1"/>
    <col min="7691" max="7691" width="7.375" style="93" customWidth="1"/>
    <col min="7692" max="7692" width="9" style="93"/>
    <col min="7693" max="7693" width="9.25" style="93" customWidth="1"/>
    <col min="7694" max="7694" width="3.5" style="93" customWidth="1"/>
    <col min="7695" max="7696" width="12.625" style="93" customWidth="1"/>
    <col min="7697" max="7697" width="9" style="93"/>
    <col min="7698" max="7698" width="7.75" style="93" customWidth="1"/>
    <col min="7699" max="7699" width="13.125" style="93" customWidth="1"/>
    <col min="7700" max="7700" width="6.125" style="93" customWidth="1"/>
    <col min="7701" max="7701" width="9.75" style="93" customWidth="1"/>
    <col min="7702" max="7702" width="1.375" style="93" customWidth="1"/>
    <col min="7703" max="7942" width="9" style="93"/>
    <col min="7943" max="7943" width="1.375" style="93" customWidth="1"/>
    <col min="7944" max="7944" width="3.5" style="93" customWidth="1"/>
    <col min="7945" max="7945" width="22.125" style="93" customWidth="1"/>
    <col min="7946" max="7946" width="9.75" style="93" customWidth="1"/>
    <col min="7947" max="7947" width="7.375" style="93" customWidth="1"/>
    <col min="7948" max="7948" width="9" style="93"/>
    <col min="7949" max="7949" width="9.25" style="93" customWidth="1"/>
    <col min="7950" max="7950" width="3.5" style="93" customWidth="1"/>
    <col min="7951" max="7952" width="12.625" style="93" customWidth="1"/>
    <col min="7953" max="7953" width="9" style="93"/>
    <col min="7954" max="7954" width="7.75" style="93" customWidth="1"/>
    <col min="7955" max="7955" width="13.125" style="93" customWidth="1"/>
    <col min="7956" max="7956" width="6.125" style="93" customWidth="1"/>
    <col min="7957" max="7957" width="9.75" style="93" customWidth="1"/>
    <col min="7958" max="7958" width="1.375" style="93" customWidth="1"/>
    <col min="7959" max="8198" width="9" style="93"/>
    <col min="8199" max="8199" width="1.375" style="93" customWidth="1"/>
    <col min="8200" max="8200" width="3.5" style="93" customWidth="1"/>
    <col min="8201" max="8201" width="22.125" style="93" customWidth="1"/>
    <col min="8202" max="8202" width="9.75" style="93" customWidth="1"/>
    <col min="8203" max="8203" width="7.375" style="93" customWidth="1"/>
    <col min="8204" max="8204" width="9" style="93"/>
    <col min="8205" max="8205" width="9.25" style="93" customWidth="1"/>
    <col min="8206" max="8206" width="3.5" style="93" customWidth="1"/>
    <col min="8207" max="8208" width="12.625" style="93" customWidth="1"/>
    <col min="8209" max="8209" width="9" style="93"/>
    <col min="8210" max="8210" width="7.75" style="93" customWidth="1"/>
    <col min="8211" max="8211" width="13.125" style="93" customWidth="1"/>
    <col min="8212" max="8212" width="6.125" style="93" customWidth="1"/>
    <col min="8213" max="8213" width="9.75" style="93" customWidth="1"/>
    <col min="8214" max="8214" width="1.375" style="93" customWidth="1"/>
    <col min="8215" max="8454" width="9" style="93"/>
    <col min="8455" max="8455" width="1.375" style="93" customWidth="1"/>
    <col min="8456" max="8456" width="3.5" style="93" customWidth="1"/>
    <col min="8457" max="8457" width="22.125" style="93" customWidth="1"/>
    <col min="8458" max="8458" width="9.75" style="93" customWidth="1"/>
    <col min="8459" max="8459" width="7.375" style="93" customWidth="1"/>
    <col min="8460" max="8460" width="9" style="93"/>
    <col min="8461" max="8461" width="9.25" style="93" customWidth="1"/>
    <col min="8462" max="8462" width="3.5" style="93" customWidth="1"/>
    <col min="8463" max="8464" width="12.625" style="93" customWidth="1"/>
    <col min="8465" max="8465" width="9" style="93"/>
    <col min="8466" max="8466" width="7.75" style="93" customWidth="1"/>
    <col min="8467" max="8467" width="13.125" style="93" customWidth="1"/>
    <col min="8468" max="8468" width="6.125" style="93" customWidth="1"/>
    <col min="8469" max="8469" width="9.75" style="93" customWidth="1"/>
    <col min="8470" max="8470" width="1.375" style="93" customWidth="1"/>
    <col min="8471" max="8710" width="9" style="93"/>
    <col min="8711" max="8711" width="1.375" style="93" customWidth="1"/>
    <col min="8712" max="8712" width="3.5" style="93" customWidth="1"/>
    <col min="8713" max="8713" width="22.125" style="93" customWidth="1"/>
    <col min="8714" max="8714" width="9.75" style="93" customWidth="1"/>
    <col min="8715" max="8715" width="7.375" style="93" customWidth="1"/>
    <col min="8716" max="8716" width="9" style="93"/>
    <col min="8717" max="8717" width="9.25" style="93" customWidth="1"/>
    <col min="8718" max="8718" width="3.5" style="93" customWidth="1"/>
    <col min="8719" max="8720" width="12.625" style="93" customWidth="1"/>
    <col min="8721" max="8721" width="9" style="93"/>
    <col min="8722" max="8722" width="7.75" style="93" customWidth="1"/>
    <col min="8723" max="8723" width="13.125" style="93" customWidth="1"/>
    <col min="8724" max="8724" width="6.125" style="93" customWidth="1"/>
    <col min="8725" max="8725" width="9.75" style="93" customWidth="1"/>
    <col min="8726" max="8726" width="1.375" style="93" customWidth="1"/>
    <col min="8727" max="8966" width="9" style="93"/>
    <col min="8967" max="8967" width="1.375" style="93" customWidth="1"/>
    <col min="8968" max="8968" width="3.5" style="93" customWidth="1"/>
    <col min="8969" max="8969" width="22.125" style="93" customWidth="1"/>
    <col min="8970" max="8970" width="9.75" style="93" customWidth="1"/>
    <col min="8971" max="8971" width="7.375" style="93" customWidth="1"/>
    <col min="8972" max="8972" width="9" style="93"/>
    <col min="8973" max="8973" width="9.25" style="93" customWidth="1"/>
    <col min="8974" max="8974" width="3.5" style="93" customWidth="1"/>
    <col min="8975" max="8976" width="12.625" style="93" customWidth="1"/>
    <col min="8977" max="8977" width="9" style="93"/>
    <col min="8978" max="8978" width="7.75" style="93" customWidth="1"/>
    <col min="8979" max="8979" width="13.125" style="93" customWidth="1"/>
    <col min="8980" max="8980" width="6.125" style="93" customWidth="1"/>
    <col min="8981" max="8981" width="9.75" style="93" customWidth="1"/>
    <col min="8982" max="8982" width="1.375" style="93" customWidth="1"/>
    <col min="8983" max="9222" width="9" style="93"/>
    <col min="9223" max="9223" width="1.375" style="93" customWidth="1"/>
    <col min="9224" max="9224" width="3.5" style="93" customWidth="1"/>
    <col min="9225" max="9225" width="22.125" style="93" customWidth="1"/>
    <col min="9226" max="9226" width="9.75" style="93" customWidth="1"/>
    <col min="9227" max="9227" width="7.375" style="93" customWidth="1"/>
    <col min="9228" max="9228" width="9" style="93"/>
    <col min="9229" max="9229" width="9.25" style="93" customWidth="1"/>
    <col min="9230" max="9230" width="3.5" style="93" customWidth="1"/>
    <col min="9231" max="9232" width="12.625" style="93" customWidth="1"/>
    <col min="9233" max="9233" width="9" style="93"/>
    <col min="9234" max="9234" width="7.75" style="93" customWidth="1"/>
    <col min="9235" max="9235" width="13.125" style="93" customWidth="1"/>
    <col min="9236" max="9236" width="6.125" style="93" customWidth="1"/>
    <col min="9237" max="9237" width="9.75" style="93" customWidth="1"/>
    <col min="9238" max="9238" width="1.375" style="93" customWidth="1"/>
    <col min="9239" max="9478" width="9" style="93"/>
    <col min="9479" max="9479" width="1.375" style="93" customWidth="1"/>
    <col min="9480" max="9480" width="3.5" style="93" customWidth="1"/>
    <col min="9481" max="9481" width="22.125" style="93" customWidth="1"/>
    <col min="9482" max="9482" width="9.75" style="93" customWidth="1"/>
    <col min="9483" max="9483" width="7.375" style="93" customWidth="1"/>
    <col min="9484" max="9484" width="9" style="93"/>
    <col min="9485" max="9485" width="9.25" style="93" customWidth="1"/>
    <col min="9486" max="9486" width="3.5" style="93" customWidth="1"/>
    <col min="9487" max="9488" width="12.625" style="93" customWidth="1"/>
    <col min="9489" max="9489" width="9" style="93"/>
    <col min="9490" max="9490" width="7.75" style="93" customWidth="1"/>
    <col min="9491" max="9491" width="13.125" style="93" customWidth="1"/>
    <col min="9492" max="9492" width="6.125" style="93" customWidth="1"/>
    <col min="9493" max="9493" width="9.75" style="93" customWidth="1"/>
    <col min="9494" max="9494" width="1.375" style="93" customWidth="1"/>
    <col min="9495" max="9734" width="9" style="93"/>
    <col min="9735" max="9735" width="1.375" style="93" customWidth="1"/>
    <col min="9736" max="9736" width="3.5" style="93" customWidth="1"/>
    <col min="9737" max="9737" width="22.125" style="93" customWidth="1"/>
    <col min="9738" max="9738" width="9.75" style="93" customWidth="1"/>
    <col min="9739" max="9739" width="7.375" style="93" customWidth="1"/>
    <col min="9740" max="9740" width="9" style="93"/>
    <col min="9741" max="9741" width="9.25" style="93" customWidth="1"/>
    <col min="9742" max="9742" width="3.5" style="93" customWidth="1"/>
    <col min="9743" max="9744" width="12.625" style="93" customWidth="1"/>
    <col min="9745" max="9745" width="9" style="93"/>
    <col min="9746" max="9746" width="7.75" style="93" customWidth="1"/>
    <col min="9747" max="9747" width="13.125" style="93" customWidth="1"/>
    <col min="9748" max="9748" width="6.125" style="93" customWidth="1"/>
    <col min="9749" max="9749" width="9.75" style="93" customWidth="1"/>
    <col min="9750" max="9750" width="1.375" style="93" customWidth="1"/>
    <col min="9751" max="9990" width="9" style="93"/>
    <col min="9991" max="9991" width="1.375" style="93" customWidth="1"/>
    <col min="9992" max="9992" width="3.5" style="93" customWidth="1"/>
    <col min="9993" max="9993" width="22.125" style="93" customWidth="1"/>
    <col min="9994" max="9994" width="9.75" style="93" customWidth="1"/>
    <col min="9995" max="9995" width="7.375" style="93" customWidth="1"/>
    <col min="9996" max="9996" width="9" style="93"/>
    <col min="9997" max="9997" width="9.25" style="93" customWidth="1"/>
    <col min="9998" max="9998" width="3.5" style="93" customWidth="1"/>
    <col min="9999" max="10000" width="12.625" style="93" customWidth="1"/>
    <col min="10001" max="10001" width="9" style="93"/>
    <col min="10002" max="10002" width="7.75" style="93" customWidth="1"/>
    <col min="10003" max="10003" width="13.125" style="93" customWidth="1"/>
    <col min="10004" max="10004" width="6.125" style="93" customWidth="1"/>
    <col min="10005" max="10005" width="9.75" style="93" customWidth="1"/>
    <col min="10006" max="10006" width="1.375" style="93" customWidth="1"/>
    <col min="10007" max="10246" width="9" style="93"/>
    <col min="10247" max="10247" width="1.375" style="93" customWidth="1"/>
    <col min="10248" max="10248" width="3.5" style="93" customWidth="1"/>
    <col min="10249" max="10249" width="22.125" style="93" customWidth="1"/>
    <col min="10250" max="10250" width="9.75" style="93" customWidth="1"/>
    <col min="10251" max="10251" width="7.375" style="93" customWidth="1"/>
    <col min="10252" max="10252" width="9" style="93"/>
    <col min="10253" max="10253" width="9.25" style="93" customWidth="1"/>
    <col min="10254" max="10254" width="3.5" style="93" customWidth="1"/>
    <col min="10255" max="10256" width="12.625" style="93" customWidth="1"/>
    <col min="10257" max="10257" width="9" style="93"/>
    <col min="10258" max="10258" width="7.75" style="93" customWidth="1"/>
    <col min="10259" max="10259" width="13.125" style="93" customWidth="1"/>
    <col min="10260" max="10260" width="6.125" style="93" customWidth="1"/>
    <col min="10261" max="10261" width="9.75" style="93" customWidth="1"/>
    <col min="10262" max="10262" width="1.375" style="93" customWidth="1"/>
    <col min="10263" max="10502" width="9" style="93"/>
    <col min="10503" max="10503" width="1.375" style="93" customWidth="1"/>
    <col min="10504" max="10504" width="3.5" style="93" customWidth="1"/>
    <col min="10505" max="10505" width="22.125" style="93" customWidth="1"/>
    <col min="10506" max="10506" width="9.75" style="93" customWidth="1"/>
    <col min="10507" max="10507" width="7.375" style="93" customWidth="1"/>
    <col min="10508" max="10508" width="9" style="93"/>
    <col min="10509" max="10509" width="9.25" style="93" customWidth="1"/>
    <col min="10510" max="10510" width="3.5" style="93" customWidth="1"/>
    <col min="10511" max="10512" width="12.625" style="93" customWidth="1"/>
    <col min="10513" max="10513" width="9" style="93"/>
    <col min="10514" max="10514" width="7.75" style="93" customWidth="1"/>
    <col min="10515" max="10515" width="13.125" style="93" customWidth="1"/>
    <col min="10516" max="10516" width="6.125" style="93" customWidth="1"/>
    <col min="10517" max="10517" width="9.75" style="93" customWidth="1"/>
    <col min="10518" max="10518" width="1.375" style="93" customWidth="1"/>
    <col min="10519" max="10758" width="9" style="93"/>
    <col min="10759" max="10759" width="1.375" style="93" customWidth="1"/>
    <col min="10760" max="10760" width="3.5" style="93" customWidth="1"/>
    <col min="10761" max="10761" width="22.125" style="93" customWidth="1"/>
    <col min="10762" max="10762" width="9.75" style="93" customWidth="1"/>
    <col min="10763" max="10763" width="7.375" style="93" customWidth="1"/>
    <col min="10764" max="10764" width="9" style="93"/>
    <col min="10765" max="10765" width="9.25" style="93" customWidth="1"/>
    <col min="10766" max="10766" width="3.5" style="93" customWidth="1"/>
    <col min="10767" max="10768" width="12.625" style="93" customWidth="1"/>
    <col min="10769" max="10769" width="9" style="93"/>
    <col min="10770" max="10770" width="7.75" style="93" customWidth="1"/>
    <col min="10771" max="10771" width="13.125" style="93" customWidth="1"/>
    <col min="10772" max="10772" width="6.125" style="93" customWidth="1"/>
    <col min="10773" max="10773" width="9.75" style="93" customWidth="1"/>
    <col min="10774" max="10774" width="1.375" style="93" customWidth="1"/>
    <col min="10775" max="11014" width="9" style="93"/>
    <col min="11015" max="11015" width="1.375" style="93" customWidth="1"/>
    <col min="11016" max="11016" width="3.5" style="93" customWidth="1"/>
    <col min="11017" max="11017" width="22.125" style="93" customWidth="1"/>
    <col min="11018" max="11018" width="9.75" style="93" customWidth="1"/>
    <col min="11019" max="11019" width="7.375" style="93" customWidth="1"/>
    <col min="11020" max="11020" width="9" style="93"/>
    <col min="11021" max="11021" width="9.25" style="93" customWidth="1"/>
    <col min="11022" max="11022" width="3.5" style="93" customWidth="1"/>
    <col min="11023" max="11024" width="12.625" style="93" customWidth="1"/>
    <col min="11025" max="11025" width="9" style="93"/>
    <col min="11026" max="11026" width="7.75" style="93" customWidth="1"/>
    <col min="11027" max="11027" width="13.125" style="93" customWidth="1"/>
    <col min="11028" max="11028" width="6.125" style="93" customWidth="1"/>
    <col min="11029" max="11029" width="9.75" style="93" customWidth="1"/>
    <col min="11030" max="11030" width="1.375" style="93" customWidth="1"/>
    <col min="11031" max="11270" width="9" style="93"/>
    <col min="11271" max="11271" width="1.375" style="93" customWidth="1"/>
    <col min="11272" max="11272" width="3.5" style="93" customWidth="1"/>
    <col min="11273" max="11273" width="22.125" style="93" customWidth="1"/>
    <col min="11274" max="11274" width="9.75" style="93" customWidth="1"/>
    <col min="11275" max="11275" width="7.375" style="93" customWidth="1"/>
    <col min="11276" max="11276" width="9" style="93"/>
    <col min="11277" max="11277" width="9.25" style="93" customWidth="1"/>
    <col min="11278" max="11278" width="3.5" style="93" customWidth="1"/>
    <col min="11279" max="11280" width="12.625" style="93" customWidth="1"/>
    <col min="11281" max="11281" width="9" style="93"/>
    <col min="11282" max="11282" width="7.75" style="93" customWidth="1"/>
    <col min="11283" max="11283" width="13.125" style="93" customWidth="1"/>
    <col min="11284" max="11284" width="6.125" style="93" customWidth="1"/>
    <col min="11285" max="11285" width="9.75" style="93" customWidth="1"/>
    <col min="11286" max="11286" width="1.375" style="93" customWidth="1"/>
    <col min="11287" max="11526" width="9" style="93"/>
    <col min="11527" max="11527" width="1.375" style="93" customWidth="1"/>
    <col min="11528" max="11528" width="3.5" style="93" customWidth="1"/>
    <col min="11529" max="11529" width="22.125" style="93" customWidth="1"/>
    <col min="11530" max="11530" width="9.75" style="93" customWidth="1"/>
    <col min="11531" max="11531" width="7.375" style="93" customWidth="1"/>
    <col min="11532" max="11532" width="9" style="93"/>
    <col min="11533" max="11533" width="9.25" style="93" customWidth="1"/>
    <col min="11534" max="11534" width="3.5" style="93" customWidth="1"/>
    <col min="11535" max="11536" width="12.625" style="93" customWidth="1"/>
    <col min="11537" max="11537" width="9" style="93"/>
    <col min="11538" max="11538" width="7.75" style="93" customWidth="1"/>
    <col min="11539" max="11539" width="13.125" style="93" customWidth="1"/>
    <col min="11540" max="11540" width="6.125" style="93" customWidth="1"/>
    <col min="11541" max="11541" width="9.75" style="93" customWidth="1"/>
    <col min="11542" max="11542" width="1.375" style="93" customWidth="1"/>
    <col min="11543" max="11782" width="9" style="93"/>
    <col min="11783" max="11783" width="1.375" style="93" customWidth="1"/>
    <col min="11784" max="11784" width="3.5" style="93" customWidth="1"/>
    <col min="11785" max="11785" width="22.125" style="93" customWidth="1"/>
    <col min="11786" max="11786" width="9.75" style="93" customWidth="1"/>
    <col min="11787" max="11787" width="7.375" style="93" customWidth="1"/>
    <col min="11788" max="11788" width="9" style="93"/>
    <col min="11789" max="11789" width="9.25" style="93" customWidth="1"/>
    <col min="11790" max="11790" width="3.5" style="93" customWidth="1"/>
    <col min="11791" max="11792" width="12.625" style="93" customWidth="1"/>
    <col min="11793" max="11793" width="9" style="93"/>
    <col min="11794" max="11794" width="7.75" style="93" customWidth="1"/>
    <col min="11795" max="11795" width="13.125" style="93" customWidth="1"/>
    <col min="11796" max="11796" width="6.125" style="93" customWidth="1"/>
    <col min="11797" max="11797" width="9.75" style="93" customWidth="1"/>
    <col min="11798" max="11798" width="1.375" style="93" customWidth="1"/>
    <col min="11799" max="12038" width="9" style="93"/>
    <col min="12039" max="12039" width="1.375" style="93" customWidth="1"/>
    <col min="12040" max="12040" width="3.5" style="93" customWidth="1"/>
    <col min="12041" max="12041" width="22.125" style="93" customWidth="1"/>
    <col min="12042" max="12042" width="9.75" style="93" customWidth="1"/>
    <col min="12043" max="12043" width="7.375" style="93" customWidth="1"/>
    <col min="12044" max="12044" width="9" style="93"/>
    <col min="12045" max="12045" width="9.25" style="93" customWidth="1"/>
    <col min="12046" max="12046" width="3.5" style="93" customWidth="1"/>
    <col min="12047" max="12048" width="12.625" style="93" customWidth="1"/>
    <col min="12049" max="12049" width="9" style="93"/>
    <col min="12050" max="12050" width="7.75" style="93" customWidth="1"/>
    <col min="12051" max="12051" width="13.125" style="93" customWidth="1"/>
    <col min="12052" max="12052" width="6.125" style="93" customWidth="1"/>
    <col min="12053" max="12053" width="9.75" style="93" customWidth="1"/>
    <col min="12054" max="12054" width="1.375" style="93" customWidth="1"/>
    <col min="12055" max="12294" width="9" style="93"/>
    <col min="12295" max="12295" width="1.375" style="93" customWidth="1"/>
    <col min="12296" max="12296" width="3.5" style="93" customWidth="1"/>
    <col min="12297" max="12297" width="22.125" style="93" customWidth="1"/>
    <col min="12298" max="12298" width="9.75" style="93" customWidth="1"/>
    <col min="12299" max="12299" width="7.375" style="93" customWidth="1"/>
    <col min="12300" max="12300" width="9" style="93"/>
    <col min="12301" max="12301" width="9.25" style="93" customWidth="1"/>
    <col min="12302" max="12302" width="3.5" style="93" customWidth="1"/>
    <col min="12303" max="12304" width="12.625" style="93" customWidth="1"/>
    <col min="12305" max="12305" width="9" style="93"/>
    <col min="12306" max="12306" width="7.75" style="93" customWidth="1"/>
    <col min="12307" max="12307" width="13.125" style="93" customWidth="1"/>
    <col min="12308" max="12308" width="6.125" style="93" customWidth="1"/>
    <col min="12309" max="12309" width="9.75" style="93" customWidth="1"/>
    <col min="12310" max="12310" width="1.375" style="93" customWidth="1"/>
    <col min="12311" max="12550" width="9" style="93"/>
    <col min="12551" max="12551" width="1.375" style="93" customWidth="1"/>
    <col min="12552" max="12552" width="3.5" style="93" customWidth="1"/>
    <col min="12553" max="12553" width="22.125" style="93" customWidth="1"/>
    <col min="12554" max="12554" width="9.75" style="93" customWidth="1"/>
    <col min="12555" max="12555" width="7.375" style="93" customWidth="1"/>
    <col min="12556" max="12556" width="9" style="93"/>
    <col min="12557" max="12557" width="9.25" style="93" customWidth="1"/>
    <col min="12558" max="12558" width="3.5" style="93" customWidth="1"/>
    <col min="12559" max="12560" width="12.625" style="93" customWidth="1"/>
    <col min="12561" max="12561" width="9" style="93"/>
    <col min="12562" max="12562" width="7.75" style="93" customWidth="1"/>
    <col min="12563" max="12563" width="13.125" style="93" customWidth="1"/>
    <col min="12564" max="12564" width="6.125" style="93" customWidth="1"/>
    <col min="12565" max="12565" width="9.75" style="93" customWidth="1"/>
    <col min="12566" max="12566" width="1.375" style="93" customWidth="1"/>
    <col min="12567" max="12806" width="9" style="93"/>
    <col min="12807" max="12807" width="1.375" style="93" customWidth="1"/>
    <col min="12808" max="12808" width="3.5" style="93" customWidth="1"/>
    <col min="12809" max="12809" width="22.125" style="93" customWidth="1"/>
    <col min="12810" max="12810" width="9.75" style="93" customWidth="1"/>
    <col min="12811" max="12811" width="7.375" style="93" customWidth="1"/>
    <col min="12812" max="12812" width="9" style="93"/>
    <col min="12813" max="12813" width="9.25" style="93" customWidth="1"/>
    <col min="12814" max="12814" width="3.5" style="93" customWidth="1"/>
    <col min="12815" max="12816" width="12.625" style="93" customWidth="1"/>
    <col min="12817" max="12817" width="9" style="93"/>
    <col min="12818" max="12818" width="7.75" style="93" customWidth="1"/>
    <col min="12819" max="12819" width="13.125" style="93" customWidth="1"/>
    <col min="12820" max="12820" width="6.125" style="93" customWidth="1"/>
    <col min="12821" max="12821" width="9.75" style="93" customWidth="1"/>
    <col min="12822" max="12822" width="1.375" style="93" customWidth="1"/>
    <col min="12823" max="13062" width="9" style="93"/>
    <col min="13063" max="13063" width="1.375" style="93" customWidth="1"/>
    <col min="13064" max="13064" width="3.5" style="93" customWidth="1"/>
    <col min="13065" max="13065" width="22.125" style="93" customWidth="1"/>
    <col min="13066" max="13066" width="9.75" style="93" customWidth="1"/>
    <col min="13067" max="13067" width="7.375" style="93" customWidth="1"/>
    <col min="13068" max="13068" width="9" style="93"/>
    <col min="13069" max="13069" width="9.25" style="93" customWidth="1"/>
    <col min="13070" max="13070" width="3.5" style="93" customWidth="1"/>
    <col min="13071" max="13072" width="12.625" style="93" customWidth="1"/>
    <col min="13073" max="13073" width="9" style="93"/>
    <col min="13074" max="13074" width="7.75" style="93" customWidth="1"/>
    <col min="13075" max="13075" width="13.125" style="93" customWidth="1"/>
    <col min="13076" max="13076" width="6.125" style="93" customWidth="1"/>
    <col min="13077" max="13077" width="9.75" style="93" customWidth="1"/>
    <col min="13078" max="13078" width="1.375" style="93" customWidth="1"/>
    <col min="13079" max="13318" width="9" style="93"/>
    <col min="13319" max="13319" width="1.375" style="93" customWidth="1"/>
    <col min="13320" max="13320" width="3.5" style="93" customWidth="1"/>
    <col min="13321" max="13321" width="22.125" style="93" customWidth="1"/>
    <col min="13322" max="13322" width="9.75" style="93" customWidth="1"/>
    <col min="13323" max="13323" width="7.375" style="93" customWidth="1"/>
    <col min="13324" max="13324" width="9" style="93"/>
    <col min="13325" max="13325" width="9.25" style="93" customWidth="1"/>
    <col min="13326" max="13326" width="3.5" style="93" customWidth="1"/>
    <col min="13327" max="13328" width="12.625" style="93" customWidth="1"/>
    <col min="13329" max="13329" width="9" style="93"/>
    <col min="13330" max="13330" width="7.75" style="93" customWidth="1"/>
    <col min="13331" max="13331" width="13.125" style="93" customWidth="1"/>
    <col min="13332" max="13332" width="6.125" style="93" customWidth="1"/>
    <col min="13333" max="13333" width="9.75" style="93" customWidth="1"/>
    <col min="13334" max="13334" width="1.375" style="93" customWidth="1"/>
    <col min="13335" max="13574" width="9" style="93"/>
    <col min="13575" max="13575" width="1.375" style="93" customWidth="1"/>
    <col min="13576" max="13576" width="3.5" style="93" customWidth="1"/>
    <col min="13577" max="13577" width="22.125" style="93" customWidth="1"/>
    <col min="13578" max="13578" width="9.75" style="93" customWidth="1"/>
    <col min="13579" max="13579" width="7.375" style="93" customWidth="1"/>
    <col min="13580" max="13580" width="9" style="93"/>
    <col min="13581" max="13581" width="9.25" style="93" customWidth="1"/>
    <col min="13582" max="13582" width="3.5" style="93" customWidth="1"/>
    <col min="13583" max="13584" width="12.625" style="93" customWidth="1"/>
    <col min="13585" max="13585" width="9" style="93"/>
    <col min="13586" max="13586" width="7.75" style="93" customWidth="1"/>
    <col min="13587" max="13587" width="13.125" style="93" customWidth="1"/>
    <col min="13588" max="13588" width="6.125" style="93" customWidth="1"/>
    <col min="13589" max="13589" width="9.75" style="93" customWidth="1"/>
    <col min="13590" max="13590" width="1.375" style="93" customWidth="1"/>
    <col min="13591" max="13830" width="9" style="93"/>
    <col min="13831" max="13831" width="1.375" style="93" customWidth="1"/>
    <col min="13832" max="13832" width="3.5" style="93" customWidth="1"/>
    <col min="13833" max="13833" width="22.125" style="93" customWidth="1"/>
    <col min="13834" max="13834" width="9.75" style="93" customWidth="1"/>
    <col min="13835" max="13835" width="7.375" style="93" customWidth="1"/>
    <col min="13836" max="13836" width="9" style="93"/>
    <col min="13837" max="13837" width="9.25" style="93" customWidth="1"/>
    <col min="13838" max="13838" width="3.5" style="93" customWidth="1"/>
    <col min="13839" max="13840" width="12.625" style="93" customWidth="1"/>
    <col min="13841" max="13841" width="9" style="93"/>
    <col min="13842" max="13842" width="7.75" style="93" customWidth="1"/>
    <col min="13843" max="13843" width="13.125" style="93" customWidth="1"/>
    <col min="13844" max="13844" width="6.125" style="93" customWidth="1"/>
    <col min="13845" max="13845" width="9.75" style="93" customWidth="1"/>
    <col min="13846" max="13846" width="1.375" style="93" customWidth="1"/>
    <col min="13847" max="14086" width="9" style="93"/>
    <col min="14087" max="14087" width="1.375" style="93" customWidth="1"/>
    <col min="14088" max="14088" width="3.5" style="93" customWidth="1"/>
    <col min="14089" max="14089" width="22.125" style="93" customWidth="1"/>
    <col min="14090" max="14090" width="9.75" style="93" customWidth="1"/>
    <col min="14091" max="14091" width="7.375" style="93" customWidth="1"/>
    <col min="14092" max="14092" width="9" style="93"/>
    <col min="14093" max="14093" width="9.25" style="93" customWidth="1"/>
    <col min="14094" max="14094" width="3.5" style="93" customWidth="1"/>
    <col min="14095" max="14096" width="12.625" style="93" customWidth="1"/>
    <col min="14097" max="14097" width="9" style="93"/>
    <col min="14098" max="14098" width="7.75" style="93" customWidth="1"/>
    <col min="14099" max="14099" width="13.125" style="93" customWidth="1"/>
    <col min="14100" max="14100" width="6.125" style="93" customWidth="1"/>
    <col min="14101" max="14101" width="9.75" style="93" customWidth="1"/>
    <col min="14102" max="14102" width="1.375" style="93" customWidth="1"/>
    <col min="14103" max="14342" width="9" style="93"/>
    <col min="14343" max="14343" width="1.375" style="93" customWidth="1"/>
    <col min="14344" max="14344" width="3.5" style="93" customWidth="1"/>
    <col min="14345" max="14345" width="22.125" style="93" customWidth="1"/>
    <col min="14346" max="14346" width="9.75" style="93" customWidth="1"/>
    <col min="14347" max="14347" width="7.375" style="93" customWidth="1"/>
    <col min="14348" max="14348" width="9" style="93"/>
    <col min="14349" max="14349" width="9.25" style="93" customWidth="1"/>
    <col min="14350" max="14350" width="3.5" style="93" customWidth="1"/>
    <col min="14351" max="14352" width="12.625" style="93" customWidth="1"/>
    <col min="14353" max="14353" width="9" style="93"/>
    <col min="14354" max="14354" width="7.75" style="93" customWidth="1"/>
    <col min="14355" max="14355" width="13.125" style="93" customWidth="1"/>
    <col min="14356" max="14356" width="6.125" style="93" customWidth="1"/>
    <col min="14357" max="14357" width="9.75" style="93" customWidth="1"/>
    <col min="14358" max="14358" width="1.375" style="93" customWidth="1"/>
    <col min="14359" max="14598" width="9" style="93"/>
    <col min="14599" max="14599" width="1.375" style="93" customWidth="1"/>
    <col min="14600" max="14600" width="3.5" style="93" customWidth="1"/>
    <col min="14601" max="14601" width="22.125" style="93" customWidth="1"/>
    <col min="14602" max="14602" width="9.75" style="93" customWidth="1"/>
    <col min="14603" max="14603" width="7.375" style="93" customWidth="1"/>
    <col min="14604" max="14604" width="9" style="93"/>
    <col min="14605" max="14605" width="9.25" style="93" customWidth="1"/>
    <col min="14606" max="14606" width="3.5" style="93" customWidth="1"/>
    <col min="14607" max="14608" width="12.625" style="93" customWidth="1"/>
    <col min="14609" max="14609" width="9" style="93"/>
    <col min="14610" max="14610" width="7.75" style="93" customWidth="1"/>
    <col min="14611" max="14611" width="13.125" style="93" customWidth="1"/>
    <col min="14612" max="14612" width="6.125" style="93" customWidth="1"/>
    <col min="14613" max="14613" width="9.75" style="93" customWidth="1"/>
    <col min="14614" max="14614" width="1.375" style="93" customWidth="1"/>
    <col min="14615" max="14854" width="9" style="93"/>
    <col min="14855" max="14855" width="1.375" style="93" customWidth="1"/>
    <col min="14856" max="14856" width="3.5" style="93" customWidth="1"/>
    <col min="14857" max="14857" width="22.125" style="93" customWidth="1"/>
    <col min="14858" max="14858" width="9.75" style="93" customWidth="1"/>
    <col min="14859" max="14859" width="7.375" style="93" customWidth="1"/>
    <col min="14860" max="14860" width="9" style="93"/>
    <col min="14861" max="14861" width="9.25" style="93" customWidth="1"/>
    <col min="14862" max="14862" width="3.5" style="93" customWidth="1"/>
    <col min="14863" max="14864" width="12.625" style="93" customWidth="1"/>
    <col min="14865" max="14865" width="9" style="93"/>
    <col min="14866" max="14866" width="7.75" style="93" customWidth="1"/>
    <col min="14867" max="14867" width="13.125" style="93" customWidth="1"/>
    <col min="14868" max="14868" width="6.125" style="93" customWidth="1"/>
    <col min="14869" max="14869" width="9.75" style="93" customWidth="1"/>
    <col min="14870" max="14870" width="1.375" style="93" customWidth="1"/>
    <col min="14871" max="15110" width="9" style="93"/>
    <col min="15111" max="15111" width="1.375" style="93" customWidth="1"/>
    <col min="15112" max="15112" width="3.5" style="93" customWidth="1"/>
    <col min="15113" max="15113" width="22.125" style="93" customWidth="1"/>
    <col min="15114" max="15114" width="9.75" style="93" customWidth="1"/>
    <col min="15115" max="15115" width="7.375" style="93" customWidth="1"/>
    <col min="15116" max="15116" width="9" style="93"/>
    <col min="15117" max="15117" width="9.25" style="93" customWidth="1"/>
    <col min="15118" max="15118" width="3.5" style="93" customWidth="1"/>
    <col min="15119" max="15120" width="12.625" style="93" customWidth="1"/>
    <col min="15121" max="15121" width="9" style="93"/>
    <col min="15122" max="15122" width="7.75" style="93" customWidth="1"/>
    <col min="15123" max="15123" width="13.125" style="93" customWidth="1"/>
    <col min="15124" max="15124" width="6.125" style="93" customWidth="1"/>
    <col min="15125" max="15125" width="9.75" style="93" customWidth="1"/>
    <col min="15126" max="15126" width="1.375" style="93" customWidth="1"/>
    <col min="15127" max="15366" width="9" style="93"/>
    <col min="15367" max="15367" width="1.375" style="93" customWidth="1"/>
    <col min="15368" max="15368" width="3.5" style="93" customWidth="1"/>
    <col min="15369" max="15369" width="22.125" style="93" customWidth="1"/>
    <col min="15370" max="15370" width="9.75" style="93" customWidth="1"/>
    <col min="15371" max="15371" width="7.375" style="93" customWidth="1"/>
    <col min="15372" max="15372" width="9" style="93"/>
    <col min="15373" max="15373" width="9.25" style="93" customWidth="1"/>
    <col min="15374" max="15374" width="3.5" style="93" customWidth="1"/>
    <col min="15375" max="15376" width="12.625" style="93" customWidth="1"/>
    <col min="15377" max="15377" width="9" style="93"/>
    <col min="15378" max="15378" width="7.75" style="93" customWidth="1"/>
    <col min="15379" max="15379" width="13.125" style="93" customWidth="1"/>
    <col min="15380" max="15380" width="6.125" style="93" customWidth="1"/>
    <col min="15381" max="15381" width="9.75" style="93" customWidth="1"/>
    <col min="15382" max="15382" width="1.375" style="93" customWidth="1"/>
    <col min="15383" max="15622" width="9" style="93"/>
    <col min="15623" max="15623" width="1.375" style="93" customWidth="1"/>
    <col min="15624" max="15624" width="3.5" style="93" customWidth="1"/>
    <col min="15625" max="15625" width="22.125" style="93" customWidth="1"/>
    <col min="15626" max="15626" width="9.75" style="93" customWidth="1"/>
    <col min="15627" max="15627" width="7.375" style="93" customWidth="1"/>
    <col min="15628" max="15628" width="9" style="93"/>
    <col min="15629" max="15629" width="9.25" style="93" customWidth="1"/>
    <col min="15630" max="15630" width="3.5" style="93" customWidth="1"/>
    <col min="15631" max="15632" width="12.625" style="93" customWidth="1"/>
    <col min="15633" max="15633" width="9" style="93"/>
    <col min="15634" max="15634" width="7.75" style="93" customWidth="1"/>
    <col min="15635" max="15635" width="13.125" style="93" customWidth="1"/>
    <col min="15636" max="15636" width="6.125" style="93" customWidth="1"/>
    <col min="15637" max="15637" width="9.75" style="93" customWidth="1"/>
    <col min="15638" max="15638" width="1.375" style="93" customWidth="1"/>
    <col min="15639" max="15878" width="9" style="93"/>
    <col min="15879" max="15879" width="1.375" style="93" customWidth="1"/>
    <col min="15880" max="15880" width="3.5" style="93" customWidth="1"/>
    <col min="15881" max="15881" width="22.125" style="93" customWidth="1"/>
    <col min="15882" max="15882" width="9.75" style="93" customWidth="1"/>
    <col min="15883" max="15883" width="7.375" style="93" customWidth="1"/>
    <col min="15884" max="15884" width="9" style="93"/>
    <col min="15885" max="15885" width="9.25" style="93" customWidth="1"/>
    <col min="15886" max="15886" width="3.5" style="93" customWidth="1"/>
    <col min="15887" max="15888" width="12.625" style="93" customWidth="1"/>
    <col min="15889" max="15889" width="9" style="93"/>
    <col min="15890" max="15890" width="7.75" style="93" customWidth="1"/>
    <col min="15891" max="15891" width="13.125" style="93" customWidth="1"/>
    <col min="15892" max="15892" width="6.125" style="93" customWidth="1"/>
    <col min="15893" max="15893" width="9.75" style="93" customWidth="1"/>
    <col min="15894" max="15894" width="1.375" style="93" customWidth="1"/>
    <col min="15895" max="16134" width="9" style="93"/>
    <col min="16135" max="16135" width="1.375" style="93" customWidth="1"/>
    <col min="16136" max="16136" width="3.5" style="93" customWidth="1"/>
    <col min="16137" max="16137" width="22.125" style="93" customWidth="1"/>
    <col min="16138" max="16138" width="9.75" style="93" customWidth="1"/>
    <col min="16139" max="16139" width="7.375" style="93" customWidth="1"/>
    <col min="16140" max="16140" width="9" style="93"/>
    <col min="16141" max="16141" width="9.25" style="93" customWidth="1"/>
    <col min="16142" max="16142" width="3.5" style="93" customWidth="1"/>
    <col min="16143" max="16144" width="12.625" style="93" customWidth="1"/>
    <col min="16145" max="16145" width="9" style="93"/>
    <col min="16146" max="16146" width="7.75" style="93" customWidth="1"/>
    <col min="16147" max="16147" width="13.125" style="93" customWidth="1"/>
    <col min="16148" max="16148" width="6.125" style="93" customWidth="1"/>
    <col min="16149" max="16149" width="9.75" style="93" customWidth="1"/>
    <col min="16150" max="16150" width="1.375" style="93" customWidth="1"/>
    <col min="16151" max="16384" width="9" style="93"/>
  </cols>
  <sheetData>
    <row r="1" spans="2:25" ht="9.9499999999999993" customHeight="1" x14ac:dyDescent="0.15"/>
    <row r="2" spans="2:25" ht="24.95" customHeight="1" x14ac:dyDescent="0.15">
      <c r="B2" s="1" t="s">
        <v>504</v>
      </c>
      <c r="C2" s="95"/>
      <c r="D2" s="13"/>
      <c r="E2" s="13"/>
      <c r="F2" s="95"/>
      <c r="G2" s="162"/>
      <c r="H2" s="172"/>
      <c r="I2" s="162"/>
      <c r="J2" s="162"/>
      <c r="K2" s="162"/>
      <c r="L2" s="162"/>
      <c r="M2" s="162"/>
      <c r="N2" s="162"/>
      <c r="O2" s="13"/>
    </row>
    <row r="3" spans="2:25" ht="15" customHeight="1" thickBot="1" x14ac:dyDescent="0.2">
      <c r="B3" s="93" t="s">
        <v>223</v>
      </c>
      <c r="I3" s="13" t="s">
        <v>224</v>
      </c>
      <c r="P3" s="93" t="s">
        <v>249</v>
      </c>
    </row>
    <row r="4" spans="2:25" ht="15" customHeight="1" x14ac:dyDescent="0.15">
      <c r="B4" s="337" t="s">
        <v>74</v>
      </c>
      <c r="C4" s="211" t="s">
        <v>176</v>
      </c>
      <c r="D4" s="211" t="s">
        <v>134</v>
      </c>
      <c r="E4" s="211" t="s">
        <v>135</v>
      </c>
      <c r="F4" s="211" t="s">
        <v>23</v>
      </c>
      <c r="G4" s="199" t="s">
        <v>136</v>
      </c>
      <c r="H4" s="212"/>
      <c r="I4" s="1118" t="s">
        <v>74</v>
      </c>
      <c r="J4" s="1114" t="s">
        <v>180</v>
      </c>
      <c r="K4" s="217" t="s">
        <v>177</v>
      </c>
      <c r="L4" s="217" t="s">
        <v>137</v>
      </c>
      <c r="M4" s="1114" t="s">
        <v>23</v>
      </c>
      <c r="N4" s="1116" t="s">
        <v>136</v>
      </c>
      <c r="O4" s="239"/>
      <c r="P4" s="338" t="s">
        <v>183</v>
      </c>
      <c r="Q4" s="339" t="s">
        <v>184</v>
      </c>
      <c r="R4" s="339" t="s">
        <v>185</v>
      </c>
      <c r="S4" s="339" t="s">
        <v>186</v>
      </c>
      <c r="T4" s="1120" t="s">
        <v>187</v>
      </c>
      <c r="U4" s="1057"/>
      <c r="V4" s="340" t="s">
        <v>188</v>
      </c>
      <c r="W4" s="93" t="s">
        <v>342</v>
      </c>
      <c r="X4" s="93" t="s">
        <v>343</v>
      </c>
    </row>
    <row r="5" spans="2:25" ht="15" customHeight="1" x14ac:dyDescent="0.15">
      <c r="B5" s="987" t="s">
        <v>170</v>
      </c>
      <c r="C5" s="92" t="s">
        <v>298</v>
      </c>
      <c r="D5" s="92">
        <f>+肥料算出基礎!C4*10/1000</f>
        <v>30</v>
      </c>
      <c r="E5" s="103" t="s">
        <v>174</v>
      </c>
      <c r="F5" s="92">
        <f>+肥料算出基礎!K4/肥料算出基礎!J4*1000</f>
        <v>22160</v>
      </c>
      <c r="G5" s="200">
        <f t="shared" ref="G5:G6" si="0">D5*F5</f>
        <v>664800</v>
      </c>
      <c r="H5" s="213"/>
      <c r="I5" s="1119"/>
      <c r="J5" s="1115"/>
      <c r="K5" s="219" t="s">
        <v>139</v>
      </c>
      <c r="L5" s="393" t="s">
        <v>284</v>
      </c>
      <c r="M5" s="1115"/>
      <c r="N5" s="1117"/>
      <c r="O5" s="239"/>
      <c r="P5" s="341" t="s">
        <v>347</v>
      </c>
      <c r="Q5" s="197">
        <v>30</v>
      </c>
      <c r="R5" s="537" t="s">
        <v>352</v>
      </c>
      <c r="S5" s="197">
        <v>2290</v>
      </c>
      <c r="T5" s="1112">
        <v>5</v>
      </c>
      <c r="U5" s="1113"/>
      <c r="V5" s="228">
        <f t="shared" ref="V5:V11" si="1">Q5*S5/T5</f>
        <v>13740</v>
      </c>
      <c r="W5" s="93">
        <v>2088</v>
      </c>
      <c r="X5" s="93">
        <v>500</v>
      </c>
      <c r="Y5" s="93" t="s">
        <v>54</v>
      </c>
    </row>
    <row r="6" spans="2:25" ht="15" customHeight="1" x14ac:dyDescent="0.15">
      <c r="B6" s="988"/>
      <c r="C6" s="92"/>
      <c r="D6" s="92"/>
      <c r="E6" s="103" t="s">
        <v>138</v>
      </c>
      <c r="F6" s="92"/>
      <c r="G6" s="201">
        <f t="shared" si="0"/>
        <v>0</v>
      </c>
      <c r="H6" s="213"/>
      <c r="I6" s="1089" t="s">
        <v>179</v>
      </c>
      <c r="J6" s="92" t="s">
        <v>443</v>
      </c>
      <c r="K6" s="220">
        <v>9</v>
      </c>
      <c r="L6" s="220">
        <v>1</v>
      </c>
      <c r="M6" s="220">
        <v>84.7</v>
      </c>
      <c r="N6" s="201">
        <f>K6*L6*M6</f>
        <v>762.30000000000007</v>
      </c>
      <c r="O6" s="239"/>
      <c r="P6" s="341" t="s">
        <v>516</v>
      </c>
      <c r="Q6" s="197">
        <v>50</v>
      </c>
      <c r="R6" s="537" t="s">
        <v>352</v>
      </c>
      <c r="S6" s="197">
        <v>2560</v>
      </c>
      <c r="T6" s="1112">
        <v>1</v>
      </c>
      <c r="U6" s="1113"/>
      <c r="V6" s="228">
        <f t="shared" si="1"/>
        <v>128000</v>
      </c>
      <c r="W6" s="93">
        <v>2333</v>
      </c>
      <c r="X6" s="93">
        <v>100</v>
      </c>
      <c r="Y6" s="93" t="s">
        <v>54</v>
      </c>
    </row>
    <row r="7" spans="2:25" ht="15" customHeight="1" thickBot="1" x14ac:dyDescent="0.2">
      <c r="B7" s="1085"/>
      <c r="C7" s="202" t="s">
        <v>140</v>
      </c>
      <c r="D7" s="202"/>
      <c r="E7" s="202"/>
      <c r="F7" s="202"/>
      <c r="G7" s="203">
        <f>SUM(G5:G6)</f>
        <v>664800</v>
      </c>
      <c r="H7" s="213"/>
      <c r="I7" s="988"/>
      <c r="J7" s="92" t="s">
        <v>438</v>
      </c>
      <c r="K7" s="220">
        <v>6</v>
      </c>
      <c r="L7" s="220">
        <v>3</v>
      </c>
      <c r="M7" s="220">
        <v>84.7</v>
      </c>
      <c r="N7" s="201">
        <f t="shared" ref="N7:N9" si="2">K7*L7*M7</f>
        <v>1524.6000000000001</v>
      </c>
      <c r="O7" s="239"/>
      <c r="P7" s="341" t="s">
        <v>517</v>
      </c>
      <c r="Q7" s="197">
        <v>80</v>
      </c>
      <c r="R7" s="537" t="s">
        <v>353</v>
      </c>
      <c r="S7" s="197">
        <v>2240</v>
      </c>
      <c r="T7" s="1112">
        <v>5</v>
      </c>
      <c r="U7" s="1113"/>
      <c r="V7" s="228">
        <f t="shared" si="1"/>
        <v>35840</v>
      </c>
      <c r="W7" s="93">
        <v>2042</v>
      </c>
      <c r="X7" s="93">
        <v>200</v>
      </c>
      <c r="Y7" s="93" t="s">
        <v>344</v>
      </c>
    </row>
    <row r="8" spans="2:25" ht="15" customHeight="1" thickTop="1" x14ac:dyDescent="0.15">
      <c r="B8" s="1084" t="s">
        <v>167</v>
      </c>
      <c r="C8" s="92" t="str">
        <f>+肥料算出基礎!A7</f>
        <v>苦土セルカ2号（粉）</v>
      </c>
      <c r="D8" s="133">
        <f>+肥料算出基礎!C5*10/肥料算出基礎!J5</f>
        <v>7.5</v>
      </c>
      <c r="E8" s="103" t="s">
        <v>138</v>
      </c>
      <c r="F8" s="92">
        <f>+肥料算出基礎!K5</f>
        <v>3200</v>
      </c>
      <c r="G8" s="201">
        <f>D8*F8</f>
        <v>24000</v>
      </c>
      <c r="H8" s="213"/>
      <c r="I8" s="988"/>
      <c r="J8" s="92" t="s">
        <v>439</v>
      </c>
      <c r="K8" s="220">
        <v>6</v>
      </c>
      <c r="L8" s="220">
        <v>3</v>
      </c>
      <c r="M8" s="220">
        <v>84.7</v>
      </c>
      <c r="N8" s="201">
        <f t="shared" si="2"/>
        <v>1524.6000000000001</v>
      </c>
      <c r="O8" s="239"/>
      <c r="P8" s="341" t="s">
        <v>350</v>
      </c>
      <c r="Q8" s="197">
        <v>3</v>
      </c>
      <c r="R8" s="537" t="s">
        <v>341</v>
      </c>
      <c r="S8" s="197">
        <v>1180</v>
      </c>
      <c r="T8" s="1112">
        <v>1</v>
      </c>
      <c r="U8" s="1113"/>
      <c r="V8" s="228">
        <f t="shared" si="1"/>
        <v>3540</v>
      </c>
      <c r="W8" s="93">
        <v>1080</v>
      </c>
      <c r="X8" s="93">
        <v>10</v>
      </c>
      <c r="Y8" s="93" t="s">
        <v>345</v>
      </c>
    </row>
    <row r="9" spans="2:25" ht="15" customHeight="1" x14ac:dyDescent="0.15">
      <c r="B9" s="988"/>
      <c r="C9" s="92" t="str">
        <f>+肥料算出基礎!A8</f>
        <v>FTE199</v>
      </c>
      <c r="D9" s="92">
        <f>+肥料算出基礎!C8*10/肥料算出基礎!J8</f>
        <v>20</v>
      </c>
      <c r="E9" s="103" t="s">
        <v>138</v>
      </c>
      <c r="F9" s="92">
        <f>+肥料算出基礎!K6</f>
        <v>2880</v>
      </c>
      <c r="G9" s="201">
        <f>D9*F9</f>
        <v>57600</v>
      </c>
      <c r="H9" s="213"/>
      <c r="I9" s="988"/>
      <c r="J9" s="92"/>
      <c r="K9" s="220"/>
      <c r="L9" s="220"/>
      <c r="M9" s="220"/>
      <c r="N9" s="201">
        <f t="shared" si="2"/>
        <v>0</v>
      </c>
      <c r="O9" s="239"/>
      <c r="P9" s="341" t="s">
        <v>351</v>
      </c>
      <c r="Q9" s="197">
        <v>375</v>
      </c>
      <c r="R9" s="537" t="s">
        <v>341</v>
      </c>
      <c r="S9" s="197">
        <v>370</v>
      </c>
      <c r="T9" s="1112">
        <v>1</v>
      </c>
      <c r="U9" s="1113"/>
      <c r="V9" s="228">
        <f t="shared" si="1"/>
        <v>138750</v>
      </c>
      <c r="W9" s="93">
        <v>337</v>
      </c>
      <c r="X9" s="93">
        <v>100</v>
      </c>
      <c r="Y9" s="93" t="s">
        <v>346</v>
      </c>
    </row>
    <row r="10" spans="2:25" ht="15" customHeight="1" x14ac:dyDescent="0.15">
      <c r="B10" s="988"/>
      <c r="C10" s="556" t="str">
        <f>+肥料算出基礎!A10</f>
        <v>粒状チャンスＳ</v>
      </c>
      <c r="D10" s="556">
        <f>+肥料算出基礎!C10*10/肥料算出基礎!J10</f>
        <v>20</v>
      </c>
      <c r="E10" s="103" t="s">
        <v>138</v>
      </c>
      <c r="F10" s="556">
        <f>+肥料算出基礎!K10</f>
        <v>4930</v>
      </c>
      <c r="G10" s="557">
        <f>D10*F10</f>
        <v>98600</v>
      </c>
      <c r="H10" s="213"/>
      <c r="I10" s="988"/>
      <c r="J10" s="558"/>
      <c r="K10" s="559"/>
      <c r="L10" s="559"/>
      <c r="M10" s="559"/>
      <c r="N10" s="560"/>
      <c r="O10" s="239"/>
      <c r="P10" s="490" t="s">
        <v>435</v>
      </c>
      <c r="Q10" s="491">
        <v>4</v>
      </c>
      <c r="R10" s="492" t="s">
        <v>352</v>
      </c>
      <c r="S10" s="491">
        <v>64600</v>
      </c>
      <c r="T10" s="1134">
        <v>5</v>
      </c>
      <c r="U10" s="1113"/>
      <c r="V10" s="494">
        <f t="shared" si="1"/>
        <v>51680</v>
      </c>
      <c r="X10" s="93" t="s">
        <v>522</v>
      </c>
    </row>
    <row r="11" spans="2:25" ht="15" customHeight="1" thickBot="1" x14ac:dyDescent="0.2">
      <c r="B11" s="988"/>
      <c r="C11" s="92" t="str">
        <f>+肥料算出基礎!A9</f>
        <v>シンボル</v>
      </c>
      <c r="D11" s="92">
        <f>+肥料算出基礎!C9*10/肥料算出基礎!J9</f>
        <v>20</v>
      </c>
      <c r="E11" s="103" t="s">
        <v>138</v>
      </c>
      <c r="F11" s="92">
        <f>+肥料算出基礎!K9</f>
        <v>4410</v>
      </c>
      <c r="G11" s="201">
        <f>D11*F11</f>
        <v>88200</v>
      </c>
      <c r="H11" s="213"/>
      <c r="I11" s="1085"/>
      <c r="J11" s="342" t="s">
        <v>253</v>
      </c>
      <c r="K11" s="221">
        <f t="shared" ref="K11:L11" si="3">SUM(K6:K9)</f>
        <v>21</v>
      </c>
      <c r="L11" s="221">
        <f t="shared" si="3"/>
        <v>7</v>
      </c>
      <c r="M11" s="221"/>
      <c r="N11" s="216">
        <f>SUM(N6:N9)</f>
        <v>3811.5</v>
      </c>
      <c r="O11" s="239"/>
      <c r="P11" s="341" t="s">
        <v>588</v>
      </c>
      <c r="Q11" s="197">
        <v>12</v>
      </c>
      <c r="R11" s="537" t="s">
        <v>352</v>
      </c>
      <c r="S11" s="197">
        <f>ROUNDDOWN(W11*1.1,-1)</f>
        <v>6220</v>
      </c>
      <c r="T11" s="1112">
        <v>5</v>
      </c>
      <c r="U11" s="1113"/>
      <c r="V11" s="494">
        <f t="shared" si="1"/>
        <v>14928</v>
      </c>
      <c r="W11" s="93">
        <v>5657</v>
      </c>
      <c r="X11" s="93" t="s">
        <v>589</v>
      </c>
    </row>
    <row r="12" spans="2:25" ht="15" customHeight="1" thickTop="1" thickBot="1" x14ac:dyDescent="0.2">
      <c r="B12" s="1085"/>
      <c r="C12" s="204" t="s">
        <v>141</v>
      </c>
      <c r="D12" s="205"/>
      <c r="E12" s="205"/>
      <c r="F12" s="205"/>
      <c r="G12" s="206">
        <f>SUM(G8:G11)</f>
        <v>268400</v>
      </c>
      <c r="H12" s="213"/>
      <c r="I12" s="1084" t="s">
        <v>46</v>
      </c>
      <c r="J12" s="92" t="s">
        <v>440</v>
      </c>
      <c r="K12" s="220">
        <v>25</v>
      </c>
      <c r="L12" s="220">
        <v>1</v>
      </c>
      <c r="M12" s="220">
        <v>158.4</v>
      </c>
      <c r="N12" s="201">
        <f>K12*L12*M12</f>
        <v>3960</v>
      </c>
      <c r="O12" s="239"/>
      <c r="P12" s="341"/>
      <c r="Q12" s="197"/>
      <c r="R12" s="537"/>
      <c r="S12" s="197"/>
      <c r="T12" s="1112"/>
      <c r="U12" s="1113"/>
      <c r="V12" s="228"/>
    </row>
    <row r="13" spans="2:25" ht="15" customHeight="1" thickTop="1" x14ac:dyDescent="0.15">
      <c r="B13" s="1084" t="s">
        <v>168</v>
      </c>
      <c r="C13" s="92" t="s">
        <v>505</v>
      </c>
      <c r="D13" s="92">
        <f>+肥料算出基礎!C5*10/肥料算出基礎!J5</f>
        <v>7.5</v>
      </c>
      <c r="E13" s="103" t="s">
        <v>138</v>
      </c>
      <c r="F13" s="92">
        <f>+肥料算出基礎!K5</f>
        <v>3200</v>
      </c>
      <c r="G13" s="201">
        <f>D13*F13</f>
        <v>24000</v>
      </c>
      <c r="H13" s="213"/>
      <c r="I13" s="988"/>
      <c r="J13" s="92" t="s">
        <v>441</v>
      </c>
      <c r="K13" s="220">
        <v>10</v>
      </c>
      <c r="L13" s="220">
        <v>1</v>
      </c>
      <c r="M13" s="220">
        <v>158.4</v>
      </c>
      <c r="N13" s="201">
        <f t="shared" ref="N13:N15" si="4">K13*L13*M13</f>
        <v>1584</v>
      </c>
      <c r="O13" s="239"/>
      <c r="P13" s="341"/>
      <c r="Q13" s="197"/>
      <c r="R13" s="537"/>
      <c r="S13" s="197"/>
      <c r="T13" s="1112"/>
      <c r="U13" s="1113"/>
      <c r="V13" s="228"/>
    </row>
    <row r="14" spans="2:25" ht="15" customHeight="1" x14ac:dyDescent="0.15">
      <c r="B14" s="988"/>
      <c r="C14" s="92" t="s">
        <v>506</v>
      </c>
      <c r="D14" s="92">
        <f>+肥料算出基礎!C6*10/肥料算出基礎!J6</f>
        <v>20</v>
      </c>
      <c r="E14" s="103" t="s">
        <v>138</v>
      </c>
      <c r="F14" s="92">
        <f>+肥料算出基礎!K6</f>
        <v>2880</v>
      </c>
      <c r="G14" s="201">
        <f>D14*F14</f>
        <v>57600</v>
      </c>
      <c r="H14" s="213"/>
      <c r="I14" s="988"/>
      <c r="J14" s="92" t="s">
        <v>442</v>
      </c>
      <c r="K14" s="220">
        <v>5</v>
      </c>
      <c r="L14" s="220">
        <v>1</v>
      </c>
      <c r="M14" s="220">
        <v>158.4</v>
      </c>
      <c r="N14" s="201">
        <f t="shared" si="4"/>
        <v>792</v>
      </c>
      <c r="O14" s="239"/>
      <c r="P14" s="341"/>
      <c r="Q14" s="197"/>
      <c r="R14" s="537"/>
      <c r="S14" s="197"/>
      <c r="T14" s="1112"/>
      <c r="U14" s="1113"/>
      <c r="V14" s="228"/>
    </row>
    <row r="15" spans="2:25" ht="15" customHeight="1" x14ac:dyDescent="0.15">
      <c r="B15" s="988"/>
      <c r="C15" s="92"/>
      <c r="D15" s="92"/>
      <c r="E15" s="103"/>
      <c r="F15" s="92"/>
      <c r="G15" s="201">
        <f>D15*F15</f>
        <v>0</v>
      </c>
      <c r="H15" s="213"/>
      <c r="I15" s="988"/>
      <c r="J15" s="92" t="s">
        <v>446</v>
      </c>
      <c r="K15" s="220">
        <v>50</v>
      </c>
      <c r="L15" s="220">
        <v>1</v>
      </c>
      <c r="M15" s="220">
        <v>158.4</v>
      </c>
      <c r="N15" s="201">
        <f t="shared" si="4"/>
        <v>7920</v>
      </c>
      <c r="O15" s="239"/>
      <c r="P15" s="341"/>
      <c r="Q15" s="197"/>
      <c r="R15" s="537"/>
      <c r="S15" s="197"/>
      <c r="T15" s="1112"/>
      <c r="U15" s="1113"/>
      <c r="V15" s="228"/>
    </row>
    <row r="16" spans="2:25" ht="15" customHeight="1" thickBot="1" x14ac:dyDescent="0.2">
      <c r="B16" s="988"/>
      <c r="C16" s="92"/>
      <c r="D16" s="92"/>
      <c r="E16" s="92"/>
      <c r="F16" s="92"/>
      <c r="G16" s="201">
        <f t="shared" ref="G16" si="5">D16*F16</f>
        <v>0</v>
      </c>
      <c r="H16" s="213"/>
      <c r="I16" s="1085"/>
      <c r="J16" s="342" t="s">
        <v>253</v>
      </c>
      <c r="K16" s="221">
        <f t="shared" ref="K16:L16" si="6">SUM(K12:K15)</f>
        <v>90</v>
      </c>
      <c r="L16" s="221">
        <f t="shared" si="6"/>
        <v>4</v>
      </c>
      <c r="M16" s="221"/>
      <c r="N16" s="216">
        <f>SUM(N12:N15)</f>
        <v>14256</v>
      </c>
      <c r="O16" s="239"/>
      <c r="P16" s="341"/>
      <c r="Q16" s="197"/>
      <c r="R16" s="537"/>
      <c r="S16" s="197"/>
      <c r="T16" s="1112"/>
      <c r="U16" s="1113"/>
      <c r="V16" s="228"/>
    </row>
    <row r="17" spans="2:25" ht="15" customHeight="1" thickTop="1" thickBot="1" x14ac:dyDescent="0.2">
      <c r="B17" s="1085"/>
      <c r="C17" s="204" t="s">
        <v>141</v>
      </c>
      <c r="D17" s="205"/>
      <c r="E17" s="205"/>
      <c r="F17" s="205"/>
      <c r="G17" s="206">
        <f>SUM(G13:G16)</f>
        <v>81600</v>
      </c>
      <c r="H17" s="213"/>
      <c r="I17" s="1084" t="s">
        <v>181</v>
      </c>
      <c r="J17" s="92" t="s">
        <v>444</v>
      </c>
      <c r="K17" s="220">
        <v>22</v>
      </c>
      <c r="L17" s="220">
        <v>0.5</v>
      </c>
      <c r="M17" s="220">
        <v>168.4</v>
      </c>
      <c r="N17" s="201">
        <f>K17*L17*M17</f>
        <v>1852.4</v>
      </c>
      <c r="O17" s="239"/>
      <c r="P17" s="341"/>
      <c r="Q17" s="197"/>
      <c r="R17" s="537"/>
      <c r="S17" s="197"/>
      <c r="T17" s="1112"/>
      <c r="U17" s="1113"/>
      <c r="V17" s="228"/>
    </row>
    <row r="18" spans="2:25" ht="15" customHeight="1" thickTop="1" x14ac:dyDescent="0.15">
      <c r="B18" s="1084" t="s">
        <v>171</v>
      </c>
      <c r="C18" s="92" t="s">
        <v>507</v>
      </c>
      <c r="D18" s="92">
        <f>+肥料算出基礎!C11*10/肥料算出基礎!J11</f>
        <v>2</v>
      </c>
      <c r="E18" s="103" t="s">
        <v>142</v>
      </c>
      <c r="F18" s="92">
        <f>+肥料算出基礎!K11</f>
        <v>8250</v>
      </c>
      <c r="G18" s="201">
        <f t="shared" ref="G18" si="7">D18*F18</f>
        <v>16500</v>
      </c>
      <c r="H18" s="213"/>
      <c r="I18" s="988"/>
      <c r="J18" s="92"/>
      <c r="K18" s="220"/>
      <c r="L18" s="220"/>
      <c r="M18" s="220"/>
      <c r="N18" s="201">
        <f t="shared" ref="N18:N19" si="8">K18*L18*M18</f>
        <v>0</v>
      </c>
      <c r="O18" s="239"/>
      <c r="P18" s="341"/>
      <c r="Q18" s="197"/>
      <c r="R18" s="537"/>
      <c r="S18" s="197"/>
      <c r="T18" s="1112"/>
      <c r="U18" s="1113"/>
      <c r="V18" s="228"/>
    </row>
    <row r="19" spans="2:25" ht="15" customHeight="1" x14ac:dyDescent="0.15">
      <c r="B19" s="988"/>
      <c r="C19" s="92"/>
      <c r="D19" s="92"/>
      <c r="E19" s="103"/>
      <c r="F19" s="92"/>
      <c r="G19" s="201">
        <f>D19*F19</f>
        <v>0</v>
      </c>
      <c r="H19" s="213"/>
      <c r="I19" s="988"/>
      <c r="J19" s="92"/>
      <c r="K19" s="220"/>
      <c r="L19" s="220"/>
      <c r="M19" s="220"/>
      <c r="N19" s="201">
        <f t="shared" si="8"/>
        <v>0</v>
      </c>
      <c r="O19" s="239"/>
      <c r="P19" s="341"/>
      <c r="Q19" s="197"/>
      <c r="R19" s="537"/>
      <c r="S19" s="197"/>
      <c r="T19" s="1112"/>
      <c r="U19" s="1113"/>
      <c r="V19" s="228"/>
    </row>
    <row r="20" spans="2:25" ht="15" customHeight="1" thickBot="1" x14ac:dyDescent="0.2">
      <c r="B20" s="988"/>
      <c r="C20" s="92"/>
      <c r="D20" s="92"/>
      <c r="E20" s="92"/>
      <c r="F20" s="92"/>
      <c r="G20" s="201">
        <f t="shared" ref="G20" si="9">D20*F20</f>
        <v>0</v>
      </c>
      <c r="H20" s="213"/>
      <c r="I20" s="1085"/>
      <c r="J20" s="342" t="s">
        <v>255</v>
      </c>
      <c r="K20" s="221">
        <f>SUM(K17:K19)</f>
        <v>22</v>
      </c>
      <c r="L20" s="222">
        <f>SUM(L17:L19)</f>
        <v>0.5</v>
      </c>
      <c r="M20" s="223"/>
      <c r="N20" s="216">
        <f>SUM(N17:N19)</f>
        <v>1852.4</v>
      </c>
      <c r="O20" s="239"/>
      <c r="P20" s="341"/>
      <c r="Q20" s="197"/>
      <c r="R20" s="537"/>
      <c r="S20" s="197"/>
      <c r="T20" s="1112"/>
      <c r="U20" s="1113"/>
      <c r="V20" s="228"/>
    </row>
    <row r="21" spans="2:25" ht="15" customHeight="1" thickTop="1" thickBot="1" x14ac:dyDescent="0.2">
      <c r="B21" s="1085"/>
      <c r="C21" s="204" t="s">
        <v>141</v>
      </c>
      <c r="D21" s="205"/>
      <c r="E21" s="205"/>
      <c r="F21" s="205"/>
      <c r="G21" s="206">
        <f>SUM(G18:G20)</f>
        <v>16500</v>
      </c>
      <c r="H21" s="213"/>
      <c r="I21" s="1084" t="s">
        <v>182</v>
      </c>
      <c r="J21" s="92"/>
      <c r="K21" s="220"/>
      <c r="L21" s="220"/>
      <c r="M21" s="220"/>
      <c r="N21" s="201">
        <f>K21*L21*M21</f>
        <v>0</v>
      </c>
      <c r="O21" s="239"/>
      <c r="P21" s="229" t="s">
        <v>28</v>
      </c>
      <c r="Q21" s="230"/>
      <c r="R21" s="230"/>
      <c r="S21" s="230"/>
      <c r="T21" s="1132"/>
      <c r="U21" s="1102"/>
      <c r="V21" s="231">
        <f>SUM(V5:V20)</f>
        <v>386478</v>
      </c>
    </row>
    <row r="22" spans="2:25" ht="15" customHeight="1" thickTop="1" x14ac:dyDescent="0.15">
      <c r="B22" s="1084" t="s">
        <v>172</v>
      </c>
      <c r="C22" s="92"/>
      <c r="D22" s="92"/>
      <c r="E22" s="103"/>
      <c r="F22" s="92"/>
      <c r="G22" s="201">
        <f>D22*F22</f>
        <v>0</v>
      </c>
      <c r="H22" s="213"/>
      <c r="I22" s="988"/>
      <c r="J22" s="92"/>
      <c r="K22" s="220"/>
      <c r="L22" s="220"/>
      <c r="M22" s="220"/>
      <c r="N22" s="201">
        <f t="shared" ref="N22:N23" si="10">K22*L22*M22</f>
        <v>0</v>
      </c>
      <c r="O22" s="239"/>
    </row>
    <row r="23" spans="2:25" ht="15" customHeight="1" thickBot="1" x14ac:dyDescent="0.2">
      <c r="B23" s="988"/>
      <c r="C23" s="92"/>
      <c r="D23" s="92"/>
      <c r="E23" s="103"/>
      <c r="F23" s="92"/>
      <c r="G23" s="201">
        <f>D23*F23</f>
        <v>0</v>
      </c>
      <c r="H23" s="213"/>
      <c r="I23" s="988"/>
      <c r="J23" s="92"/>
      <c r="K23" s="220"/>
      <c r="L23" s="220"/>
      <c r="M23" s="220"/>
      <c r="N23" s="201">
        <f t="shared" si="10"/>
        <v>0</v>
      </c>
      <c r="O23" s="239"/>
      <c r="P23" s="93" t="s">
        <v>250</v>
      </c>
    </row>
    <row r="24" spans="2:25" ht="15" customHeight="1" thickBot="1" x14ac:dyDescent="0.2">
      <c r="B24" s="988"/>
      <c r="C24" s="92"/>
      <c r="D24" s="92"/>
      <c r="E24" s="103"/>
      <c r="F24" s="92"/>
      <c r="G24" s="201">
        <f>D24*F24</f>
        <v>0</v>
      </c>
      <c r="H24" s="213"/>
      <c r="I24" s="1085"/>
      <c r="J24" s="342" t="s">
        <v>255</v>
      </c>
      <c r="K24" s="221">
        <f>SUM(K21:K23)</f>
        <v>0</v>
      </c>
      <c r="L24" s="222">
        <f>SUM(L21:L23)</f>
        <v>0</v>
      </c>
      <c r="M24" s="223"/>
      <c r="N24" s="216">
        <f>SUM(N21:N23)</f>
        <v>0</v>
      </c>
      <c r="O24" s="239"/>
      <c r="P24" s="338" t="s">
        <v>189</v>
      </c>
      <c r="Q24" s="339" t="s">
        <v>184</v>
      </c>
      <c r="R24" s="339" t="s">
        <v>185</v>
      </c>
      <c r="S24" s="339" t="s">
        <v>186</v>
      </c>
      <c r="T24" s="339" t="s">
        <v>187</v>
      </c>
      <c r="U24" s="541" t="s">
        <v>190</v>
      </c>
      <c r="V24" s="340" t="s">
        <v>188</v>
      </c>
      <c r="W24" s="93" t="s">
        <v>294</v>
      </c>
      <c r="X24" s="93" t="s">
        <v>362</v>
      </c>
    </row>
    <row r="25" spans="2:25" ht="15" customHeight="1" thickTop="1" thickBot="1" x14ac:dyDescent="0.2">
      <c r="B25" s="1090"/>
      <c r="C25" s="207" t="s">
        <v>144</v>
      </c>
      <c r="D25" s="208"/>
      <c r="E25" s="208"/>
      <c r="F25" s="215"/>
      <c r="G25" s="209">
        <f>SUM(G22:G24)</f>
        <v>0</v>
      </c>
      <c r="I25" s="1084" t="s">
        <v>271</v>
      </c>
      <c r="J25" s="92"/>
      <c r="K25" s="220"/>
      <c r="L25" s="220"/>
      <c r="M25" s="220"/>
      <c r="N25" s="201">
        <f>K25*L25*M25</f>
        <v>0</v>
      </c>
      <c r="O25" s="239"/>
      <c r="P25" s="341" t="s">
        <v>523</v>
      </c>
      <c r="Q25" s="197">
        <v>5</v>
      </c>
      <c r="R25" s="537" t="s">
        <v>408</v>
      </c>
      <c r="S25" s="197">
        <v>5160</v>
      </c>
      <c r="T25" s="197">
        <v>2</v>
      </c>
      <c r="U25" s="198">
        <v>1</v>
      </c>
      <c r="V25" s="228">
        <f>Q25*S25/T25/U25</f>
        <v>12900</v>
      </c>
      <c r="W25" s="93">
        <v>4692</v>
      </c>
      <c r="X25" s="486">
        <v>0.5</v>
      </c>
    </row>
    <row r="26" spans="2:25" ht="15" customHeight="1" x14ac:dyDescent="0.15">
      <c r="H26" s="214"/>
      <c r="I26" s="988"/>
      <c r="J26" s="92"/>
      <c r="K26" s="220"/>
      <c r="L26" s="220"/>
      <c r="M26" s="220"/>
      <c r="N26" s="201">
        <f t="shared" ref="N26:N27" si="11">K26*L26*M26</f>
        <v>0</v>
      </c>
      <c r="O26" s="239"/>
      <c r="P26" s="341" t="s">
        <v>356</v>
      </c>
      <c r="Q26" s="197">
        <v>5</v>
      </c>
      <c r="R26" s="537" t="s">
        <v>407</v>
      </c>
      <c r="S26" s="197">
        <v>3390</v>
      </c>
      <c r="T26" s="197">
        <v>2</v>
      </c>
      <c r="U26" s="198">
        <v>1</v>
      </c>
      <c r="V26" s="228">
        <f t="shared" ref="V26:V37" si="12">Q26*S26/T26/U26</f>
        <v>8475</v>
      </c>
      <c r="W26" s="93">
        <v>3086</v>
      </c>
      <c r="X26" s="486">
        <v>0.5</v>
      </c>
    </row>
    <row r="27" spans="2:25" ht="15" customHeight="1" thickBot="1" x14ac:dyDescent="0.2">
      <c r="B27" s="13" t="s">
        <v>257</v>
      </c>
      <c r="C27" s="13"/>
      <c r="D27" s="95"/>
      <c r="E27" s="13"/>
      <c r="F27" s="95"/>
      <c r="G27" s="99"/>
      <c r="H27" s="212"/>
      <c r="I27" s="988"/>
      <c r="J27" s="92"/>
      <c r="K27" s="220"/>
      <c r="L27" s="220"/>
      <c r="M27" s="220"/>
      <c r="N27" s="201">
        <f t="shared" si="11"/>
        <v>0</v>
      </c>
      <c r="O27" s="239"/>
      <c r="P27" s="341" t="s">
        <v>357</v>
      </c>
      <c r="Q27" s="197">
        <v>2</v>
      </c>
      <c r="R27" s="537" t="s">
        <v>407</v>
      </c>
      <c r="S27" s="197">
        <v>5720</v>
      </c>
      <c r="T27" s="197">
        <v>2</v>
      </c>
      <c r="U27" s="198">
        <v>1</v>
      </c>
      <c r="V27" s="228">
        <f t="shared" si="12"/>
        <v>5720</v>
      </c>
      <c r="X27" s="486">
        <v>0.2</v>
      </c>
    </row>
    <row r="28" spans="2:25" ht="15" customHeight="1" thickBot="1" x14ac:dyDescent="0.2">
      <c r="B28" s="337" t="s">
        <v>74</v>
      </c>
      <c r="C28" s="211" t="s">
        <v>133</v>
      </c>
      <c r="D28" s="211" t="s">
        <v>134</v>
      </c>
      <c r="E28" s="211" t="s">
        <v>135</v>
      </c>
      <c r="F28" s="211" t="s">
        <v>23</v>
      </c>
      <c r="G28" s="199" t="s">
        <v>136</v>
      </c>
      <c r="H28" s="213"/>
      <c r="I28" s="1085"/>
      <c r="J28" s="342" t="s">
        <v>253</v>
      </c>
      <c r="K28" s="221">
        <f>SUM(K25:K27)</f>
        <v>0</v>
      </c>
      <c r="L28" s="222">
        <f>SUM(L25:L27)</f>
        <v>0</v>
      </c>
      <c r="M28" s="223"/>
      <c r="N28" s="216">
        <f>SUM(N25:N27)</f>
        <v>0</v>
      </c>
      <c r="O28" s="239"/>
      <c r="P28" s="341" t="s">
        <v>358</v>
      </c>
      <c r="Q28" s="197">
        <v>5</v>
      </c>
      <c r="R28" s="537" t="s">
        <v>407</v>
      </c>
      <c r="S28" s="197">
        <v>970</v>
      </c>
      <c r="T28" s="197">
        <v>2</v>
      </c>
      <c r="U28" s="198">
        <v>1</v>
      </c>
      <c r="V28" s="228">
        <f t="shared" si="12"/>
        <v>2425</v>
      </c>
      <c r="W28" s="93">
        <v>885</v>
      </c>
      <c r="X28" s="486">
        <v>0.5</v>
      </c>
    </row>
    <row r="29" spans="2:25" ht="15" customHeight="1" thickTop="1" x14ac:dyDescent="0.15">
      <c r="B29" s="987" t="s">
        <v>29</v>
      </c>
      <c r="C29" s="92" t="s">
        <v>508</v>
      </c>
      <c r="D29" s="92">
        <f>+農薬算出基礎!D3*10/農薬算出基礎!C3*1000/農薬算出基礎!E3</f>
        <v>8</v>
      </c>
      <c r="E29" s="103" t="s">
        <v>138</v>
      </c>
      <c r="F29" s="92">
        <f>+農薬算出基礎!F3</f>
        <v>3660</v>
      </c>
      <c r="G29" s="200">
        <f t="shared" ref="G29:G41" si="13">D29*F29</f>
        <v>29280</v>
      </c>
      <c r="H29" s="213"/>
      <c r="I29" s="1084" t="s">
        <v>178</v>
      </c>
      <c r="J29" s="92"/>
      <c r="K29" s="220"/>
      <c r="L29" s="220"/>
      <c r="M29" s="220"/>
      <c r="N29" s="201">
        <f>K29*L29*M29</f>
        <v>0</v>
      </c>
      <c r="O29" s="239"/>
      <c r="P29" s="341" t="s">
        <v>524</v>
      </c>
      <c r="Q29" s="197">
        <v>40</v>
      </c>
      <c r="R29" s="537" t="s">
        <v>408</v>
      </c>
      <c r="S29" s="197">
        <v>1180</v>
      </c>
      <c r="T29" s="197">
        <v>5</v>
      </c>
      <c r="U29" s="198">
        <v>1</v>
      </c>
      <c r="V29" s="228">
        <f t="shared" si="12"/>
        <v>9440</v>
      </c>
      <c r="W29" s="93">
        <v>1080</v>
      </c>
      <c r="X29" s="486">
        <v>8</v>
      </c>
    </row>
    <row r="30" spans="2:25" ht="15" customHeight="1" x14ac:dyDescent="0.15">
      <c r="B30" s="988"/>
      <c r="C30" s="92" t="s">
        <v>509</v>
      </c>
      <c r="D30" s="92">
        <f>+農薬算出基礎!D4*10/農薬算出基礎!C4*1000/農薬算出基礎!E4</f>
        <v>7.5</v>
      </c>
      <c r="E30" s="103" t="s">
        <v>138</v>
      </c>
      <c r="F30" s="92">
        <f>+農薬算出基礎!F4</f>
        <v>1840</v>
      </c>
      <c r="G30" s="201">
        <f t="shared" si="13"/>
        <v>13800</v>
      </c>
      <c r="H30" s="213"/>
      <c r="I30" s="988"/>
      <c r="J30" s="92"/>
      <c r="K30" s="220"/>
      <c r="L30" s="220"/>
      <c r="M30" s="220"/>
      <c r="N30" s="201">
        <f t="shared" ref="N30:N31" si="14">K30*L30*M30</f>
        <v>0</v>
      </c>
      <c r="O30" s="94"/>
      <c r="P30" s="341" t="s">
        <v>360</v>
      </c>
      <c r="Q30" s="197">
        <v>2</v>
      </c>
      <c r="R30" s="537" t="s">
        <v>88</v>
      </c>
      <c r="S30" s="197">
        <v>10470</v>
      </c>
      <c r="T30" s="197">
        <v>5</v>
      </c>
      <c r="U30" s="376">
        <v>1</v>
      </c>
      <c r="V30" s="228">
        <f t="shared" si="12"/>
        <v>4188</v>
      </c>
      <c r="W30" s="93">
        <v>9700</v>
      </c>
      <c r="X30" s="486">
        <v>0.2</v>
      </c>
      <c r="Y30" s="93" t="s">
        <v>363</v>
      </c>
    </row>
    <row r="31" spans="2:25" ht="15" customHeight="1" x14ac:dyDescent="0.15">
      <c r="B31" s="988"/>
      <c r="C31" s="92" t="s">
        <v>510</v>
      </c>
      <c r="D31" s="92">
        <f>+農薬算出基礎!D5*10/農薬算出基礎!C5*1000/農薬算出基礎!E5</f>
        <v>4</v>
      </c>
      <c r="E31" s="103" t="s">
        <v>138</v>
      </c>
      <c r="F31" s="92">
        <f>+農薬算出基礎!F5</f>
        <v>6260</v>
      </c>
      <c r="G31" s="201">
        <f t="shared" si="13"/>
        <v>25040</v>
      </c>
      <c r="H31" s="213"/>
      <c r="I31" s="988"/>
      <c r="J31" s="92"/>
      <c r="K31" s="220"/>
      <c r="L31" s="220"/>
      <c r="M31" s="220"/>
      <c r="N31" s="201">
        <f t="shared" si="14"/>
        <v>0</v>
      </c>
      <c r="P31" s="341" t="s">
        <v>525</v>
      </c>
      <c r="Q31" s="197">
        <v>4</v>
      </c>
      <c r="R31" s="537" t="s">
        <v>88</v>
      </c>
      <c r="S31" s="197">
        <v>3020</v>
      </c>
      <c r="T31" s="197">
        <v>5</v>
      </c>
      <c r="U31" s="376">
        <v>1</v>
      </c>
      <c r="V31" s="228">
        <f t="shared" si="12"/>
        <v>2416</v>
      </c>
      <c r="W31" s="93">
        <v>2800</v>
      </c>
      <c r="X31" s="486">
        <v>0.4</v>
      </c>
      <c r="Y31" s="93" t="s">
        <v>364</v>
      </c>
    </row>
    <row r="32" spans="2:25" ht="15" customHeight="1" x14ac:dyDescent="0.15">
      <c r="B32" s="988"/>
      <c r="C32" s="556" t="s">
        <v>511</v>
      </c>
      <c r="D32" s="556">
        <f>+農薬算出基礎!D6*10/農薬算出基礎!C6*1000/農薬算出基礎!E6</f>
        <v>3</v>
      </c>
      <c r="E32" s="103" t="s">
        <v>138</v>
      </c>
      <c r="F32" s="556">
        <f>+農薬算出基礎!F6</f>
        <v>3690</v>
      </c>
      <c r="G32" s="557">
        <f t="shared" si="13"/>
        <v>11070</v>
      </c>
      <c r="H32" s="213"/>
      <c r="I32" s="988"/>
      <c r="J32" s="558"/>
      <c r="K32" s="559"/>
      <c r="L32" s="559"/>
      <c r="M32" s="561"/>
      <c r="N32" s="560"/>
      <c r="P32" s="490" t="s">
        <v>526</v>
      </c>
      <c r="Q32" s="491">
        <v>1</v>
      </c>
      <c r="R32" s="492" t="s">
        <v>408</v>
      </c>
      <c r="S32" s="491">
        <v>30000</v>
      </c>
      <c r="T32" s="491">
        <v>10</v>
      </c>
      <c r="U32" s="493">
        <v>1</v>
      </c>
      <c r="V32" s="494">
        <f t="shared" si="12"/>
        <v>3000</v>
      </c>
    </row>
    <row r="33" spans="2:22" ht="15" customHeight="1" thickBot="1" x14ac:dyDescent="0.2">
      <c r="B33" s="988"/>
      <c r="C33" s="92" t="s">
        <v>512</v>
      </c>
      <c r="D33" s="92">
        <f>+農薬算出基礎!D7*10/農薬算出基礎!C7*1000/農薬算出基礎!E7</f>
        <v>3</v>
      </c>
      <c r="E33" s="103" t="s">
        <v>138</v>
      </c>
      <c r="F33" s="92">
        <f>+農薬算出基礎!F7</f>
        <v>4570</v>
      </c>
      <c r="G33" s="201">
        <f t="shared" si="13"/>
        <v>13710</v>
      </c>
      <c r="H33" s="213"/>
      <c r="I33" s="1090"/>
      <c r="J33" s="343" t="s">
        <v>253</v>
      </c>
      <c r="K33" s="224">
        <f>SUM(K29:K31)</f>
        <v>0</v>
      </c>
      <c r="L33" s="226">
        <f>SUM(L29:L31)</f>
        <v>0</v>
      </c>
      <c r="M33" s="227"/>
      <c r="N33" s="218">
        <f>SUM(N29:N31)</f>
        <v>0</v>
      </c>
      <c r="P33" s="341" t="s">
        <v>415</v>
      </c>
      <c r="Q33" s="197">
        <v>1</v>
      </c>
      <c r="R33" s="537" t="s">
        <v>88</v>
      </c>
      <c r="S33" s="197">
        <v>30000</v>
      </c>
      <c r="T33" s="197">
        <v>7</v>
      </c>
      <c r="U33" s="198">
        <v>1</v>
      </c>
      <c r="V33" s="228">
        <f t="shared" si="12"/>
        <v>4285.7142857142853</v>
      </c>
    </row>
    <row r="34" spans="2:22" ht="15" customHeight="1" x14ac:dyDescent="0.15">
      <c r="B34" s="988"/>
      <c r="C34" s="556" t="s">
        <v>513</v>
      </c>
      <c r="D34" s="556">
        <f>+農薬算出基礎!D8*10/農薬算出基礎!C8*1000/農薬算出基礎!E8</f>
        <v>2</v>
      </c>
      <c r="E34" s="103" t="s">
        <v>138</v>
      </c>
      <c r="F34" s="556">
        <f>+農薬算出基礎!F8</f>
        <v>6350</v>
      </c>
      <c r="G34" s="557">
        <f t="shared" si="13"/>
        <v>12700</v>
      </c>
      <c r="H34" s="213"/>
      <c r="I34" s="489"/>
      <c r="J34" s="212"/>
      <c r="K34" s="508"/>
      <c r="L34" s="508"/>
      <c r="M34" s="508"/>
      <c r="N34" s="213"/>
      <c r="P34" s="490" t="s">
        <v>527</v>
      </c>
      <c r="Q34" s="491">
        <v>4</v>
      </c>
      <c r="R34" s="492" t="s">
        <v>142</v>
      </c>
      <c r="S34" s="491">
        <v>7200</v>
      </c>
      <c r="T34" s="491">
        <v>10</v>
      </c>
      <c r="U34" s="493">
        <v>1</v>
      </c>
      <c r="V34" s="494">
        <f t="shared" si="12"/>
        <v>2880</v>
      </c>
    </row>
    <row r="35" spans="2:22" ht="15" customHeight="1" x14ac:dyDescent="0.15">
      <c r="B35" s="988"/>
      <c r="C35" s="556" t="s">
        <v>514</v>
      </c>
      <c r="D35" s="556">
        <f>+農薬算出基礎!D9*10/農薬算出基礎!C9*1000/農薬算出基礎!E9</f>
        <v>2</v>
      </c>
      <c r="E35" s="103" t="s">
        <v>138</v>
      </c>
      <c r="F35" s="556">
        <f>+農薬算出基礎!F9</f>
        <v>8080</v>
      </c>
      <c r="G35" s="557">
        <f t="shared" si="13"/>
        <v>16160</v>
      </c>
      <c r="H35" s="213"/>
      <c r="I35" s="489"/>
      <c r="J35" s="212"/>
      <c r="K35" s="508"/>
      <c r="L35" s="508"/>
      <c r="M35" s="508"/>
      <c r="N35" s="213"/>
      <c r="P35" s="490" t="s">
        <v>528</v>
      </c>
      <c r="Q35" s="491">
        <v>2</v>
      </c>
      <c r="R35" s="492" t="s">
        <v>408</v>
      </c>
      <c r="S35" s="491">
        <v>10000</v>
      </c>
      <c r="T35" s="491">
        <v>10</v>
      </c>
      <c r="U35" s="493">
        <v>1</v>
      </c>
      <c r="V35" s="494">
        <f t="shared" si="12"/>
        <v>2000</v>
      </c>
    </row>
    <row r="36" spans="2:22" ht="15" customHeight="1" x14ac:dyDescent="0.15">
      <c r="B36" s="988"/>
      <c r="C36" s="377" t="s">
        <v>515</v>
      </c>
      <c r="D36" s="377">
        <f>+農薬算出基礎!D10*10*3/農薬算出基礎!C10*1000/農薬算出基礎!E10</f>
        <v>12</v>
      </c>
      <c r="E36" s="103" t="s">
        <v>138</v>
      </c>
      <c r="F36" s="377">
        <f>+農薬算出基礎!F10</f>
        <v>5970</v>
      </c>
      <c r="G36" s="201">
        <f t="shared" si="13"/>
        <v>71640</v>
      </c>
      <c r="H36" s="213"/>
      <c r="I36" s="191"/>
      <c r="J36" s="213"/>
      <c r="K36" s="213"/>
      <c r="L36" s="213"/>
      <c r="M36" s="213"/>
      <c r="N36" s="213"/>
      <c r="P36" s="341" t="s">
        <v>413</v>
      </c>
      <c r="Q36" s="197">
        <v>1</v>
      </c>
      <c r="R36" s="537" t="s">
        <v>408</v>
      </c>
      <c r="S36" s="197">
        <v>2500</v>
      </c>
      <c r="T36" s="197">
        <v>10</v>
      </c>
      <c r="U36" s="198">
        <v>1</v>
      </c>
      <c r="V36" s="228">
        <f t="shared" si="12"/>
        <v>250</v>
      </c>
    </row>
    <row r="37" spans="2:22" ht="15" customHeight="1" thickBot="1" x14ac:dyDescent="0.2">
      <c r="B37" s="988"/>
      <c r="C37" s="377"/>
      <c r="D37" s="377"/>
      <c r="E37" s="103"/>
      <c r="F37" s="377"/>
      <c r="G37" s="201">
        <f t="shared" si="13"/>
        <v>0</v>
      </c>
      <c r="H37" s="213"/>
      <c r="I37" s="181" t="s">
        <v>248</v>
      </c>
      <c r="J37" s="181"/>
      <c r="K37" s="181"/>
      <c r="L37" s="181"/>
      <c r="M37" s="181"/>
      <c r="P37" s="341" t="s">
        <v>414</v>
      </c>
      <c r="Q37" s="197">
        <v>1</v>
      </c>
      <c r="R37" s="537" t="s">
        <v>408</v>
      </c>
      <c r="S37" s="197">
        <v>3000</v>
      </c>
      <c r="T37" s="197">
        <v>10</v>
      </c>
      <c r="U37" s="198">
        <v>3</v>
      </c>
      <c r="V37" s="228">
        <f t="shared" si="12"/>
        <v>100</v>
      </c>
    </row>
    <row r="38" spans="2:22" ht="15" customHeight="1" thickBot="1" x14ac:dyDescent="0.2">
      <c r="B38" s="988"/>
      <c r="C38" s="92"/>
      <c r="D38" s="92"/>
      <c r="E38" s="103"/>
      <c r="F38" s="92"/>
      <c r="G38" s="201">
        <f t="shared" si="13"/>
        <v>0</v>
      </c>
      <c r="H38" s="213"/>
      <c r="I38" s="317" t="s">
        <v>233</v>
      </c>
      <c r="J38" s="318" t="s">
        <v>5</v>
      </c>
      <c r="K38" s="1086" t="s">
        <v>234</v>
      </c>
      <c r="L38" s="1087"/>
      <c r="M38" s="344" t="s">
        <v>190</v>
      </c>
      <c r="N38" s="345" t="s">
        <v>259</v>
      </c>
      <c r="P38" s="346" t="s">
        <v>238</v>
      </c>
      <c r="Q38" s="230"/>
      <c r="R38" s="230"/>
      <c r="S38" s="230"/>
      <c r="T38" s="230"/>
      <c r="U38" s="232"/>
      <c r="V38" s="231">
        <f>SUM(V25:V37)</f>
        <v>58079.714285714283</v>
      </c>
    </row>
    <row r="39" spans="2:22" ht="15" customHeight="1" x14ac:dyDescent="0.15">
      <c r="B39" s="988"/>
      <c r="C39" s="92"/>
      <c r="D39" s="92"/>
      <c r="E39" s="103"/>
      <c r="F39" s="92"/>
      <c r="G39" s="201">
        <f t="shared" si="13"/>
        <v>0</v>
      </c>
      <c r="H39" s="213"/>
      <c r="I39" s="1104" t="s">
        <v>2</v>
      </c>
      <c r="J39" s="210" t="s">
        <v>561</v>
      </c>
      <c r="K39" s="1103">
        <f>+'６　固定資本装備と減価償却費'!I6</f>
        <v>6480000</v>
      </c>
      <c r="L39" s="1103"/>
      <c r="M39" s="608">
        <v>3</v>
      </c>
      <c r="N39" s="331">
        <f t="shared" ref="N39" si="15">+K39/M39*0.014</f>
        <v>30240</v>
      </c>
    </row>
    <row r="40" spans="2:22" ht="15" customHeight="1" thickBot="1" x14ac:dyDescent="0.2">
      <c r="B40" s="988"/>
      <c r="C40" s="92"/>
      <c r="D40" s="92"/>
      <c r="E40" s="103"/>
      <c r="F40" s="92"/>
      <c r="G40" s="201">
        <f t="shared" si="13"/>
        <v>0</v>
      </c>
      <c r="H40" s="213"/>
      <c r="I40" s="1105"/>
      <c r="J40" s="210"/>
      <c r="K40" s="1103"/>
      <c r="L40" s="1103"/>
      <c r="M40" s="542"/>
      <c r="N40" s="331"/>
      <c r="P40" s="181" t="s">
        <v>239</v>
      </c>
      <c r="Q40" s="181"/>
      <c r="R40" s="181"/>
      <c r="S40" s="181"/>
      <c r="T40" s="181"/>
    </row>
    <row r="41" spans="2:22" ht="15" customHeight="1" x14ac:dyDescent="0.15">
      <c r="B41" s="988"/>
      <c r="C41" s="92"/>
      <c r="D41" s="92"/>
      <c r="E41" s="103"/>
      <c r="F41" s="92"/>
      <c r="G41" s="201">
        <f t="shared" si="13"/>
        <v>0</v>
      </c>
      <c r="H41" s="213"/>
      <c r="I41" s="1105"/>
      <c r="J41" s="210"/>
      <c r="K41" s="1103"/>
      <c r="L41" s="1103"/>
      <c r="M41" s="542"/>
      <c r="N41" s="331"/>
      <c r="O41" s="225"/>
      <c r="P41" s="317" t="s">
        <v>232</v>
      </c>
      <c r="Q41" s="1088" t="s">
        <v>240</v>
      </c>
      <c r="R41" s="1088"/>
      <c r="S41" s="540" t="s">
        <v>244</v>
      </c>
      <c r="T41" s="540" t="s">
        <v>243</v>
      </c>
      <c r="U41" s="347" t="s">
        <v>190</v>
      </c>
      <c r="V41" s="348" t="s">
        <v>259</v>
      </c>
    </row>
    <row r="42" spans="2:22" ht="15" customHeight="1" thickBot="1" x14ac:dyDescent="0.2">
      <c r="B42" s="1085"/>
      <c r="C42" s="202" t="s">
        <v>140</v>
      </c>
      <c r="D42" s="202"/>
      <c r="E42" s="202"/>
      <c r="F42" s="202"/>
      <c r="G42" s="203">
        <f>SUM(G29:G41)</f>
        <v>193400</v>
      </c>
      <c r="H42" s="213"/>
      <c r="I42" s="1105"/>
      <c r="J42" s="210"/>
      <c r="K42" s="1103"/>
      <c r="L42" s="1103"/>
      <c r="M42" s="542"/>
      <c r="N42" s="331"/>
      <c r="O42" s="225"/>
      <c r="P42" s="1099" t="s">
        <v>241</v>
      </c>
      <c r="Q42" s="323" t="s">
        <v>231</v>
      </c>
      <c r="R42" s="352"/>
      <c r="S42" s="324"/>
      <c r="T42" s="353"/>
      <c r="U42" s="324"/>
      <c r="V42" s="331"/>
    </row>
    <row r="43" spans="2:22" ht="15" customHeight="1" thickTop="1" x14ac:dyDescent="0.15">
      <c r="B43" s="1084" t="s">
        <v>173</v>
      </c>
      <c r="C43" s="92" t="str">
        <f>+農薬算出基礎!B12</f>
        <v>石灰硫黄合剤</v>
      </c>
      <c r="D43" s="92">
        <f>+農薬算出基礎!D12*10/農薬算出基礎!C12*1000/農薬算出基礎!E12</f>
        <v>11.111111111111111</v>
      </c>
      <c r="E43" s="103" t="s">
        <v>138</v>
      </c>
      <c r="F43" s="92">
        <f>+農薬算出基礎!F12</f>
        <v>2560</v>
      </c>
      <c r="G43" s="201">
        <f>D43*F43</f>
        <v>28444.444444444445</v>
      </c>
      <c r="H43" s="213"/>
      <c r="I43" s="1105"/>
      <c r="J43" s="210"/>
      <c r="K43" s="1103"/>
      <c r="L43" s="1103"/>
      <c r="M43" s="542"/>
      <c r="N43" s="331"/>
      <c r="O43" s="225"/>
      <c r="P43" s="1097"/>
      <c r="Q43" s="323" t="s">
        <v>447</v>
      </c>
      <c r="R43" s="352" t="s">
        <v>644</v>
      </c>
      <c r="S43" s="324"/>
      <c r="T43" s="353"/>
      <c r="U43" s="324">
        <v>1</v>
      </c>
      <c r="V43" s="331">
        <v>64150</v>
      </c>
    </row>
    <row r="44" spans="2:22" ht="15" customHeight="1" x14ac:dyDescent="0.15">
      <c r="B44" s="988"/>
      <c r="C44" s="92" t="str">
        <f>+農薬算出基礎!B13</f>
        <v>スプラサイド水和剤（蜂）</v>
      </c>
      <c r="D44" s="92">
        <f>+農薬算出基礎!D13*10/農薬算出基礎!C13*1000/農薬算出基礎!E13</f>
        <v>4</v>
      </c>
      <c r="E44" s="103" t="s">
        <v>138</v>
      </c>
      <c r="F44" s="92">
        <f>+農薬算出基礎!F13</f>
        <v>2380</v>
      </c>
      <c r="G44" s="201">
        <f>D44*F44</f>
        <v>9520</v>
      </c>
      <c r="H44" s="213"/>
      <c r="I44" s="1105"/>
      <c r="J44" s="210"/>
      <c r="K44" s="1103"/>
      <c r="L44" s="1103"/>
      <c r="M44" s="542"/>
      <c r="N44" s="331"/>
      <c r="O44" s="225"/>
      <c r="P44" s="1097"/>
      <c r="Q44" s="323" t="s">
        <v>245</v>
      </c>
      <c r="R44" s="352"/>
      <c r="S44" s="324"/>
      <c r="T44" s="353"/>
      <c r="U44" s="324"/>
      <c r="V44" s="331"/>
    </row>
    <row r="45" spans="2:22" ht="15" customHeight="1" x14ac:dyDescent="0.15">
      <c r="B45" s="988"/>
      <c r="C45" s="92" t="str">
        <f>+農薬算出基礎!B14</f>
        <v>モスピラン顆粒水溶剤</v>
      </c>
      <c r="D45" s="92">
        <f>+農薬算出基礎!D14*10/農薬算出基礎!C14*1000/農薬算出基礎!E14+農薬算出基礎!D18*10/農薬算出基礎!C18*1000/農薬算出基礎!E18</f>
        <v>4.5</v>
      </c>
      <c r="E45" s="103" t="s">
        <v>138</v>
      </c>
      <c r="F45" s="92">
        <f>+農薬算出基礎!F14+農薬算出基礎!F17</f>
        <v>11640</v>
      </c>
      <c r="G45" s="201">
        <f t="shared" ref="G45:G56" si="16">D45*F45</f>
        <v>52380</v>
      </c>
      <c r="H45" s="213"/>
      <c r="I45" s="1105"/>
      <c r="J45" s="210"/>
      <c r="K45" s="1103"/>
      <c r="L45" s="1103"/>
      <c r="M45" s="542"/>
      <c r="N45" s="331"/>
      <c r="O45" s="225"/>
      <c r="P45" s="1097"/>
      <c r="Q45" s="323" t="s">
        <v>247</v>
      </c>
      <c r="R45" s="352"/>
      <c r="S45" s="324"/>
      <c r="T45" s="353"/>
      <c r="U45" s="324"/>
      <c r="V45" s="331"/>
    </row>
    <row r="46" spans="2:22" ht="15" customHeight="1" thickBot="1" x14ac:dyDescent="0.2">
      <c r="B46" s="988"/>
      <c r="C46" s="377" t="str">
        <f>+農薬算出基礎!B15</f>
        <v>ジェイエース水溶剤（蜂）</v>
      </c>
      <c r="D46" s="377">
        <f>+農薬算出基礎!D15*10/農薬算出基礎!C15*1000/農薬算出基礎!E15</f>
        <v>3</v>
      </c>
      <c r="E46" s="103" t="s">
        <v>138</v>
      </c>
      <c r="F46" s="377">
        <f>+農薬算出基礎!F15</f>
        <v>3180</v>
      </c>
      <c r="G46" s="201">
        <f t="shared" si="16"/>
        <v>9540</v>
      </c>
      <c r="H46" s="213"/>
      <c r="I46" s="1106"/>
      <c r="J46" s="319" t="s">
        <v>141</v>
      </c>
      <c r="K46" s="1107"/>
      <c r="L46" s="1108"/>
      <c r="M46" s="320"/>
      <c r="N46" s="327">
        <f>SUM(N39:N45)</f>
        <v>30240</v>
      </c>
      <c r="O46" s="225"/>
      <c r="P46" s="1097"/>
      <c r="Q46" s="323"/>
      <c r="R46" s="352"/>
      <c r="S46" s="324"/>
      <c r="T46" s="353"/>
      <c r="U46" s="324"/>
      <c r="V46" s="331"/>
    </row>
    <row r="47" spans="2:22" ht="15" customHeight="1" thickTop="1" x14ac:dyDescent="0.15">
      <c r="B47" s="988"/>
      <c r="C47" s="377" t="str">
        <f>+農薬算出基礎!B16</f>
        <v>アディオンフロアブル</v>
      </c>
      <c r="D47" s="377">
        <f>+農薬算出基礎!D16*10/農薬算出基礎!C16*1000/農薬算出基礎!E16</f>
        <v>4</v>
      </c>
      <c r="E47" s="103" t="s">
        <v>138</v>
      </c>
      <c r="F47" s="377">
        <f>+農薬算出基礎!F16</f>
        <v>4900</v>
      </c>
      <c r="G47" s="201">
        <f t="shared" si="16"/>
        <v>19600</v>
      </c>
      <c r="H47" s="213"/>
      <c r="I47" s="1121" t="s">
        <v>235</v>
      </c>
      <c r="J47" s="321"/>
      <c r="K47" s="1111"/>
      <c r="L47" s="1111"/>
      <c r="M47" s="543"/>
      <c r="N47" s="349"/>
      <c r="O47" s="225"/>
      <c r="P47" s="1097"/>
      <c r="Q47" s="323"/>
      <c r="R47" s="352"/>
      <c r="S47" s="324"/>
      <c r="T47" s="353"/>
      <c r="U47" s="324"/>
      <c r="V47" s="331"/>
    </row>
    <row r="48" spans="2:22" ht="15" customHeight="1" thickBot="1" x14ac:dyDescent="0.2">
      <c r="B48" s="988"/>
      <c r="C48" s="92" t="str">
        <f>+農薬算出基礎!B17</f>
        <v>パダンSG水溶剤</v>
      </c>
      <c r="D48" s="92">
        <f>+農薬算出基礎!D17*10/農薬算出基礎!C17*1000/農薬算出基礎!E17</f>
        <v>4</v>
      </c>
      <c r="E48" s="103" t="s">
        <v>138</v>
      </c>
      <c r="F48" s="92">
        <f>+農薬算出基礎!F17</f>
        <v>3300</v>
      </c>
      <c r="G48" s="201">
        <f t="shared" si="16"/>
        <v>13200</v>
      </c>
      <c r="H48" s="213"/>
      <c r="I48" s="1122"/>
      <c r="J48" s="323"/>
      <c r="K48" s="1103"/>
      <c r="L48" s="1103"/>
      <c r="M48" s="542"/>
      <c r="N48" s="331"/>
      <c r="O48" s="225"/>
      <c r="P48" s="1100"/>
      <c r="Q48" s="332" t="s">
        <v>246</v>
      </c>
      <c r="R48" s="333"/>
      <c r="S48" s="333"/>
      <c r="T48" s="333"/>
      <c r="U48" s="333"/>
      <c r="V48" s="334">
        <f>SUM(V42:V47)</f>
        <v>64150</v>
      </c>
    </row>
    <row r="49" spans="2:22" ht="15" customHeight="1" thickTop="1" x14ac:dyDescent="0.15">
      <c r="B49" s="988"/>
      <c r="C49" s="92"/>
      <c r="D49" s="92"/>
      <c r="E49" s="103" t="s">
        <v>138</v>
      </c>
      <c r="F49" s="92"/>
      <c r="G49" s="201">
        <f t="shared" si="16"/>
        <v>0</v>
      </c>
      <c r="H49" s="213"/>
      <c r="I49" s="1122"/>
      <c r="J49" s="210"/>
      <c r="K49" s="1103"/>
      <c r="L49" s="1103"/>
      <c r="M49" s="542"/>
      <c r="N49" s="331"/>
      <c r="O49" s="225"/>
      <c r="P49" s="1096" t="s">
        <v>252</v>
      </c>
      <c r="Q49" s="1093" t="s">
        <v>261</v>
      </c>
      <c r="R49" s="354"/>
      <c r="S49" s="321"/>
      <c r="T49" s="355"/>
      <c r="U49" s="321"/>
      <c r="V49" s="349"/>
    </row>
    <row r="50" spans="2:22" ht="15" customHeight="1" thickBot="1" x14ac:dyDescent="0.2">
      <c r="B50" s="988"/>
      <c r="C50" s="92"/>
      <c r="D50" s="92"/>
      <c r="E50" s="92"/>
      <c r="F50" s="92"/>
      <c r="G50" s="201">
        <f t="shared" si="16"/>
        <v>0</v>
      </c>
      <c r="H50" s="213"/>
      <c r="I50" s="1131"/>
      <c r="J50" s="319" t="s">
        <v>141</v>
      </c>
      <c r="K50" s="1107"/>
      <c r="L50" s="1108"/>
      <c r="M50" s="320"/>
      <c r="N50" s="327">
        <f>SUM(N47:N49)</f>
        <v>0</v>
      </c>
      <c r="O50" s="225"/>
      <c r="P50" s="1097"/>
      <c r="Q50" s="1094"/>
      <c r="R50" s="356"/>
      <c r="S50" s="323"/>
      <c r="T50" s="353"/>
      <c r="U50" s="323"/>
      <c r="V50" s="331"/>
    </row>
    <row r="51" spans="2:22" ht="15" customHeight="1" thickTop="1" x14ac:dyDescent="0.15">
      <c r="B51" s="988"/>
      <c r="C51" s="92"/>
      <c r="D51" s="92"/>
      <c r="E51" s="92"/>
      <c r="F51" s="92"/>
      <c r="G51" s="201">
        <f t="shared" si="16"/>
        <v>0</v>
      </c>
      <c r="H51" s="213"/>
      <c r="I51" s="1121" t="s">
        <v>236</v>
      </c>
      <c r="J51" s="321"/>
      <c r="K51" s="1111"/>
      <c r="L51" s="1111"/>
      <c r="M51" s="543"/>
      <c r="N51" s="349"/>
      <c r="O51" s="225"/>
      <c r="P51" s="1097"/>
      <c r="Q51" s="1094"/>
      <c r="R51" s="356"/>
      <c r="S51" s="323"/>
      <c r="T51" s="323"/>
      <c r="U51" s="210"/>
      <c r="V51" s="357"/>
    </row>
    <row r="52" spans="2:22" ht="15" customHeight="1" x14ac:dyDescent="0.15">
      <c r="B52" s="988"/>
      <c r="C52" s="92"/>
      <c r="D52" s="92"/>
      <c r="E52" s="92"/>
      <c r="F52" s="92"/>
      <c r="G52" s="201">
        <f t="shared" si="16"/>
        <v>0</v>
      </c>
      <c r="H52" s="213"/>
      <c r="I52" s="1122"/>
      <c r="J52" s="323"/>
      <c r="K52" s="1103"/>
      <c r="L52" s="1103"/>
      <c r="M52" s="542"/>
      <c r="N52" s="331"/>
      <c r="O52" s="225"/>
      <c r="P52" s="1097"/>
      <c r="Q52" s="1094"/>
      <c r="R52" s="356" t="s">
        <v>251</v>
      </c>
      <c r="S52" s="323">
        <v>15600</v>
      </c>
      <c r="T52" s="353">
        <v>1</v>
      </c>
      <c r="U52" s="609">
        <v>1.5</v>
      </c>
      <c r="V52" s="331">
        <f>+S52*T52/U52</f>
        <v>10400</v>
      </c>
    </row>
    <row r="53" spans="2:22" ht="15" customHeight="1" thickBot="1" x14ac:dyDescent="0.2">
      <c r="B53" s="1085"/>
      <c r="C53" s="204" t="s">
        <v>141</v>
      </c>
      <c r="D53" s="205"/>
      <c r="E53" s="205"/>
      <c r="F53" s="205"/>
      <c r="G53" s="206">
        <f>SUM(G43:G52)</f>
        <v>132684.44444444444</v>
      </c>
      <c r="H53" s="213"/>
      <c r="I53" s="1122"/>
      <c r="J53" s="210"/>
      <c r="K53" s="1103"/>
      <c r="L53" s="1103"/>
      <c r="M53" s="542"/>
      <c r="N53" s="331"/>
      <c r="O53" s="225"/>
      <c r="P53" s="1097"/>
      <c r="Q53" s="1095"/>
      <c r="R53" s="356"/>
      <c r="S53" s="323"/>
      <c r="T53" s="323"/>
      <c r="U53" s="210"/>
      <c r="V53" s="357"/>
    </row>
    <row r="54" spans="2:22" ht="15" customHeight="1" thickTop="1" thickBot="1" x14ac:dyDescent="0.2">
      <c r="B54" s="1084" t="s">
        <v>31</v>
      </c>
      <c r="C54" s="92" t="s">
        <v>518</v>
      </c>
      <c r="D54" s="92">
        <f>+農薬算出基礎!D20*10*2/農薬算出基礎!C20*1000/農薬算出基礎!E20</f>
        <v>0.90909090909090906</v>
      </c>
      <c r="E54" s="103" t="s">
        <v>142</v>
      </c>
      <c r="F54" s="92">
        <f>+農薬算出基礎!F20</f>
        <v>45740</v>
      </c>
      <c r="G54" s="201">
        <f t="shared" si="16"/>
        <v>41581.818181818184</v>
      </c>
      <c r="H54" s="213"/>
      <c r="I54" s="1131"/>
      <c r="J54" s="319" t="s">
        <v>141</v>
      </c>
      <c r="K54" s="1107"/>
      <c r="L54" s="1108"/>
      <c r="M54" s="320"/>
      <c r="N54" s="327">
        <f>SUM(N51:N53)</f>
        <v>0</v>
      </c>
      <c r="O54" s="225"/>
      <c r="P54" s="1097"/>
      <c r="Q54" s="332" t="s">
        <v>246</v>
      </c>
      <c r="R54" s="333"/>
      <c r="S54" s="333"/>
      <c r="T54" s="333"/>
      <c r="U54" s="333"/>
      <c r="V54" s="334">
        <f>SUM(V49:V53)</f>
        <v>10400</v>
      </c>
    </row>
    <row r="55" spans="2:22" ht="15" customHeight="1" thickTop="1" x14ac:dyDescent="0.15">
      <c r="B55" s="988"/>
      <c r="C55" s="92"/>
      <c r="D55" s="92"/>
      <c r="E55" s="92"/>
      <c r="F55" s="92"/>
      <c r="G55" s="201">
        <f t="shared" si="16"/>
        <v>0</v>
      </c>
      <c r="H55" s="213"/>
      <c r="I55" s="1121" t="s">
        <v>237</v>
      </c>
      <c r="J55" s="321"/>
      <c r="K55" s="1123"/>
      <c r="L55" s="1124"/>
      <c r="M55" s="335"/>
      <c r="N55" s="350"/>
      <c r="O55" s="225"/>
      <c r="P55" s="1097"/>
      <c r="Q55" s="1093" t="s">
        <v>262</v>
      </c>
      <c r="R55" s="354"/>
      <c r="S55" s="321"/>
      <c r="T55" s="355"/>
      <c r="U55" s="321"/>
      <c r="V55" s="349"/>
    </row>
    <row r="56" spans="2:22" ht="15" customHeight="1" x14ac:dyDescent="0.15">
      <c r="B56" s="988"/>
      <c r="C56" s="92"/>
      <c r="D56" s="92"/>
      <c r="E56" s="92"/>
      <c r="F56" s="92"/>
      <c r="G56" s="201">
        <f t="shared" si="16"/>
        <v>0</v>
      </c>
      <c r="H56" s="213"/>
      <c r="I56" s="1122"/>
      <c r="J56" s="323"/>
      <c r="K56" s="1125"/>
      <c r="L56" s="1126"/>
      <c r="M56" s="336"/>
      <c r="N56" s="331"/>
      <c r="O56" s="225"/>
      <c r="P56" s="1097"/>
      <c r="Q56" s="1094"/>
      <c r="R56" s="356"/>
      <c r="S56" s="323"/>
      <c r="T56" s="353"/>
      <c r="U56" s="323"/>
      <c r="V56" s="331"/>
    </row>
    <row r="57" spans="2:22" ht="14.25" thickBot="1" x14ac:dyDescent="0.2">
      <c r="B57" s="1085"/>
      <c r="C57" s="204" t="s">
        <v>141</v>
      </c>
      <c r="D57" s="205"/>
      <c r="E57" s="205"/>
      <c r="F57" s="205"/>
      <c r="G57" s="206">
        <f>SUM(G54:G56)</f>
        <v>41581.818181818184</v>
      </c>
      <c r="I57" s="1122"/>
      <c r="J57" s="323"/>
      <c r="K57" s="1125"/>
      <c r="L57" s="1126"/>
      <c r="M57" s="336"/>
      <c r="N57" s="331"/>
      <c r="O57" s="225"/>
      <c r="P57" s="1097"/>
      <c r="Q57" s="1094"/>
      <c r="R57" s="356"/>
      <c r="S57" s="323"/>
      <c r="T57" s="323"/>
      <c r="U57" s="210"/>
      <c r="V57" s="357"/>
    </row>
    <row r="58" spans="2:22" ht="14.25" thickTop="1" x14ac:dyDescent="0.15">
      <c r="B58" s="1084" t="s">
        <v>175</v>
      </c>
      <c r="C58" s="92" t="s">
        <v>519</v>
      </c>
      <c r="D58" s="92">
        <f>+農薬算出基礎!G24*10/農薬算出基礎!E24</f>
        <v>10</v>
      </c>
      <c r="E58" s="103" t="s">
        <v>143</v>
      </c>
      <c r="F58" s="92">
        <f>+農薬算出基礎!F24</f>
        <v>840</v>
      </c>
      <c r="G58" s="201">
        <f>D58*F58</f>
        <v>8400</v>
      </c>
      <c r="I58" s="1122"/>
      <c r="J58" s="542" t="s">
        <v>251</v>
      </c>
      <c r="K58" s="1127">
        <v>5000</v>
      </c>
      <c r="L58" s="1128"/>
      <c r="M58" s="610">
        <v>1.5</v>
      </c>
      <c r="N58" s="331">
        <f>+K58/M58</f>
        <v>3333.3333333333335</v>
      </c>
      <c r="O58" s="225"/>
      <c r="P58" s="1097"/>
      <c r="Q58" s="1094"/>
      <c r="R58" s="356" t="s">
        <v>251</v>
      </c>
      <c r="S58" s="323">
        <v>25000</v>
      </c>
      <c r="T58" s="353">
        <v>1</v>
      </c>
      <c r="U58" s="609">
        <v>1.5</v>
      </c>
      <c r="V58" s="331">
        <f>+S58*T58/U58</f>
        <v>16666.666666666668</v>
      </c>
    </row>
    <row r="59" spans="2:22" x14ac:dyDescent="0.15">
      <c r="B59" s="988"/>
      <c r="C59" s="92" t="s">
        <v>520</v>
      </c>
      <c r="D59" s="92">
        <f>+農薬算出基礎!G25*10/農薬算出基礎!E25</f>
        <v>10</v>
      </c>
      <c r="E59" s="103" t="s">
        <v>143</v>
      </c>
      <c r="F59" s="92">
        <f>+農薬算出基礎!F25</f>
        <v>1680</v>
      </c>
      <c r="G59" s="201">
        <f>D59*F59</f>
        <v>16800</v>
      </c>
      <c r="I59" s="1122"/>
      <c r="J59" s="323"/>
      <c r="K59" s="1125"/>
      <c r="L59" s="1126"/>
      <c r="M59" s="336"/>
      <c r="N59" s="351"/>
      <c r="O59" s="225"/>
      <c r="P59" s="1097"/>
      <c r="Q59" s="1095"/>
      <c r="R59" s="356"/>
      <c r="S59" s="323"/>
      <c r="T59" s="323"/>
      <c r="U59" s="210"/>
      <c r="V59" s="357"/>
    </row>
    <row r="60" spans="2:22" x14ac:dyDescent="0.15">
      <c r="B60" s="988"/>
      <c r="C60" s="92" t="s">
        <v>521</v>
      </c>
      <c r="D60" s="92"/>
      <c r="E60" s="103" t="s">
        <v>143</v>
      </c>
      <c r="F60" s="92">
        <f>+農薬算出基礎!F26</f>
        <v>5540</v>
      </c>
      <c r="G60" s="201">
        <f>D60*F60</f>
        <v>0</v>
      </c>
      <c r="I60" s="1104"/>
      <c r="J60" s="325" t="s">
        <v>141</v>
      </c>
      <c r="K60" s="1129"/>
      <c r="L60" s="1130"/>
      <c r="M60" s="326"/>
      <c r="N60" s="328">
        <f>SUM(N55:N59)</f>
        <v>3333.3333333333335</v>
      </c>
      <c r="O60" s="225"/>
      <c r="P60" s="1098"/>
      <c r="Q60" s="360" t="s">
        <v>246</v>
      </c>
      <c r="R60" s="361"/>
      <c r="S60" s="361"/>
      <c r="T60" s="361"/>
      <c r="U60" s="361"/>
      <c r="V60" s="362">
        <f>SUM(V55:V59)</f>
        <v>16666.666666666668</v>
      </c>
    </row>
    <row r="61" spans="2:22" ht="14.25" thickBot="1" x14ac:dyDescent="0.2">
      <c r="B61" s="1090"/>
      <c r="C61" s="207" t="s">
        <v>144</v>
      </c>
      <c r="D61" s="208"/>
      <c r="E61" s="208"/>
      <c r="F61" s="208"/>
      <c r="G61" s="209">
        <f>SUM(G58:G60)</f>
        <v>25200</v>
      </c>
      <c r="I61" s="1101" t="s">
        <v>238</v>
      </c>
      <c r="J61" s="1102"/>
      <c r="K61" s="1109"/>
      <c r="L61" s="1110"/>
      <c r="M61" s="232"/>
      <c r="N61" s="329">
        <f>SUM(N46,N50,N54,N60)</f>
        <v>33573.333333333336</v>
      </c>
      <c r="O61" s="225"/>
      <c r="P61" s="1091" t="s">
        <v>238</v>
      </c>
      <c r="Q61" s="1092"/>
      <c r="R61" s="358"/>
      <c r="S61" s="358"/>
      <c r="T61" s="358"/>
      <c r="U61" s="358"/>
      <c r="V61" s="359">
        <f>SUM(V48,V54,V60)</f>
        <v>91216.666666666672</v>
      </c>
    </row>
    <row r="62" spans="2:22" x14ac:dyDescent="0.15">
      <c r="O62" s="225"/>
      <c r="V62" s="93"/>
    </row>
    <row r="63" spans="2:22" x14ac:dyDescent="0.15">
      <c r="I63" s="225"/>
      <c r="J63" s="225"/>
      <c r="K63" s="225"/>
      <c r="L63" s="225"/>
      <c r="M63" s="225"/>
      <c r="N63" s="225"/>
      <c r="O63" s="225"/>
    </row>
    <row r="64" spans="2:22" x14ac:dyDescent="0.15">
      <c r="I64" s="225"/>
      <c r="J64" s="225"/>
      <c r="K64" s="225"/>
      <c r="L64" s="225"/>
      <c r="M64" s="225"/>
      <c r="N64" s="225"/>
      <c r="O64" s="225"/>
    </row>
    <row r="65" spans="2:22" x14ac:dyDescent="0.15">
      <c r="I65" s="225"/>
      <c r="J65" s="225"/>
      <c r="K65" s="225"/>
      <c r="L65" s="225"/>
      <c r="M65" s="225"/>
      <c r="N65" s="225"/>
      <c r="O65" s="225"/>
    </row>
    <row r="66" spans="2:22" x14ac:dyDescent="0.15">
      <c r="I66" s="225"/>
      <c r="J66" s="225"/>
      <c r="K66" s="225"/>
      <c r="L66" s="225"/>
      <c r="M66" s="225"/>
      <c r="N66" s="225"/>
      <c r="O66" s="225"/>
    </row>
    <row r="67" spans="2:22" x14ac:dyDescent="0.15">
      <c r="I67" s="225"/>
      <c r="J67" s="225"/>
      <c r="K67" s="225"/>
      <c r="L67" s="225"/>
      <c r="M67" s="225"/>
      <c r="N67" s="225"/>
      <c r="O67" s="225"/>
    </row>
    <row r="68" spans="2:22" x14ac:dyDescent="0.15">
      <c r="I68" s="225"/>
      <c r="J68" s="225"/>
      <c r="K68" s="225"/>
      <c r="L68" s="225"/>
      <c r="M68" s="225"/>
      <c r="N68" s="225"/>
      <c r="O68" s="225"/>
    </row>
    <row r="69" spans="2:22" s="190" customFormat="1" x14ac:dyDescent="0.15">
      <c r="B69" s="93"/>
      <c r="C69" s="93"/>
      <c r="D69" s="93"/>
      <c r="E69" s="93"/>
      <c r="F69" s="93"/>
      <c r="G69" s="93"/>
      <c r="H69" s="225"/>
      <c r="I69" s="225"/>
      <c r="J69" s="225"/>
      <c r="K69" s="225"/>
      <c r="L69" s="225"/>
      <c r="M69" s="225"/>
      <c r="N69" s="225"/>
      <c r="O69" s="225"/>
      <c r="Q69" s="93"/>
      <c r="R69" s="94"/>
      <c r="S69" s="93"/>
      <c r="T69" s="93"/>
      <c r="U69" s="93"/>
      <c r="V69" s="94"/>
    </row>
    <row r="70" spans="2:22" s="190" customFormat="1" x14ac:dyDescent="0.15">
      <c r="B70" s="93"/>
      <c r="C70" s="93"/>
      <c r="D70" s="93"/>
      <c r="E70" s="93"/>
      <c r="F70" s="93"/>
      <c r="G70" s="93"/>
      <c r="H70" s="225"/>
      <c r="I70" s="225"/>
      <c r="J70" s="225"/>
      <c r="K70" s="225"/>
      <c r="L70" s="225"/>
      <c r="M70" s="225"/>
      <c r="N70" s="225"/>
      <c r="O70" s="225"/>
      <c r="Q70" s="93"/>
      <c r="R70" s="94"/>
      <c r="S70" s="93"/>
      <c r="T70" s="93"/>
      <c r="U70" s="93"/>
      <c r="V70" s="94"/>
    </row>
    <row r="71" spans="2:22" s="190" customFormat="1" x14ac:dyDescent="0.15">
      <c r="B71" s="93"/>
      <c r="C71" s="93"/>
      <c r="D71" s="93"/>
      <c r="E71" s="93"/>
      <c r="F71" s="93"/>
      <c r="G71" s="93"/>
      <c r="H71" s="225"/>
      <c r="I71" s="225"/>
      <c r="J71" s="225"/>
      <c r="K71" s="225"/>
      <c r="L71" s="225"/>
      <c r="M71" s="225"/>
      <c r="N71" s="225"/>
      <c r="O71" s="225"/>
      <c r="Q71" s="93"/>
      <c r="R71" s="94"/>
      <c r="S71" s="93"/>
      <c r="T71" s="93"/>
      <c r="U71" s="93"/>
      <c r="V71" s="94"/>
    </row>
    <row r="72" spans="2:22" s="190" customFormat="1" x14ac:dyDescent="0.15">
      <c r="B72" s="93"/>
      <c r="C72" s="93"/>
      <c r="D72" s="93"/>
      <c r="E72" s="93"/>
      <c r="F72" s="93"/>
      <c r="G72" s="93"/>
      <c r="H72" s="225"/>
      <c r="I72" s="225"/>
      <c r="J72" s="225"/>
      <c r="K72" s="225"/>
      <c r="L72" s="225"/>
      <c r="M72" s="225"/>
      <c r="N72" s="225"/>
      <c r="O72" s="225"/>
      <c r="Q72" s="93"/>
      <c r="R72" s="94"/>
      <c r="S72" s="93"/>
      <c r="T72" s="93"/>
      <c r="U72" s="93"/>
      <c r="V72" s="94"/>
    </row>
    <row r="73" spans="2:22" s="190" customFormat="1" x14ac:dyDescent="0.15">
      <c r="B73" s="93"/>
      <c r="C73" s="93"/>
      <c r="D73" s="93"/>
      <c r="E73" s="93"/>
      <c r="F73" s="93"/>
      <c r="G73" s="93"/>
      <c r="H73" s="225"/>
      <c r="I73" s="225"/>
      <c r="J73" s="225"/>
      <c r="K73" s="225"/>
      <c r="L73" s="225"/>
      <c r="M73" s="225"/>
      <c r="N73" s="225"/>
      <c r="O73" s="225"/>
      <c r="Q73" s="93"/>
      <c r="R73" s="94"/>
      <c r="S73" s="93"/>
      <c r="T73" s="93"/>
      <c r="U73" s="93"/>
      <c r="V73" s="94"/>
    </row>
    <row r="74" spans="2:22" s="190" customFormat="1" x14ac:dyDescent="0.15">
      <c r="B74" s="93"/>
      <c r="C74" s="93"/>
      <c r="D74" s="93"/>
      <c r="E74" s="93"/>
      <c r="F74" s="93"/>
      <c r="G74" s="93"/>
      <c r="H74" s="225"/>
      <c r="I74" s="225"/>
      <c r="J74" s="225"/>
      <c r="K74" s="225"/>
      <c r="L74" s="225"/>
      <c r="M74" s="225"/>
      <c r="N74" s="225"/>
      <c r="O74" s="225"/>
      <c r="Q74" s="93"/>
      <c r="R74" s="94"/>
      <c r="S74" s="93"/>
      <c r="T74" s="93"/>
      <c r="U74" s="93"/>
      <c r="V74" s="94"/>
    </row>
    <row r="75" spans="2:22" s="190" customFormat="1" x14ac:dyDescent="0.15">
      <c r="B75" s="93"/>
      <c r="C75" s="93"/>
      <c r="D75" s="93"/>
      <c r="E75" s="93"/>
      <c r="F75" s="93"/>
      <c r="G75" s="93"/>
      <c r="H75" s="225"/>
      <c r="I75" s="225"/>
      <c r="J75" s="225"/>
      <c r="K75" s="225"/>
      <c r="L75" s="225"/>
      <c r="M75" s="225"/>
      <c r="N75" s="225"/>
      <c r="O75" s="225"/>
      <c r="Q75" s="93"/>
      <c r="R75" s="94"/>
      <c r="S75" s="93"/>
      <c r="T75" s="93"/>
      <c r="U75" s="93"/>
      <c r="V75" s="94"/>
    </row>
    <row r="76" spans="2:22" s="190" customFormat="1" x14ac:dyDescent="0.15">
      <c r="B76" s="93"/>
      <c r="C76" s="93"/>
      <c r="D76" s="93"/>
      <c r="E76" s="93"/>
      <c r="F76" s="93"/>
      <c r="G76" s="93"/>
      <c r="H76" s="225"/>
      <c r="I76" s="225"/>
      <c r="J76" s="225"/>
      <c r="K76" s="225"/>
      <c r="L76" s="225"/>
      <c r="M76" s="225"/>
      <c r="N76" s="225"/>
      <c r="O76" s="225"/>
      <c r="Q76" s="93"/>
      <c r="R76" s="94"/>
      <c r="S76" s="93"/>
      <c r="T76" s="93"/>
      <c r="U76" s="93"/>
      <c r="V76" s="94"/>
    </row>
    <row r="77" spans="2:22" s="190" customFormat="1" x14ac:dyDescent="0.15">
      <c r="B77" s="93"/>
      <c r="C77" s="93"/>
      <c r="D77" s="93"/>
      <c r="E77" s="93"/>
      <c r="F77" s="93"/>
      <c r="G77" s="93"/>
      <c r="H77" s="225"/>
      <c r="I77" s="225"/>
      <c r="J77" s="225"/>
      <c r="K77" s="225"/>
      <c r="L77" s="225"/>
      <c r="M77" s="225"/>
      <c r="N77" s="225"/>
      <c r="O77" s="225"/>
      <c r="Q77" s="93"/>
      <c r="R77" s="94"/>
      <c r="S77" s="93"/>
      <c r="T77" s="93"/>
      <c r="U77" s="93"/>
      <c r="V77" s="94"/>
    </row>
    <row r="78" spans="2:22" s="190" customFormat="1" x14ac:dyDescent="0.15">
      <c r="B78" s="93"/>
      <c r="C78" s="93"/>
      <c r="D78" s="93"/>
      <c r="E78" s="93"/>
      <c r="F78" s="93"/>
      <c r="G78" s="93"/>
      <c r="H78" s="225"/>
      <c r="I78" s="225"/>
      <c r="J78" s="225"/>
      <c r="K78" s="225"/>
      <c r="L78" s="225"/>
      <c r="M78" s="225"/>
      <c r="N78" s="225"/>
      <c r="O78" s="225"/>
      <c r="Q78" s="93"/>
      <c r="R78" s="94"/>
      <c r="S78" s="93"/>
      <c r="T78" s="93"/>
      <c r="U78" s="93"/>
      <c r="V78" s="94"/>
    </row>
    <row r="79" spans="2:22" s="190" customFormat="1" x14ac:dyDescent="0.15">
      <c r="B79" s="93"/>
      <c r="C79" s="93"/>
      <c r="D79" s="93"/>
      <c r="E79" s="93"/>
      <c r="F79" s="93"/>
      <c r="G79" s="93"/>
      <c r="H79" s="225"/>
      <c r="I79" s="225"/>
      <c r="J79" s="225"/>
      <c r="K79" s="225"/>
      <c r="L79" s="225"/>
      <c r="M79" s="225"/>
      <c r="N79" s="225"/>
      <c r="O79" s="225"/>
      <c r="Q79" s="93"/>
      <c r="R79" s="94"/>
      <c r="S79" s="93"/>
      <c r="T79" s="93"/>
      <c r="U79" s="93"/>
      <c r="V79" s="94"/>
    </row>
    <row r="80" spans="2:22" s="190" customFormat="1" x14ac:dyDescent="0.15">
      <c r="B80" s="93"/>
      <c r="C80" s="93"/>
      <c r="D80" s="93"/>
      <c r="E80" s="93"/>
      <c r="F80" s="93"/>
      <c r="G80" s="93"/>
      <c r="H80" s="225"/>
      <c r="I80" s="225"/>
      <c r="J80" s="225"/>
      <c r="K80" s="225"/>
      <c r="L80" s="225"/>
      <c r="M80" s="225"/>
      <c r="N80" s="225"/>
      <c r="O80" s="225"/>
      <c r="Q80" s="93"/>
      <c r="R80" s="94"/>
      <c r="S80" s="93"/>
      <c r="T80" s="93"/>
      <c r="U80" s="93"/>
      <c r="V80" s="94"/>
    </row>
    <row r="81" spans="2:22" s="190" customFormat="1" x14ac:dyDescent="0.15">
      <c r="B81" s="93"/>
      <c r="C81" s="93"/>
      <c r="D81" s="93"/>
      <c r="E81" s="93"/>
      <c r="F81" s="93"/>
      <c r="G81" s="93"/>
      <c r="H81" s="225"/>
      <c r="I81" s="225"/>
      <c r="J81" s="225"/>
      <c r="K81" s="225"/>
      <c r="L81" s="225"/>
      <c r="M81" s="225"/>
      <c r="N81" s="225"/>
      <c r="O81" s="225"/>
      <c r="Q81" s="93"/>
      <c r="R81" s="94"/>
      <c r="S81" s="93"/>
      <c r="T81" s="93"/>
      <c r="U81" s="93"/>
      <c r="V81" s="94"/>
    </row>
    <row r="82" spans="2:22" s="190" customFormat="1" x14ac:dyDescent="0.15">
      <c r="B82" s="93"/>
      <c r="C82" s="93"/>
      <c r="D82" s="93"/>
      <c r="E82" s="93"/>
      <c r="F82" s="93"/>
      <c r="G82" s="93"/>
      <c r="H82" s="225"/>
      <c r="I82" s="225"/>
      <c r="J82" s="225"/>
      <c r="K82" s="225"/>
      <c r="L82" s="225"/>
      <c r="M82" s="225"/>
      <c r="N82" s="225"/>
      <c r="O82" s="225"/>
      <c r="Q82" s="93"/>
      <c r="R82" s="94"/>
      <c r="S82" s="93"/>
      <c r="T82" s="93"/>
      <c r="U82" s="93"/>
      <c r="V82" s="94"/>
    </row>
    <row r="83" spans="2:22" s="190" customFormat="1" x14ac:dyDescent="0.15">
      <c r="B83" s="93"/>
      <c r="C83" s="93"/>
      <c r="D83" s="93"/>
      <c r="E83" s="93"/>
      <c r="F83" s="93"/>
      <c r="G83" s="93"/>
      <c r="H83" s="225"/>
      <c r="I83" s="225"/>
      <c r="J83" s="225"/>
      <c r="K83" s="225"/>
      <c r="L83" s="225"/>
      <c r="M83" s="225"/>
      <c r="N83" s="225"/>
      <c r="O83" s="225"/>
      <c r="Q83" s="93"/>
      <c r="R83" s="94"/>
      <c r="S83" s="93"/>
      <c r="T83" s="93"/>
      <c r="U83" s="93"/>
      <c r="V83" s="94"/>
    </row>
    <row r="84" spans="2:22" s="190" customFormat="1" x14ac:dyDescent="0.15">
      <c r="B84" s="93"/>
      <c r="C84" s="93"/>
      <c r="D84" s="93"/>
      <c r="E84" s="93"/>
      <c r="F84" s="93"/>
      <c r="G84" s="93"/>
      <c r="H84" s="225"/>
      <c r="I84" s="225"/>
      <c r="J84" s="225"/>
      <c r="K84" s="225"/>
      <c r="L84" s="225"/>
      <c r="M84" s="225"/>
      <c r="N84" s="225"/>
      <c r="O84" s="225"/>
      <c r="Q84" s="93"/>
      <c r="R84" s="94"/>
      <c r="S84" s="93"/>
      <c r="T84" s="93"/>
      <c r="U84" s="93"/>
      <c r="V84" s="94"/>
    </row>
    <row r="85" spans="2:22" s="190" customFormat="1" x14ac:dyDescent="0.15">
      <c r="B85" s="93"/>
      <c r="C85" s="93"/>
      <c r="D85" s="93"/>
      <c r="E85" s="93"/>
      <c r="F85" s="93"/>
      <c r="G85" s="93"/>
      <c r="H85" s="225"/>
      <c r="I85" s="225"/>
      <c r="J85" s="225"/>
      <c r="K85" s="225"/>
      <c r="L85" s="225"/>
      <c r="M85" s="225"/>
      <c r="N85" s="225"/>
      <c r="O85" s="225"/>
      <c r="Q85" s="93"/>
      <c r="R85" s="94"/>
      <c r="S85" s="93"/>
      <c r="T85" s="93"/>
      <c r="U85" s="93"/>
      <c r="V85" s="94"/>
    </row>
    <row r="86" spans="2:22" s="190" customFormat="1" x14ac:dyDescent="0.15">
      <c r="B86" s="93"/>
      <c r="C86" s="93"/>
      <c r="D86" s="93"/>
      <c r="E86" s="93"/>
      <c r="F86" s="93"/>
      <c r="G86" s="93"/>
      <c r="H86" s="225"/>
      <c r="I86" s="225"/>
      <c r="J86" s="225"/>
      <c r="K86" s="225"/>
      <c r="L86" s="225"/>
      <c r="M86" s="225"/>
      <c r="N86" s="225"/>
      <c r="O86" s="225"/>
      <c r="Q86" s="93"/>
      <c r="R86" s="94"/>
      <c r="S86" s="93"/>
      <c r="T86" s="93"/>
      <c r="U86" s="93"/>
      <c r="V86" s="94"/>
    </row>
    <row r="87" spans="2:22" s="190" customFormat="1" x14ac:dyDescent="0.15">
      <c r="B87" s="212"/>
      <c r="C87" s="213"/>
      <c r="D87" s="213"/>
      <c r="E87" s="213"/>
      <c r="F87" s="213"/>
      <c r="G87" s="93"/>
      <c r="H87" s="225"/>
      <c r="I87" s="225"/>
      <c r="J87" s="225"/>
      <c r="K87" s="225"/>
      <c r="L87" s="225"/>
      <c r="M87" s="225"/>
      <c r="N87" s="225"/>
      <c r="O87" s="225"/>
      <c r="Q87" s="93"/>
      <c r="R87" s="94"/>
      <c r="S87" s="93"/>
      <c r="T87" s="93"/>
      <c r="U87" s="93"/>
      <c r="V87" s="94"/>
    </row>
    <row r="88" spans="2:22" s="190" customFormat="1" x14ac:dyDescent="0.15">
      <c r="B88" s="212"/>
      <c r="C88" s="213"/>
      <c r="D88" s="213"/>
      <c r="E88" s="213"/>
      <c r="F88" s="213"/>
      <c r="G88" s="93"/>
      <c r="H88" s="225"/>
      <c r="I88" s="225"/>
      <c r="J88" s="225"/>
      <c r="K88" s="225"/>
      <c r="L88" s="225"/>
      <c r="M88" s="225"/>
      <c r="N88" s="225"/>
      <c r="O88" s="225"/>
      <c r="Q88" s="93"/>
      <c r="R88" s="94"/>
      <c r="S88" s="93"/>
      <c r="T88" s="93"/>
      <c r="U88" s="93"/>
      <c r="V88" s="94"/>
    </row>
    <row r="89" spans="2:22" s="190" customFormat="1" x14ac:dyDescent="0.15">
      <c r="B89" s="93"/>
      <c r="C89" s="93"/>
      <c r="D89" s="93"/>
      <c r="E89" s="93"/>
      <c r="F89" s="93"/>
      <c r="G89" s="93"/>
      <c r="H89" s="225"/>
      <c r="I89" s="225"/>
      <c r="J89" s="225"/>
      <c r="K89" s="225"/>
      <c r="L89" s="225"/>
      <c r="M89" s="225"/>
      <c r="N89" s="225"/>
      <c r="O89" s="225"/>
      <c r="Q89" s="93"/>
      <c r="R89" s="94"/>
      <c r="S89" s="93"/>
      <c r="T89" s="93"/>
      <c r="U89" s="93"/>
      <c r="V89" s="94"/>
    </row>
    <row r="90" spans="2:22" s="190" customFormat="1" x14ac:dyDescent="0.15">
      <c r="B90" s="93"/>
      <c r="C90" s="93"/>
      <c r="D90" s="93"/>
      <c r="E90" s="93"/>
      <c r="F90" s="93"/>
      <c r="G90" s="93"/>
      <c r="H90" s="225"/>
      <c r="I90" s="225"/>
      <c r="J90" s="225"/>
      <c r="K90" s="225"/>
      <c r="L90" s="225"/>
      <c r="M90" s="225"/>
      <c r="N90" s="225"/>
      <c r="O90" s="225"/>
      <c r="Q90" s="93"/>
      <c r="R90" s="94"/>
      <c r="S90" s="93"/>
      <c r="T90" s="93"/>
      <c r="U90" s="93"/>
      <c r="V90" s="94"/>
    </row>
    <row r="91" spans="2:22" s="190" customFormat="1" x14ac:dyDescent="0.15">
      <c r="B91" s="93"/>
      <c r="C91" s="93"/>
      <c r="D91" s="93"/>
      <c r="E91" s="93"/>
      <c r="F91" s="93"/>
      <c r="G91" s="93"/>
      <c r="H91" s="225"/>
      <c r="I91" s="225"/>
      <c r="J91" s="225"/>
      <c r="K91" s="225"/>
      <c r="L91" s="225"/>
      <c r="M91" s="225"/>
      <c r="N91" s="225"/>
      <c r="O91" s="225"/>
      <c r="Q91" s="93"/>
      <c r="R91" s="94"/>
      <c r="S91" s="93"/>
      <c r="T91" s="93"/>
      <c r="U91" s="93"/>
      <c r="V91" s="94"/>
    </row>
    <row r="92" spans="2:22" s="190" customFormat="1" x14ac:dyDescent="0.15">
      <c r="B92" s="93"/>
      <c r="C92" s="93"/>
      <c r="D92" s="93"/>
      <c r="E92" s="93"/>
      <c r="F92" s="93"/>
      <c r="G92" s="93"/>
      <c r="H92" s="225"/>
      <c r="I92" s="225"/>
      <c r="J92" s="225"/>
      <c r="K92" s="225"/>
      <c r="L92" s="225"/>
      <c r="M92" s="225"/>
      <c r="N92" s="225"/>
      <c r="O92" s="225"/>
      <c r="Q92" s="93"/>
      <c r="R92" s="94"/>
      <c r="S92" s="93"/>
      <c r="T92" s="93"/>
      <c r="U92" s="93"/>
      <c r="V92" s="94"/>
    </row>
    <row r="93" spans="2:22" s="190" customFormat="1" x14ac:dyDescent="0.15">
      <c r="B93" s="93"/>
      <c r="C93" s="93"/>
      <c r="D93" s="93"/>
      <c r="E93" s="93"/>
      <c r="F93" s="93"/>
      <c r="G93" s="93"/>
      <c r="H93" s="225"/>
      <c r="I93" s="225"/>
      <c r="J93" s="225"/>
      <c r="K93" s="225"/>
      <c r="L93" s="225"/>
      <c r="M93" s="225"/>
      <c r="N93" s="225"/>
      <c r="O93" s="225"/>
      <c r="Q93" s="93"/>
      <c r="R93" s="94"/>
      <c r="S93" s="93"/>
      <c r="T93" s="93"/>
      <c r="U93" s="93"/>
      <c r="V93" s="94"/>
    </row>
    <row r="94" spans="2:22" s="190" customFormat="1" x14ac:dyDescent="0.15">
      <c r="B94" s="93"/>
      <c r="C94" s="93"/>
      <c r="D94" s="93"/>
      <c r="E94" s="93"/>
      <c r="F94" s="93"/>
      <c r="G94" s="93"/>
      <c r="H94" s="225"/>
      <c r="I94" s="225"/>
      <c r="J94" s="225"/>
      <c r="K94" s="225"/>
      <c r="L94" s="225"/>
      <c r="M94" s="225"/>
      <c r="N94" s="225"/>
      <c r="O94" s="225"/>
      <c r="Q94" s="93"/>
      <c r="R94" s="94"/>
      <c r="S94" s="93"/>
      <c r="T94" s="93"/>
      <c r="U94" s="93"/>
      <c r="V94" s="94"/>
    </row>
    <row r="95" spans="2:22" s="190" customFormat="1" x14ac:dyDescent="0.15">
      <c r="B95" s="93"/>
      <c r="C95" s="93"/>
      <c r="D95" s="93"/>
      <c r="E95" s="93"/>
      <c r="F95" s="93"/>
      <c r="G95" s="93"/>
      <c r="H95" s="225"/>
      <c r="I95" s="225"/>
      <c r="J95" s="225"/>
      <c r="K95" s="225"/>
      <c r="L95" s="225"/>
      <c r="M95" s="225"/>
      <c r="N95" s="225"/>
      <c r="O95" s="225"/>
      <c r="Q95" s="93"/>
      <c r="R95" s="94"/>
      <c r="S95" s="93"/>
      <c r="T95" s="93"/>
      <c r="U95" s="93"/>
      <c r="V95" s="94"/>
    </row>
    <row r="96" spans="2:22" s="190" customFormat="1" x14ac:dyDescent="0.15">
      <c r="B96" s="93"/>
      <c r="C96" s="93"/>
      <c r="D96" s="93"/>
      <c r="E96" s="93"/>
      <c r="F96" s="93"/>
      <c r="G96" s="93"/>
      <c r="H96" s="225"/>
      <c r="I96" s="225"/>
      <c r="J96" s="225"/>
      <c r="K96" s="225"/>
      <c r="L96" s="225"/>
      <c r="M96" s="225"/>
      <c r="N96" s="225"/>
      <c r="O96" s="225"/>
      <c r="Q96" s="93"/>
      <c r="R96" s="94"/>
      <c r="S96" s="93"/>
      <c r="T96" s="93"/>
      <c r="U96" s="93"/>
      <c r="V96" s="94"/>
    </row>
    <row r="97" spans="2:22" s="190" customFormat="1" x14ac:dyDescent="0.15">
      <c r="B97" s="93"/>
      <c r="C97" s="93"/>
      <c r="D97" s="93"/>
      <c r="E97" s="93"/>
      <c r="F97" s="93"/>
      <c r="G97" s="93"/>
      <c r="H97" s="225"/>
      <c r="I97" s="225"/>
      <c r="J97" s="225"/>
      <c r="K97" s="225"/>
      <c r="L97" s="225"/>
      <c r="M97" s="225"/>
      <c r="N97" s="225"/>
      <c r="O97" s="225"/>
      <c r="Q97" s="93"/>
      <c r="R97" s="94"/>
      <c r="S97" s="93"/>
      <c r="T97" s="93"/>
      <c r="U97" s="93"/>
      <c r="V97" s="94"/>
    </row>
    <row r="98" spans="2:22" s="190" customFormat="1" x14ac:dyDescent="0.15">
      <c r="B98" s="93"/>
      <c r="C98" s="93"/>
      <c r="D98" s="93"/>
      <c r="E98" s="93"/>
      <c r="F98" s="93"/>
      <c r="G98" s="93"/>
      <c r="H98" s="225"/>
      <c r="I98" s="225"/>
      <c r="J98" s="225"/>
      <c r="K98" s="225"/>
      <c r="L98" s="225"/>
      <c r="M98" s="225"/>
      <c r="N98" s="225"/>
      <c r="O98" s="225"/>
      <c r="Q98" s="93"/>
      <c r="R98" s="94"/>
      <c r="S98" s="93"/>
      <c r="T98" s="93"/>
      <c r="U98" s="93"/>
      <c r="V98" s="94"/>
    </row>
    <row r="99" spans="2:22" s="190" customFormat="1" x14ac:dyDescent="0.15">
      <c r="B99" s="93"/>
      <c r="C99" s="93"/>
      <c r="D99" s="93"/>
      <c r="E99" s="93"/>
      <c r="F99" s="93"/>
      <c r="G99" s="93"/>
      <c r="H99" s="225"/>
      <c r="I99" s="225"/>
      <c r="J99" s="225"/>
      <c r="K99" s="225"/>
      <c r="L99" s="225"/>
      <c r="M99" s="225"/>
      <c r="N99" s="225"/>
      <c r="O99" s="225"/>
      <c r="Q99" s="93"/>
      <c r="R99" s="94"/>
      <c r="S99" s="93"/>
      <c r="T99" s="93"/>
      <c r="U99" s="93"/>
      <c r="V99" s="94"/>
    </row>
    <row r="100" spans="2:22" s="190" customFormat="1" x14ac:dyDescent="0.15">
      <c r="B100" s="93"/>
      <c r="C100" s="93"/>
      <c r="D100" s="93"/>
      <c r="E100" s="93"/>
      <c r="F100" s="93"/>
      <c r="G100" s="93"/>
      <c r="H100" s="225"/>
      <c r="I100" s="225"/>
      <c r="J100" s="225"/>
      <c r="K100" s="225"/>
      <c r="L100" s="225"/>
      <c r="M100" s="225"/>
      <c r="N100" s="225"/>
      <c r="O100" s="225"/>
      <c r="Q100" s="93"/>
      <c r="R100" s="94"/>
      <c r="S100" s="93"/>
      <c r="T100" s="93"/>
      <c r="U100" s="93"/>
      <c r="V100" s="94"/>
    </row>
    <row r="101" spans="2:22" s="190" customFormat="1" x14ac:dyDescent="0.15">
      <c r="B101" s="93"/>
      <c r="C101" s="93"/>
      <c r="D101" s="93"/>
      <c r="E101" s="93"/>
      <c r="F101" s="93"/>
      <c r="G101" s="93"/>
      <c r="H101" s="225"/>
      <c r="I101" s="225"/>
      <c r="J101" s="225"/>
      <c r="K101" s="225"/>
      <c r="L101" s="225"/>
      <c r="M101" s="225"/>
      <c r="N101" s="225"/>
      <c r="O101" s="225"/>
      <c r="Q101" s="93"/>
      <c r="R101" s="94"/>
      <c r="S101" s="93"/>
      <c r="T101" s="93"/>
      <c r="U101" s="93"/>
      <c r="V101" s="94"/>
    </row>
    <row r="102" spans="2:22" s="190" customFormat="1" x14ac:dyDescent="0.15">
      <c r="B102" s="93"/>
      <c r="C102" s="93"/>
      <c r="D102" s="93"/>
      <c r="E102" s="93"/>
      <c r="F102" s="93"/>
      <c r="G102" s="93"/>
      <c r="H102" s="225"/>
      <c r="I102" s="225"/>
      <c r="J102" s="225"/>
      <c r="K102" s="225"/>
      <c r="L102" s="225"/>
      <c r="M102" s="225"/>
      <c r="N102" s="225"/>
      <c r="O102" s="225"/>
      <c r="Q102" s="93"/>
      <c r="R102" s="94"/>
      <c r="S102" s="93"/>
      <c r="T102" s="93"/>
      <c r="U102" s="93"/>
      <c r="V102" s="94"/>
    </row>
    <row r="103" spans="2:22" s="190" customFormat="1" x14ac:dyDescent="0.15">
      <c r="B103" s="93"/>
      <c r="C103" s="93"/>
      <c r="D103" s="93"/>
      <c r="E103" s="93"/>
      <c r="F103" s="93"/>
      <c r="G103" s="93"/>
      <c r="H103" s="225"/>
      <c r="I103" s="225"/>
      <c r="J103" s="225"/>
      <c r="K103" s="225"/>
      <c r="L103" s="225"/>
      <c r="M103" s="225"/>
      <c r="N103" s="225"/>
      <c r="O103" s="225"/>
      <c r="Q103" s="93"/>
      <c r="R103" s="94"/>
      <c r="S103" s="93"/>
      <c r="T103" s="93"/>
      <c r="U103" s="93"/>
      <c r="V103" s="94"/>
    </row>
    <row r="104" spans="2:22" s="190" customFormat="1" x14ac:dyDescent="0.15">
      <c r="B104" s="93"/>
      <c r="C104" s="93"/>
      <c r="D104" s="93"/>
      <c r="E104" s="93"/>
      <c r="F104" s="93"/>
      <c r="G104" s="93"/>
      <c r="H104" s="225"/>
      <c r="I104" s="225"/>
      <c r="J104" s="225"/>
      <c r="K104" s="225"/>
      <c r="L104" s="225"/>
      <c r="M104" s="225"/>
      <c r="N104" s="225"/>
      <c r="O104" s="225"/>
      <c r="Q104" s="93"/>
      <c r="R104" s="94"/>
      <c r="S104" s="93"/>
      <c r="T104" s="93"/>
      <c r="U104" s="93"/>
      <c r="V104" s="94"/>
    </row>
    <row r="105" spans="2:22" s="190" customFormat="1" x14ac:dyDescent="0.15">
      <c r="B105" s="93"/>
      <c r="C105" s="93"/>
      <c r="D105" s="93"/>
      <c r="E105" s="93"/>
      <c r="F105" s="93"/>
      <c r="G105" s="93"/>
      <c r="H105" s="225"/>
      <c r="I105" s="225"/>
      <c r="J105" s="225"/>
      <c r="K105" s="225"/>
      <c r="L105" s="225"/>
      <c r="M105" s="225"/>
      <c r="N105" s="225"/>
      <c r="O105" s="225"/>
      <c r="Q105" s="93"/>
      <c r="R105" s="94"/>
      <c r="S105" s="93"/>
      <c r="T105" s="93"/>
      <c r="U105" s="93"/>
      <c r="V105" s="94"/>
    </row>
    <row r="106" spans="2:22" s="190" customFormat="1" x14ac:dyDescent="0.15">
      <c r="B106" s="93"/>
      <c r="C106" s="93"/>
      <c r="D106" s="93"/>
      <c r="E106" s="93"/>
      <c r="F106" s="93"/>
      <c r="G106" s="93"/>
      <c r="H106" s="225"/>
      <c r="I106" s="225"/>
      <c r="J106" s="225"/>
      <c r="K106" s="225"/>
      <c r="L106" s="225"/>
      <c r="M106" s="225"/>
      <c r="N106" s="225"/>
      <c r="O106" s="225"/>
      <c r="Q106" s="93"/>
      <c r="R106" s="94"/>
      <c r="S106" s="93"/>
      <c r="T106" s="93"/>
      <c r="U106" s="93"/>
      <c r="V106" s="94"/>
    </row>
    <row r="107" spans="2:22" s="190" customFormat="1" x14ac:dyDescent="0.15">
      <c r="B107" s="93"/>
      <c r="C107" s="93"/>
      <c r="D107" s="93"/>
      <c r="E107" s="93"/>
      <c r="F107" s="93"/>
      <c r="G107" s="93"/>
      <c r="H107" s="225"/>
      <c r="I107" s="225"/>
      <c r="J107" s="225"/>
      <c r="K107" s="225"/>
      <c r="L107" s="225"/>
      <c r="M107" s="225"/>
      <c r="N107" s="225"/>
      <c r="O107" s="225"/>
      <c r="Q107" s="93"/>
      <c r="R107" s="94"/>
      <c r="S107" s="93"/>
      <c r="T107" s="93"/>
      <c r="U107" s="93"/>
      <c r="V107" s="94"/>
    </row>
    <row r="108" spans="2:22" s="190" customFormat="1" x14ac:dyDescent="0.15">
      <c r="B108" s="93"/>
      <c r="C108" s="93"/>
      <c r="D108" s="93"/>
      <c r="E108" s="93"/>
      <c r="F108" s="93"/>
      <c r="G108" s="93"/>
      <c r="H108" s="225"/>
      <c r="I108" s="225"/>
      <c r="J108" s="225"/>
      <c r="K108" s="225"/>
      <c r="L108" s="225"/>
      <c r="M108" s="225"/>
      <c r="N108" s="225"/>
      <c r="O108" s="225"/>
      <c r="Q108" s="93"/>
      <c r="R108" s="94"/>
      <c r="S108" s="93"/>
      <c r="T108" s="93"/>
      <c r="U108" s="93"/>
      <c r="V108" s="94"/>
    </row>
    <row r="109" spans="2:22" s="190" customFormat="1" x14ac:dyDescent="0.15">
      <c r="B109" s="93"/>
      <c r="C109" s="93"/>
      <c r="D109" s="93"/>
      <c r="E109" s="93"/>
      <c r="F109" s="93"/>
      <c r="G109" s="93"/>
      <c r="H109" s="225"/>
      <c r="I109" s="225"/>
      <c r="J109" s="225"/>
      <c r="K109" s="225"/>
      <c r="L109" s="225"/>
      <c r="M109" s="225"/>
      <c r="N109" s="225"/>
      <c r="O109" s="225"/>
      <c r="Q109" s="93"/>
      <c r="R109" s="94"/>
      <c r="S109" s="93"/>
      <c r="T109" s="93"/>
      <c r="U109" s="93"/>
      <c r="V109" s="94"/>
    </row>
    <row r="110" spans="2:22" s="190" customFormat="1" x14ac:dyDescent="0.15">
      <c r="B110" s="93"/>
      <c r="C110" s="93"/>
      <c r="D110" s="93"/>
      <c r="E110" s="93"/>
      <c r="F110" s="93"/>
      <c r="G110" s="93"/>
      <c r="H110" s="225"/>
      <c r="I110" s="225"/>
      <c r="J110" s="225"/>
      <c r="K110" s="225"/>
      <c r="L110" s="225"/>
      <c r="M110" s="225"/>
      <c r="N110" s="225"/>
      <c r="O110" s="225"/>
      <c r="Q110" s="93"/>
      <c r="R110" s="94"/>
      <c r="S110" s="93"/>
      <c r="T110" s="93"/>
      <c r="U110" s="93"/>
      <c r="V110" s="94"/>
    </row>
    <row r="111" spans="2:22" s="190" customFormat="1" x14ac:dyDescent="0.15">
      <c r="B111" s="93"/>
      <c r="C111" s="93"/>
      <c r="D111" s="93"/>
      <c r="E111" s="93"/>
      <c r="F111" s="93"/>
      <c r="G111" s="93"/>
      <c r="H111" s="225"/>
      <c r="I111" s="225"/>
      <c r="J111" s="225"/>
      <c r="K111" s="225"/>
      <c r="L111" s="225"/>
      <c r="M111" s="225"/>
      <c r="N111" s="225"/>
      <c r="O111" s="225"/>
      <c r="Q111" s="93"/>
      <c r="R111" s="94"/>
      <c r="S111" s="93"/>
      <c r="T111" s="93"/>
      <c r="U111" s="93"/>
      <c r="V111" s="94"/>
    </row>
    <row r="112" spans="2:22" s="190" customFormat="1" x14ac:dyDescent="0.15">
      <c r="B112" s="93"/>
      <c r="C112" s="93"/>
      <c r="D112" s="93"/>
      <c r="E112" s="93"/>
      <c r="F112" s="93"/>
      <c r="G112" s="93"/>
      <c r="H112" s="225"/>
      <c r="I112" s="225"/>
      <c r="J112" s="225"/>
      <c r="K112" s="225"/>
      <c r="L112" s="225"/>
      <c r="M112" s="225"/>
      <c r="N112" s="225"/>
      <c r="O112" s="225"/>
      <c r="Q112" s="93"/>
      <c r="R112" s="94"/>
      <c r="S112" s="93"/>
      <c r="T112" s="93"/>
      <c r="U112" s="93"/>
      <c r="V112" s="94"/>
    </row>
    <row r="113" spans="2:22" s="190" customFormat="1" x14ac:dyDescent="0.15">
      <c r="B113" s="93"/>
      <c r="C113" s="93"/>
      <c r="D113" s="93"/>
      <c r="E113" s="93"/>
      <c r="F113" s="93"/>
      <c r="G113" s="93"/>
      <c r="H113" s="225"/>
      <c r="I113" s="225"/>
      <c r="J113" s="225"/>
      <c r="K113" s="225"/>
      <c r="L113" s="225"/>
      <c r="M113" s="225"/>
      <c r="N113" s="225"/>
      <c r="O113" s="225"/>
      <c r="Q113" s="93"/>
      <c r="R113" s="94"/>
      <c r="S113" s="93"/>
      <c r="T113" s="93"/>
      <c r="U113" s="93"/>
      <c r="V113" s="94"/>
    </row>
    <row r="114" spans="2:22" s="190" customFormat="1" x14ac:dyDescent="0.15">
      <c r="B114" s="93"/>
      <c r="C114" s="93"/>
      <c r="D114" s="93"/>
      <c r="E114" s="93"/>
      <c r="F114" s="93"/>
      <c r="G114" s="93"/>
      <c r="H114" s="225"/>
      <c r="I114" s="225"/>
      <c r="J114" s="225"/>
      <c r="K114" s="225"/>
      <c r="L114" s="225"/>
      <c r="M114" s="225"/>
      <c r="N114" s="225"/>
      <c r="O114" s="225"/>
      <c r="Q114" s="93"/>
      <c r="R114" s="94"/>
      <c r="S114" s="93"/>
      <c r="T114" s="93"/>
      <c r="U114" s="93"/>
      <c r="V114" s="94"/>
    </row>
    <row r="115" spans="2:22" s="190" customFormat="1" x14ac:dyDescent="0.15">
      <c r="B115" s="93"/>
      <c r="C115" s="93"/>
      <c r="D115" s="93"/>
      <c r="E115" s="93"/>
      <c r="F115" s="93"/>
      <c r="G115" s="93"/>
      <c r="H115" s="225"/>
      <c r="I115" s="225"/>
      <c r="J115" s="225"/>
      <c r="K115" s="225"/>
      <c r="L115" s="225"/>
      <c r="M115" s="225"/>
      <c r="N115" s="225"/>
      <c r="O115" s="225"/>
      <c r="Q115" s="93"/>
      <c r="R115" s="94"/>
      <c r="S115" s="93"/>
      <c r="T115" s="93"/>
      <c r="U115" s="93"/>
      <c r="V115" s="94"/>
    </row>
    <row r="116" spans="2:22" s="190" customFormat="1" x14ac:dyDescent="0.15">
      <c r="B116" s="93"/>
      <c r="C116" s="93"/>
      <c r="D116" s="93"/>
      <c r="E116" s="93"/>
      <c r="F116" s="93"/>
      <c r="G116" s="93"/>
      <c r="H116" s="225"/>
      <c r="I116" s="225"/>
      <c r="J116" s="225"/>
      <c r="K116" s="225"/>
      <c r="L116" s="225"/>
      <c r="M116" s="225"/>
      <c r="N116" s="225"/>
      <c r="O116" s="225"/>
      <c r="Q116" s="93"/>
      <c r="R116" s="94"/>
      <c r="S116" s="93"/>
      <c r="T116" s="93"/>
      <c r="U116" s="93"/>
      <c r="V116" s="94"/>
    </row>
    <row r="117" spans="2:22" s="190" customFormat="1" x14ac:dyDescent="0.15">
      <c r="B117" s="93"/>
      <c r="C117" s="93"/>
      <c r="D117" s="93"/>
      <c r="E117" s="93"/>
      <c r="F117" s="93"/>
      <c r="G117" s="93"/>
      <c r="H117" s="225"/>
      <c r="I117" s="225"/>
      <c r="J117" s="225"/>
      <c r="K117" s="225"/>
      <c r="L117" s="225"/>
      <c r="M117" s="225"/>
      <c r="N117" s="225"/>
      <c r="O117" s="225"/>
      <c r="Q117" s="93"/>
      <c r="R117" s="94"/>
      <c r="S117" s="93"/>
      <c r="T117" s="93"/>
      <c r="U117" s="93"/>
      <c r="V117" s="94"/>
    </row>
    <row r="118" spans="2:22" s="190" customFormat="1" x14ac:dyDescent="0.15">
      <c r="B118" s="93"/>
      <c r="C118" s="93"/>
      <c r="D118" s="93"/>
      <c r="E118" s="93"/>
      <c r="F118" s="93"/>
      <c r="G118" s="93"/>
      <c r="H118" s="225"/>
      <c r="I118" s="225"/>
      <c r="J118" s="225"/>
      <c r="K118" s="225"/>
      <c r="L118" s="225"/>
      <c r="M118" s="225"/>
      <c r="N118" s="225"/>
      <c r="O118" s="225"/>
      <c r="Q118" s="93"/>
      <c r="R118" s="94"/>
      <c r="S118" s="93"/>
      <c r="T118" s="93"/>
      <c r="U118" s="93"/>
      <c r="V118" s="94"/>
    </row>
    <row r="119" spans="2:22" s="190" customFormat="1" x14ac:dyDescent="0.15">
      <c r="B119" s="93"/>
      <c r="C119" s="93"/>
      <c r="D119" s="93"/>
      <c r="E119" s="93"/>
      <c r="F119" s="93"/>
      <c r="G119" s="93"/>
      <c r="H119" s="225"/>
      <c r="I119" s="225"/>
      <c r="J119" s="225"/>
      <c r="K119" s="225"/>
      <c r="L119" s="225"/>
      <c r="M119" s="225"/>
      <c r="N119" s="225"/>
      <c r="O119" s="225"/>
      <c r="Q119" s="93"/>
      <c r="R119" s="94"/>
      <c r="S119" s="93"/>
      <c r="T119" s="93"/>
      <c r="U119" s="93"/>
      <c r="V119" s="94"/>
    </row>
    <row r="120" spans="2:22" s="190" customFormat="1" x14ac:dyDescent="0.15">
      <c r="B120" s="93"/>
      <c r="C120" s="93"/>
      <c r="D120" s="93"/>
      <c r="E120" s="93"/>
      <c r="F120" s="93"/>
      <c r="G120" s="93"/>
      <c r="H120" s="225"/>
      <c r="I120" s="225"/>
      <c r="J120" s="225"/>
      <c r="K120" s="225"/>
      <c r="L120" s="225"/>
      <c r="M120" s="225"/>
      <c r="N120" s="225"/>
      <c r="O120" s="225"/>
      <c r="Q120" s="93"/>
      <c r="R120" s="94"/>
      <c r="S120" s="93"/>
      <c r="T120" s="93"/>
      <c r="U120" s="93"/>
      <c r="V120" s="94"/>
    </row>
    <row r="121" spans="2:22" s="190" customFormat="1" x14ac:dyDescent="0.15">
      <c r="B121" s="93"/>
      <c r="C121" s="93"/>
      <c r="D121" s="93"/>
      <c r="E121" s="93"/>
      <c r="F121" s="93"/>
      <c r="G121" s="93"/>
      <c r="H121" s="225"/>
      <c r="I121" s="225"/>
      <c r="J121" s="225"/>
      <c r="K121" s="225"/>
      <c r="L121" s="225"/>
      <c r="M121" s="225"/>
      <c r="N121" s="225"/>
      <c r="O121" s="225"/>
      <c r="Q121" s="93"/>
      <c r="R121" s="94"/>
      <c r="S121" s="93"/>
      <c r="T121" s="93"/>
      <c r="U121" s="93"/>
      <c r="V121" s="94"/>
    </row>
    <row r="122" spans="2:22" s="190" customFormat="1" x14ac:dyDescent="0.15">
      <c r="B122" s="93"/>
      <c r="C122" s="93"/>
      <c r="D122" s="93"/>
      <c r="E122" s="93"/>
      <c r="F122" s="93"/>
      <c r="G122" s="93"/>
      <c r="H122" s="225"/>
      <c r="I122" s="225"/>
      <c r="J122" s="225"/>
      <c r="K122" s="225"/>
      <c r="L122" s="225"/>
      <c r="M122" s="225"/>
      <c r="N122" s="225"/>
      <c r="O122" s="225"/>
      <c r="Q122" s="93"/>
      <c r="R122" s="94"/>
      <c r="S122" s="93"/>
      <c r="T122" s="93"/>
      <c r="U122" s="93"/>
      <c r="V122" s="94"/>
    </row>
    <row r="123" spans="2:22" s="190" customFormat="1" x14ac:dyDescent="0.15">
      <c r="B123" s="93"/>
      <c r="C123" s="93"/>
      <c r="D123" s="93"/>
      <c r="E123" s="93"/>
      <c r="F123" s="93"/>
      <c r="G123" s="93"/>
      <c r="H123" s="225"/>
      <c r="I123" s="225"/>
      <c r="J123" s="225"/>
      <c r="K123" s="225"/>
      <c r="L123" s="225"/>
      <c r="M123" s="225"/>
      <c r="N123" s="225"/>
      <c r="O123" s="225"/>
      <c r="Q123" s="93"/>
      <c r="R123" s="94"/>
      <c r="S123" s="93"/>
      <c r="T123" s="93"/>
      <c r="U123" s="93"/>
      <c r="V123" s="94"/>
    </row>
    <row r="124" spans="2:22" s="190" customFormat="1" x14ac:dyDescent="0.15">
      <c r="B124" s="93"/>
      <c r="C124" s="93"/>
      <c r="D124" s="93"/>
      <c r="E124" s="93"/>
      <c r="F124" s="93"/>
      <c r="G124" s="93"/>
      <c r="H124" s="225"/>
      <c r="I124" s="225"/>
      <c r="J124" s="225"/>
      <c r="K124" s="225"/>
      <c r="L124" s="225"/>
      <c r="M124" s="225"/>
      <c r="N124" s="225"/>
      <c r="O124" s="225"/>
      <c r="Q124" s="93"/>
      <c r="R124" s="94"/>
      <c r="S124" s="93"/>
      <c r="T124" s="93"/>
      <c r="U124" s="93"/>
      <c r="V124" s="94"/>
    </row>
    <row r="125" spans="2:22" s="190" customFormat="1" x14ac:dyDescent="0.15">
      <c r="B125" s="93"/>
      <c r="C125" s="93"/>
      <c r="D125" s="93"/>
      <c r="E125" s="93"/>
      <c r="F125" s="93"/>
      <c r="G125" s="93"/>
      <c r="H125" s="225"/>
      <c r="I125" s="225"/>
      <c r="J125" s="225"/>
      <c r="K125" s="225"/>
      <c r="L125" s="225"/>
      <c r="M125" s="225"/>
      <c r="N125" s="225"/>
      <c r="O125" s="225"/>
      <c r="Q125" s="93"/>
      <c r="R125" s="94"/>
      <c r="S125" s="93"/>
      <c r="T125" s="93"/>
      <c r="U125" s="93"/>
      <c r="V125" s="94"/>
    </row>
    <row r="126" spans="2:22" s="190" customFormat="1" x14ac:dyDescent="0.15">
      <c r="B126" s="93"/>
      <c r="C126" s="93"/>
      <c r="D126" s="93"/>
      <c r="E126" s="93"/>
      <c r="F126" s="93"/>
      <c r="G126" s="93"/>
      <c r="H126" s="225"/>
      <c r="I126" s="225"/>
      <c r="J126" s="225"/>
      <c r="K126" s="225"/>
      <c r="L126" s="225"/>
      <c r="M126" s="225"/>
      <c r="N126" s="225"/>
      <c r="O126" s="225"/>
      <c r="Q126" s="93"/>
      <c r="R126" s="94"/>
      <c r="S126" s="93"/>
      <c r="T126" s="93"/>
      <c r="U126" s="93"/>
      <c r="V126" s="94"/>
    </row>
    <row r="127" spans="2:22" s="190" customFormat="1" x14ac:dyDescent="0.15">
      <c r="B127" s="93"/>
      <c r="C127" s="93"/>
      <c r="D127" s="93"/>
      <c r="E127" s="93"/>
      <c r="F127" s="93"/>
      <c r="G127" s="93"/>
      <c r="H127" s="225"/>
      <c r="I127" s="225"/>
      <c r="J127" s="225"/>
      <c r="K127" s="225"/>
      <c r="L127" s="225"/>
      <c r="M127" s="225"/>
      <c r="N127" s="225"/>
      <c r="O127" s="225"/>
      <c r="Q127" s="93"/>
      <c r="R127" s="94"/>
      <c r="S127" s="93"/>
      <c r="T127" s="93"/>
      <c r="U127" s="93"/>
      <c r="V127" s="94"/>
    </row>
    <row r="128" spans="2:22" s="190" customFormat="1" x14ac:dyDescent="0.15">
      <c r="B128" s="93"/>
      <c r="C128" s="93"/>
      <c r="D128" s="93"/>
      <c r="E128" s="93"/>
      <c r="F128" s="93"/>
      <c r="G128" s="93"/>
      <c r="H128" s="225"/>
      <c r="I128" s="225"/>
      <c r="J128" s="225"/>
      <c r="K128" s="225"/>
      <c r="L128" s="225"/>
      <c r="M128" s="225"/>
      <c r="N128" s="225"/>
      <c r="O128" s="225"/>
      <c r="Q128" s="93"/>
      <c r="R128" s="94"/>
      <c r="S128" s="93"/>
      <c r="T128" s="93"/>
      <c r="U128" s="93"/>
      <c r="V128" s="94"/>
    </row>
    <row r="129" spans="2:22" s="190" customFormat="1" x14ac:dyDescent="0.15">
      <c r="B129" s="93"/>
      <c r="C129" s="93"/>
      <c r="D129" s="93"/>
      <c r="E129" s="93"/>
      <c r="F129" s="93"/>
      <c r="G129" s="93"/>
      <c r="H129" s="225"/>
      <c r="I129" s="225"/>
      <c r="J129" s="225"/>
      <c r="K129" s="225"/>
      <c r="L129" s="225"/>
      <c r="M129" s="225"/>
      <c r="N129" s="225"/>
      <c r="O129" s="225"/>
      <c r="Q129" s="93"/>
      <c r="R129" s="94"/>
      <c r="S129" s="93"/>
      <c r="T129" s="93"/>
      <c r="U129" s="93"/>
      <c r="V129" s="94"/>
    </row>
    <row r="130" spans="2:22" s="190" customFormat="1" x14ac:dyDescent="0.15">
      <c r="B130" s="93"/>
      <c r="C130" s="93"/>
      <c r="D130" s="93"/>
      <c r="E130" s="93"/>
      <c r="F130" s="93"/>
      <c r="G130" s="93"/>
      <c r="H130" s="225"/>
      <c r="I130" s="225"/>
      <c r="J130" s="225"/>
      <c r="K130" s="225"/>
      <c r="L130" s="225"/>
      <c r="M130" s="225"/>
      <c r="N130" s="225"/>
      <c r="O130" s="225"/>
      <c r="Q130" s="93"/>
      <c r="R130" s="94"/>
      <c r="S130" s="93"/>
      <c r="T130" s="93"/>
      <c r="U130" s="93"/>
      <c r="V130" s="94"/>
    </row>
    <row r="131" spans="2:22" s="190" customFormat="1" x14ac:dyDescent="0.15">
      <c r="B131" s="93"/>
      <c r="C131" s="93"/>
      <c r="D131" s="93"/>
      <c r="E131" s="93"/>
      <c r="F131" s="93"/>
      <c r="G131" s="93"/>
      <c r="H131" s="225"/>
      <c r="I131" s="225"/>
      <c r="J131" s="225"/>
      <c r="K131" s="225"/>
      <c r="L131" s="225"/>
      <c r="M131" s="225"/>
      <c r="N131" s="225"/>
      <c r="O131" s="225"/>
      <c r="Q131" s="93"/>
      <c r="R131" s="94"/>
      <c r="S131" s="93"/>
      <c r="T131" s="93"/>
      <c r="U131" s="93"/>
      <c r="V131" s="94"/>
    </row>
    <row r="132" spans="2:22" s="190" customFormat="1" x14ac:dyDescent="0.15">
      <c r="B132" s="93"/>
      <c r="C132" s="93"/>
      <c r="D132" s="93"/>
      <c r="E132" s="93"/>
      <c r="F132" s="93"/>
      <c r="G132" s="93"/>
      <c r="H132" s="225"/>
      <c r="I132" s="225"/>
      <c r="J132" s="225"/>
      <c r="K132" s="225"/>
      <c r="L132" s="225"/>
      <c r="M132" s="225"/>
      <c r="N132" s="225"/>
      <c r="O132" s="225"/>
      <c r="Q132" s="93"/>
      <c r="R132" s="94"/>
      <c r="S132" s="93"/>
      <c r="T132" s="93"/>
      <c r="U132" s="93"/>
      <c r="V132" s="94"/>
    </row>
    <row r="133" spans="2:22" s="190" customFormat="1" x14ac:dyDescent="0.15">
      <c r="B133" s="93"/>
      <c r="C133" s="93"/>
      <c r="D133" s="93"/>
      <c r="E133" s="93"/>
      <c r="F133" s="93"/>
      <c r="G133" s="93"/>
      <c r="H133" s="225"/>
      <c r="I133" s="225"/>
      <c r="J133" s="225"/>
      <c r="K133" s="225"/>
      <c r="L133" s="225"/>
      <c r="M133" s="225"/>
      <c r="N133" s="225"/>
      <c r="O133" s="225"/>
      <c r="Q133" s="93"/>
      <c r="R133" s="94"/>
      <c r="S133" s="93"/>
      <c r="T133" s="93"/>
      <c r="U133" s="93"/>
      <c r="V133" s="94"/>
    </row>
    <row r="134" spans="2:22" s="190" customFormat="1" x14ac:dyDescent="0.15">
      <c r="B134" s="93"/>
      <c r="C134" s="93"/>
      <c r="D134" s="93"/>
      <c r="E134" s="93"/>
      <c r="F134" s="93"/>
      <c r="G134" s="93"/>
      <c r="H134" s="225"/>
      <c r="I134" s="225"/>
      <c r="J134" s="225"/>
      <c r="K134" s="225"/>
      <c r="L134" s="225"/>
      <c r="M134" s="225"/>
      <c r="N134" s="225"/>
      <c r="O134" s="225"/>
      <c r="Q134" s="93"/>
      <c r="R134" s="94"/>
      <c r="S134" s="93"/>
      <c r="T134" s="93"/>
      <c r="U134" s="93"/>
      <c r="V134" s="94"/>
    </row>
    <row r="135" spans="2:22" s="190" customFormat="1" x14ac:dyDescent="0.15">
      <c r="B135" s="93"/>
      <c r="C135" s="93"/>
      <c r="D135" s="93"/>
      <c r="E135" s="93"/>
      <c r="F135" s="93"/>
      <c r="G135" s="93"/>
      <c r="H135" s="225"/>
      <c r="I135" s="225"/>
      <c r="J135" s="225"/>
      <c r="K135" s="225"/>
      <c r="L135" s="225"/>
      <c r="M135" s="225"/>
      <c r="N135" s="225"/>
      <c r="O135" s="225"/>
      <c r="Q135" s="93"/>
      <c r="R135" s="94"/>
      <c r="S135" s="93"/>
      <c r="T135" s="93"/>
      <c r="U135" s="93"/>
      <c r="V135" s="94"/>
    </row>
    <row r="136" spans="2:22" s="190" customFormat="1" x14ac:dyDescent="0.15">
      <c r="B136" s="93"/>
      <c r="C136" s="93"/>
      <c r="D136" s="93"/>
      <c r="E136" s="93"/>
      <c r="F136" s="93"/>
      <c r="G136" s="93"/>
      <c r="H136" s="225"/>
      <c r="I136" s="225"/>
      <c r="J136" s="225"/>
      <c r="K136" s="225"/>
      <c r="L136" s="225"/>
      <c r="M136" s="225"/>
      <c r="N136" s="225"/>
      <c r="O136" s="225"/>
      <c r="Q136" s="93"/>
      <c r="R136" s="94"/>
      <c r="S136" s="93"/>
      <c r="T136" s="93"/>
      <c r="U136" s="93"/>
      <c r="V136" s="94"/>
    </row>
    <row r="137" spans="2:22" s="190" customFormat="1" x14ac:dyDescent="0.15">
      <c r="B137" s="93"/>
      <c r="C137" s="93"/>
      <c r="D137" s="93"/>
      <c r="E137" s="93"/>
      <c r="F137" s="93"/>
      <c r="G137" s="93"/>
      <c r="H137" s="225"/>
      <c r="I137" s="225"/>
      <c r="J137" s="225"/>
      <c r="K137" s="225"/>
      <c r="L137" s="225"/>
      <c r="M137" s="225"/>
      <c r="N137" s="225"/>
      <c r="O137" s="225"/>
      <c r="Q137" s="93"/>
      <c r="R137" s="94"/>
      <c r="S137" s="93"/>
      <c r="T137" s="93"/>
      <c r="U137" s="93"/>
      <c r="V137" s="94"/>
    </row>
    <row r="138" spans="2:22" s="190" customFormat="1" x14ac:dyDescent="0.15">
      <c r="B138" s="93"/>
      <c r="C138" s="93"/>
      <c r="D138" s="93"/>
      <c r="E138" s="93"/>
      <c r="F138" s="93"/>
      <c r="G138" s="93"/>
      <c r="H138" s="225"/>
      <c r="I138" s="225"/>
      <c r="J138" s="225"/>
      <c r="K138" s="225"/>
      <c r="L138" s="225"/>
      <c r="M138" s="225"/>
      <c r="N138" s="225"/>
      <c r="O138" s="225"/>
      <c r="Q138" s="93"/>
      <c r="R138" s="94"/>
      <c r="S138" s="93"/>
      <c r="T138" s="93"/>
      <c r="U138" s="93"/>
      <c r="V138" s="94"/>
    </row>
    <row r="139" spans="2:22" s="190" customFormat="1" x14ac:dyDescent="0.15">
      <c r="B139" s="93"/>
      <c r="C139" s="93"/>
      <c r="D139" s="93"/>
      <c r="E139" s="93"/>
      <c r="F139" s="93"/>
      <c r="G139" s="93"/>
      <c r="H139" s="225"/>
      <c r="I139" s="225"/>
      <c r="J139" s="225"/>
      <c r="K139" s="225"/>
      <c r="L139" s="225"/>
      <c r="M139" s="225"/>
      <c r="N139" s="225"/>
      <c r="O139" s="225"/>
      <c r="Q139" s="93"/>
      <c r="R139" s="94"/>
      <c r="S139" s="93"/>
      <c r="T139" s="93"/>
      <c r="U139" s="93"/>
      <c r="V139" s="94"/>
    </row>
    <row r="140" spans="2:22" s="190" customFormat="1" x14ac:dyDescent="0.15">
      <c r="B140" s="93"/>
      <c r="C140" s="93"/>
      <c r="D140" s="93"/>
      <c r="E140" s="93"/>
      <c r="F140" s="93"/>
      <c r="G140" s="93"/>
      <c r="H140" s="225"/>
      <c r="I140" s="225"/>
      <c r="J140" s="225"/>
      <c r="K140" s="225"/>
      <c r="L140" s="225"/>
      <c r="M140" s="225"/>
      <c r="N140" s="225"/>
      <c r="O140" s="225"/>
      <c r="Q140" s="93"/>
      <c r="R140" s="94"/>
      <c r="S140" s="93"/>
      <c r="T140" s="93"/>
      <c r="U140" s="93"/>
      <c r="V140" s="94"/>
    </row>
    <row r="141" spans="2:22" s="190" customFormat="1" x14ac:dyDescent="0.15">
      <c r="B141" s="93"/>
      <c r="C141" s="93"/>
      <c r="D141" s="93"/>
      <c r="E141" s="93"/>
      <c r="F141" s="93"/>
      <c r="G141" s="93"/>
      <c r="H141" s="225"/>
      <c r="I141" s="225"/>
      <c r="J141" s="225"/>
      <c r="K141" s="225"/>
      <c r="L141" s="225"/>
      <c r="M141" s="225"/>
      <c r="N141" s="225"/>
      <c r="O141" s="225"/>
      <c r="Q141" s="93"/>
      <c r="R141" s="94"/>
      <c r="S141" s="93"/>
      <c r="T141" s="93"/>
      <c r="U141" s="93"/>
      <c r="V141" s="94"/>
    </row>
    <row r="142" spans="2:22" s="190" customFormat="1" x14ac:dyDescent="0.15">
      <c r="B142" s="93"/>
      <c r="C142" s="93"/>
      <c r="D142" s="93"/>
      <c r="E142" s="93"/>
      <c r="F142" s="93"/>
      <c r="G142" s="93"/>
      <c r="H142" s="225"/>
      <c r="I142" s="225"/>
      <c r="J142" s="225"/>
      <c r="K142" s="225"/>
      <c r="L142" s="225"/>
      <c r="M142" s="225"/>
      <c r="N142" s="225"/>
      <c r="O142" s="225"/>
      <c r="Q142" s="93"/>
      <c r="R142" s="94"/>
      <c r="S142" s="93"/>
      <c r="T142" s="93"/>
      <c r="U142" s="93"/>
      <c r="V142" s="94"/>
    </row>
    <row r="143" spans="2:22" s="190" customFormat="1" x14ac:dyDescent="0.15">
      <c r="B143" s="93"/>
      <c r="C143" s="93"/>
      <c r="D143" s="93"/>
      <c r="E143" s="93"/>
      <c r="F143" s="93"/>
      <c r="G143" s="93"/>
      <c r="H143" s="225"/>
      <c r="I143" s="225"/>
      <c r="J143" s="225"/>
      <c r="K143" s="225"/>
      <c r="L143" s="225"/>
      <c r="M143" s="225"/>
      <c r="N143" s="225"/>
      <c r="O143" s="93"/>
      <c r="Q143" s="93"/>
      <c r="R143" s="94"/>
      <c r="S143" s="93"/>
      <c r="T143" s="93"/>
      <c r="U143" s="93"/>
      <c r="V143" s="94"/>
    </row>
    <row r="144" spans="2:22" s="190" customFormat="1" x14ac:dyDescent="0.15">
      <c r="B144" s="93"/>
      <c r="C144" s="93"/>
      <c r="D144" s="93"/>
      <c r="E144" s="93"/>
      <c r="F144" s="93"/>
      <c r="G144" s="93"/>
      <c r="H144" s="225"/>
      <c r="I144" s="225"/>
      <c r="J144" s="225"/>
      <c r="K144" s="225"/>
      <c r="L144" s="225"/>
      <c r="M144" s="225"/>
      <c r="N144" s="225"/>
      <c r="O144" s="93"/>
      <c r="Q144" s="93"/>
      <c r="R144" s="94"/>
      <c r="S144" s="93"/>
      <c r="T144" s="93"/>
      <c r="U144" s="93"/>
      <c r="V144" s="94"/>
    </row>
    <row r="145" spans="2:22" s="190" customFormat="1" x14ac:dyDescent="0.15">
      <c r="B145" s="93"/>
      <c r="C145" s="93"/>
      <c r="D145" s="93"/>
      <c r="E145" s="93"/>
      <c r="F145" s="93"/>
      <c r="G145" s="93"/>
      <c r="H145" s="225"/>
      <c r="I145" s="225"/>
      <c r="J145" s="225"/>
      <c r="K145" s="225"/>
      <c r="L145" s="225"/>
      <c r="M145" s="225"/>
      <c r="N145" s="225"/>
      <c r="O145" s="93"/>
      <c r="Q145" s="93"/>
      <c r="R145" s="94"/>
      <c r="S145" s="93"/>
      <c r="T145" s="93"/>
      <c r="U145" s="93"/>
      <c r="V145" s="94"/>
    </row>
    <row r="146" spans="2:22" s="190" customFormat="1" x14ac:dyDescent="0.15">
      <c r="B146" s="93"/>
      <c r="C146" s="93"/>
      <c r="D146" s="93"/>
      <c r="E146" s="93"/>
      <c r="F146" s="93"/>
      <c r="G146" s="93"/>
      <c r="H146" s="225"/>
      <c r="I146" s="225"/>
      <c r="J146" s="225"/>
      <c r="K146" s="225"/>
      <c r="L146" s="225"/>
      <c r="M146" s="225"/>
      <c r="N146" s="225"/>
      <c r="O146" s="93"/>
      <c r="Q146" s="93"/>
      <c r="R146" s="94"/>
      <c r="S146" s="93"/>
      <c r="T146" s="93"/>
      <c r="U146" s="93"/>
      <c r="V146" s="94"/>
    </row>
    <row r="147" spans="2:22" s="190" customFormat="1" x14ac:dyDescent="0.15">
      <c r="B147" s="93"/>
      <c r="C147" s="93"/>
      <c r="D147" s="93"/>
      <c r="E147" s="93"/>
      <c r="F147" s="93"/>
      <c r="G147" s="93"/>
      <c r="H147" s="225"/>
      <c r="I147" s="225"/>
      <c r="J147" s="225"/>
      <c r="K147" s="225"/>
      <c r="L147" s="225"/>
      <c r="M147" s="225"/>
      <c r="N147" s="225"/>
      <c r="O147" s="93"/>
      <c r="Q147" s="93"/>
      <c r="R147" s="94"/>
      <c r="S147" s="93"/>
      <c r="T147" s="93"/>
      <c r="U147" s="93"/>
      <c r="V147" s="94"/>
    </row>
    <row r="148" spans="2:22" s="190" customFormat="1" x14ac:dyDescent="0.15">
      <c r="B148" s="93"/>
      <c r="C148" s="93"/>
      <c r="D148" s="93"/>
      <c r="E148" s="93"/>
      <c r="F148" s="93"/>
      <c r="G148" s="93"/>
      <c r="H148" s="225"/>
      <c r="I148" s="225"/>
      <c r="J148" s="225"/>
      <c r="K148" s="225"/>
      <c r="L148" s="225"/>
      <c r="M148" s="225"/>
      <c r="N148" s="225"/>
      <c r="O148" s="93"/>
      <c r="Q148" s="93"/>
      <c r="R148" s="94"/>
      <c r="S148" s="93"/>
      <c r="T148" s="93"/>
      <c r="U148" s="93"/>
      <c r="V148" s="94"/>
    </row>
    <row r="149" spans="2:22" x14ac:dyDescent="0.15">
      <c r="I149" s="225"/>
      <c r="J149" s="225"/>
      <c r="K149" s="225"/>
      <c r="L149" s="225"/>
      <c r="M149" s="225"/>
      <c r="N149" s="225"/>
    </row>
    <row r="150" spans="2:22" x14ac:dyDescent="0.15">
      <c r="I150" s="225"/>
      <c r="J150" s="225"/>
      <c r="K150" s="225"/>
      <c r="L150" s="225"/>
      <c r="M150" s="225"/>
      <c r="N150" s="225"/>
    </row>
    <row r="151" spans="2:22" x14ac:dyDescent="0.15">
      <c r="I151" s="225"/>
      <c r="J151" s="225"/>
      <c r="K151" s="225"/>
      <c r="L151" s="225"/>
      <c r="M151" s="225"/>
      <c r="N151" s="225"/>
    </row>
    <row r="152" spans="2:22" x14ac:dyDescent="0.15">
      <c r="I152" s="225"/>
      <c r="J152" s="225"/>
      <c r="K152" s="225"/>
      <c r="L152" s="225"/>
      <c r="M152" s="225"/>
      <c r="N152" s="225"/>
    </row>
    <row r="153" spans="2:22" x14ac:dyDescent="0.15">
      <c r="I153" s="225"/>
      <c r="J153" s="225"/>
      <c r="K153" s="225"/>
      <c r="L153" s="225"/>
      <c r="M153" s="225"/>
      <c r="N153" s="225"/>
    </row>
    <row r="154" spans="2:22" x14ac:dyDescent="0.15">
      <c r="I154" s="225"/>
      <c r="J154" s="225"/>
      <c r="K154" s="225"/>
      <c r="L154" s="225"/>
      <c r="M154" s="225"/>
      <c r="N154" s="225"/>
    </row>
    <row r="155" spans="2:22" x14ac:dyDescent="0.15">
      <c r="I155" s="225"/>
      <c r="J155" s="225"/>
      <c r="K155" s="225"/>
      <c r="L155" s="225"/>
      <c r="M155" s="225"/>
      <c r="N155" s="225"/>
    </row>
    <row r="156" spans="2:22" x14ac:dyDescent="0.15">
      <c r="I156" s="225"/>
      <c r="J156" s="225"/>
      <c r="K156" s="225"/>
      <c r="L156" s="225"/>
      <c r="M156" s="225"/>
      <c r="N156" s="225"/>
    </row>
    <row r="157" spans="2:22" x14ac:dyDescent="0.15">
      <c r="I157" s="225"/>
      <c r="J157" s="225"/>
      <c r="K157" s="225"/>
      <c r="L157" s="225"/>
      <c r="M157" s="225"/>
      <c r="N157" s="225"/>
    </row>
    <row r="158" spans="2:22" x14ac:dyDescent="0.15">
      <c r="I158" s="225"/>
      <c r="J158" s="225"/>
      <c r="K158" s="225"/>
      <c r="L158" s="225"/>
      <c r="M158" s="225"/>
      <c r="N158" s="225"/>
    </row>
    <row r="159" spans="2:22" x14ac:dyDescent="0.15">
      <c r="J159" s="225"/>
      <c r="K159" s="225"/>
      <c r="L159" s="225"/>
      <c r="M159" s="225"/>
      <c r="N159" s="225"/>
    </row>
    <row r="160" spans="2:22" x14ac:dyDescent="0.15">
      <c r="J160" s="225"/>
      <c r="K160" s="225"/>
      <c r="L160" s="225"/>
      <c r="M160" s="225"/>
      <c r="N160" s="225"/>
    </row>
    <row r="176" spans="2:22" s="190" customFormat="1" x14ac:dyDescent="0.15">
      <c r="B176" s="93"/>
      <c r="C176" s="93"/>
      <c r="D176" s="93"/>
      <c r="E176" s="93"/>
      <c r="F176" s="93"/>
      <c r="G176" s="93"/>
      <c r="H176" s="225"/>
      <c r="I176" s="93"/>
      <c r="J176" s="93"/>
      <c r="K176" s="93"/>
      <c r="L176" s="93"/>
      <c r="M176" s="93"/>
      <c r="N176" s="93"/>
      <c r="O176" s="225"/>
      <c r="Q176" s="93"/>
      <c r="R176" s="94"/>
      <c r="S176" s="93"/>
      <c r="T176" s="93"/>
      <c r="U176" s="93"/>
      <c r="V176" s="94"/>
    </row>
    <row r="177" spans="2:22" s="190" customFormat="1" x14ac:dyDescent="0.15">
      <c r="B177" s="93"/>
      <c r="C177" s="93"/>
      <c r="D177" s="93"/>
      <c r="E177" s="93"/>
      <c r="F177" s="93"/>
      <c r="G177" s="93"/>
      <c r="H177" s="225"/>
      <c r="I177" s="93"/>
      <c r="J177" s="93"/>
      <c r="K177" s="93"/>
      <c r="L177" s="93"/>
      <c r="M177" s="93"/>
      <c r="N177" s="93"/>
      <c r="O177" s="225"/>
      <c r="Q177" s="93"/>
      <c r="R177" s="94"/>
      <c r="S177" s="93"/>
      <c r="T177" s="93"/>
      <c r="U177" s="93"/>
      <c r="V177" s="94"/>
    </row>
    <row r="178" spans="2:22" s="190" customFormat="1" x14ac:dyDescent="0.15">
      <c r="B178" s="93"/>
      <c r="C178" s="93"/>
      <c r="D178" s="93"/>
      <c r="E178" s="93"/>
      <c r="F178" s="93"/>
      <c r="G178" s="93"/>
      <c r="H178" s="225"/>
      <c r="I178" s="93"/>
      <c r="J178" s="93"/>
      <c r="K178" s="93"/>
      <c r="L178" s="93"/>
      <c r="M178" s="93"/>
      <c r="N178" s="93"/>
      <c r="O178" s="225"/>
      <c r="Q178" s="93"/>
      <c r="R178" s="94"/>
      <c r="S178" s="93"/>
      <c r="T178" s="93"/>
      <c r="U178" s="93"/>
      <c r="V178" s="94"/>
    </row>
    <row r="179" spans="2:22" s="190" customFormat="1" x14ac:dyDescent="0.15">
      <c r="B179" s="93"/>
      <c r="C179" s="93"/>
      <c r="D179" s="93"/>
      <c r="E179" s="93"/>
      <c r="F179" s="93"/>
      <c r="G179" s="93"/>
      <c r="H179" s="225"/>
      <c r="I179" s="93"/>
      <c r="J179" s="93"/>
      <c r="K179" s="93"/>
      <c r="L179" s="93"/>
      <c r="M179" s="93"/>
      <c r="N179" s="93"/>
      <c r="O179" s="225"/>
      <c r="Q179" s="93"/>
      <c r="R179" s="94"/>
      <c r="S179" s="93"/>
      <c r="T179" s="93"/>
      <c r="U179" s="93"/>
      <c r="V179" s="94"/>
    </row>
    <row r="180" spans="2:22" s="190" customFormat="1" x14ac:dyDescent="0.15">
      <c r="B180" s="93"/>
      <c r="C180" s="93"/>
      <c r="D180" s="93"/>
      <c r="E180" s="93"/>
      <c r="F180" s="93"/>
      <c r="G180" s="93"/>
      <c r="H180" s="225"/>
      <c r="I180" s="93"/>
      <c r="J180" s="93"/>
      <c r="K180" s="93"/>
      <c r="L180" s="93"/>
      <c r="M180" s="93"/>
      <c r="N180" s="93"/>
      <c r="O180" s="225"/>
      <c r="Q180" s="93"/>
      <c r="R180" s="94"/>
      <c r="S180" s="93"/>
      <c r="T180" s="93"/>
      <c r="U180" s="93"/>
      <c r="V180" s="94"/>
    </row>
    <row r="181" spans="2:22" s="190" customFormat="1" x14ac:dyDescent="0.15">
      <c r="B181" s="93"/>
      <c r="C181" s="93"/>
      <c r="D181" s="93"/>
      <c r="E181" s="93"/>
      <c r="F181" s="93"/>
      <c r="G181" s="93"/>
      <c r="H181" s="225"/>
      <c r="I181" s="93"/>
      <c r="J181" s="93"/>
      <c r="K181" s="93"/>
      <c r="L181" s="93"/>
      <c r="M181" s="93"/>
      <c r="N181" s="93"/>
      <c r="O181" s="225"/>
      <c r="Q181" s="93"/>
      <c r="R181" s="94"/>
      <c r="S181" s="93"/>
      <c r="T181" s="93"/>
      <c r="U181" s="93"/>
      <c r="V181" s="94"/>
    </row>
    <row r="182" spans="2:22" s="190" customFormat="1" x14ac:dyDescent="0.15">
      <c r="B182" s="93"/>
      <c r="C182" s="93"/>
      <c r="D182" s="93"/>
      <c r="E182" s="93"/>
      <c r="F182" s="93"/>
      <c r="G182" s="93"/>
      <c r="H182" s="225"/>
      <c r="I182" s="93"/>
      <c r="J182" s="93"/>
      <c r="K182" s="93"/>
      <c r="L182" s="93"/>
      <c r="M182" s="93"/>
      <c r="N182" s="93"/>
      <c r="O182" s="225"/>
      <c r="Q182" s="93"/>
      <c r="R182" s="94"/>
      <c r="S182" s="93"/>
      <c r="T182" s="93"/>
      <c r="U182" s="93"/>
      <c r="V182" s="94"/>
    </row>
    <row r="183" spans="2:22" s="190" customFormat="1" x14ac:dyDescent="0.15">
      <c r="B183" s="93"/>
      <c r="C183" s="93"/>
      <c r="D183" s="93"/>
      <c r="E183" s="93"/>
      <c r="F183" s="93"/>
      <c r="G183" s="93"/>
      <c r="H183" s="225"/>
      <c r="I183" s="93"/>
      <c r="J183" s="93"/>
      <c r="K183" s="93"/>
      <c r="L183" s="93"/>
      <c r="M183" s="93"/>
      <c r="N183" s="93"/>
      <c r="O183" s="225"/>
      <c r="Q183" s="93"/>
      <c r="R183" s="94"/>
      <c r="S183" s="93"/>
      <c r="T183" s="93"/>
      <c r="U183" s="93"/>
      <c r="V183" s="94"/>
    </row>
    <row r="184" spans="2:22" s="190" customFormat="1" x14ac:dyDescent="0.15">
      <c r="B184" s="93"/>
      <c r="C184" s="93"/>
      <c r="D184" s="93"/>
      <c r="E184" s="93"/>
      <c r="F184" s="93"/>
      <c r="G184" s="93"/>
      <c r="H184" s="225"/>
      <c r="I184" s="93"/>
      <c r="J184" s="93"/>
      <c r="K184" s="93"/>
      <c r="L184" s="93"/>
      <c r="M184" s="93"/>
      <c r="N184" s="93"/>
      <c r="O184" s="225"/>
      <c r="Q184" s="93"/>
      <c r="R184" s="94"/>
      <c r="S184" s="93"/>
      <c r="T184" s="93"/>
      <c r="U184" s="93"/>
      <c r="V184" s="94"/>
    </row>
    <row r="185" spans="2:22" s="190" customFormat="1" x14ac:dyDescent="0.15">
      <c r="B185" s="93"/>
      <c r="C185" s="93"/>
      <c r="D185" s="93"/>
      <c r="E185" s="93"/>
      <c r="F185" s="93"/>
      <c r="G185" s="93"/>
      <c r="H185" s="225"/>
      <c r="I185" s="93"/>
      <c r="J185" s="93"/>
      <c r="K185" s="93"/>
      <c r="L185" s="93"/>
      <c r="M185" s="93"/>
      <c r="N185" s="93"/>
      <c r="O185" s="225"/>
      <c r="Q185" s="93"/>
      <c r="R185" s="94"/>
      <c r="S185" s="93"/>
      <c r="T185" s="93"/>
      <c r="U185" s="93"/>
      <c r="V185" s="94"/>
    </row>
    <row r="186" spans="2:22" s="190" customFormat="1" x14ac:dyDescent="0.15">
      <c r="B186" s="93"/>
      <c r="C186" s="93"/>
      <c r="D186" s="93"/>
      <c r="E186" s="93"/>
      <c r="F186" s="93"/>
      <c r="G186" s="93"/>
      <c r="H186" s="225"/>
      <c r="I186" s="93"/>
      <c r="J186" s="93"/>
      <c r="K186" s="93"/>
      <c r="L186" s="93"/>
      <c r="M186" s="93"/>
      <c r="N186" s="93"/>
      <c r="O186" s="225"/>
      <c r="Q186" s="93"/>
      <c r="R186" s="94"/>
      <c r="S186" s="93"/>
      <c r="T186" s="93"/>
      <c r="U186" s="93"/>
      <c r="V186" s="94"/>
    </row>
    <row r="187" spans="2:22" s="190" customFormat="1" x14ac:dyDescent="0.15">
      <c r="B187" s="93"/>
      <c r="C187" s="93"/>
      <c r="D187" s="93"/>
      <c r="E187" s="93"/>
      <c r="F187" s="93"/>
      <c r="G187" s="93"/>
      <c r="H187" s="225"/>
      <c r="I187" s="93"/>
      <c r="J187" s="93"/>
      <c r="K187" s="93"/>
      <c r="L187" s="93"/>
      <c r="M187" s="93"/>
      <c r="N187" s="93"/>
      <c r="O187" s="225"/>
      <c r="Q187" s="93"/>
      <c r="R187" s="94"/>
      <c r="S187" s="93"/>
      <c r="T187" s="93"/>
      <c r="U187" s="93"/>
      <c r="V187" s="94"/>
    </row>
    <row r="188" spans="2:22" s="190" customFormat="1" x14ac:dyDescent="0.15">
      <c r="B188" s="93"/>
      <c r="C188" s="93"/>
      <c r="D188" s="93"/>
      <c r="E188" s="93"/>
      <c r="F188" s="93"/>
      <c r="G188" s="93"/>
      <c r="H188" s="225"/>
      <c r="I188" s="93"/>
      <c r="J188" s="93"/>
      <c r="K188" s="93"/>
      <c r="L188" s="93"/>
      <c r="M188" s="93"/>
      <c r="N188" s="93"/>
      <c r="O188" s="225"/>
      <c r="Q188" s="93"/>
      <c r="R188" s="94"/>
      <c r="S188" s="93"/>
      <c r="T188" s="93"/>
      <c r="U188" s="93"/>
      <c r="V188" s="94"/>
    </row>
    <row r="189" spans="2:22" s="190" customFormat="1" x14ac:dyDescent="0.15">
      <c r="B189" s="93"/>
      <c r="C189" s="93"/>
      <c r="D189" s="93"/>
      <c r="E189" s="93"/>
      <c r="F189" s="93"/>
      <c r="G189" s="93"/>
      <c r="H189" s="225"/>
      <c r="I189" s="93"/>
      <c r="J189" s="93"/>
      <c r="K189" s="93"/>
      <c r="L189" s="93"/>
      <c r="M189" s="93"/>
      <c r="N189" s="93"/>
      <c r="O189" s="225"/>
      <c r="Q189" s="93"/>
      <c r="R189" s="94"/>
      <c r="S189" s="93"/>
      <c r="T189" s="93"/>
      <c r="U189" s="93"/>
      <c r="V189" s="94"/>
    </row>
    <row r="190" spans="2:22" s="190" customFormat="1" x14ac:dyDescent="0.15">
      <c r="B190" s="93"/>
      <c r="C190" s="93"/>
      <c r="D190" s="93"/>
      <c r="E190" s="93"/>
      <c r="F190" s="93"/>
      <c r="G190" s="93"/>
      <c r="H190" s="225"/>
      <c r="I190" s="93"/>
      <c r="J190" s="93"/>
      <c r="K190" s="93"/>
      <c r="L190" s="93"/>
      <c r="M190" s="93"/>
      <c r="N190" s="93"/>
      <c r="O190" s="225"/>
      <c r="Q190" s="93"/>
      <c r="R190" s="94"/>
      <c r="S190" s="93"/>
      <c r="T190" s="93"/>
      <c r="U190" s="93"/>
      <c r="V190" s="94"/>
    </row>
    <row r="191" spans="2:22" s="190" customFormat="1" x14ac:dyDescent="0.15">
      <c r="B191" s="93"/>
      <c r="C191" s="93"/>
      <c r="D191" s="93"/>
      <c r="E191" s="93"/>
      <c r="F191" s="93"/>
      <c r="G191" s="93"/>
      <c r="H191" s="225"/>
      <c r="I191" s="93"/>
      <c r="J191" s="93"/>
      <c r="K191" s="93"/>
      <c r="L191" s="93"/>
      <c r="M191" s="93"/>
      <c r="N191" s="93"/>
      <c r="O191" s="225"/>
      <c r="Q191" s="93"/>
      <c r="R191" s="94"/>
      <c r="S191" s="93"/>
      <c r="T191" s="93"/>
      <c r="U191" s="93"/>
      <c r="V191" s="94"/>
    </row>
    <row r="192" spans="2:22" s="190" customFormat="1" x14ac:dyDescent="0.15">
      <c r="B192" s="93"/>
      <c r="C192" s="93"/>
      <c r="D192" s="93"/>
      <c r="E192" s="93"/>
      <c r="F192" s="93"/>
      <c r="G192" s="93"/>
      <c r="H192" s="225"/>
      <c r="I192" s="93"/>
      <c r="J192" s="93"/>
      <c r="K192" s="93"/>
      <c r="L192" s="93"/>
      <c r="M192" s="93"/>
      <c r="N192" s="93"/>
      <c r="O192" s="225"/>
      <c r="Q192" s="93"/>
      <c r="R192" s="94"/>
      <c r="S192" s="93"/>
      <c r="T192" s="93"/>
      <c r="U192" s="93"/>
      <c r="V192" s="94"/>
    </row>
    <row r="193" spans="2:22" s="190" customFormat="1" x14ac:dyDescent="0.15">
      <c r="B193" s="93"/>
      <c r="C193" s="93"/>
      <c r="D193" s="93"/>
      <c r="E193" s="93"/>
      <c r="F193" s="93"/>
      <c r="G193" s="93"/>
      <c r="H193" s="225"/>
      <c r="I193" s="93"/>
      <c r="J193" s="93"/>
      <c r="K193" s="93"/>
      <c r="L193" s="93"/>
      <c r="M193" s="93"/>
      <c r="N193" s="93"/>
      <c r="O193" s="225"/>
      <c r="Q193" s="93"/>
      <c r="R193" s="94"/>
      <c r="S193" s="93"/>
      <c r="T193" s="93"/>
      <c r="U193" s="93"/>
      <c r="V193" s="94"/>
    </row>
    <row r="194" spans="2:22" s="190" customFormat="1" x14ac:dyDescent="0.15">
      <c r="B194" s="93"/>
      <c r="C194" s="93"/>
      <c r="D194" s="93"/>
      <c r="E194" s="93"/>
      <c r="F194" s="93"/>
      <c r="G194" s="93"/>
      <c r="H194" s="225"/>
      <c r="I194" s="93"/>
      <c r="J194" s="93"/>
      <c r="K194" s="93"/>
      <c r="L194" s="93"/>
      <c r="M194" s="93"/>
      <c r="N194" s="93"/>
      <c r="O194" s="225"/>
      <c r="Q194" s="93"/>
      <c r="R194" s="94"/>
      <c r="S194" s="93"/>
      <c r="T194" s="93"/>
      <c r="U194" s="93"/>
      <c r="V194" s="94"/>
    </row>
    <row r="195" spans="2:22" s="190" customFormat="1" x14ac:dyDescent="0.15">
      <c r="B195" s="93"/>
      <c r="C195" s="93"/>
      <c r="D195" s="93"/>
      <c r="E195" s="93"/>
      <c r="F195" s="93"/>
      <c r="G195" s="93"/>
      <c r="H195" s="225"/>
      <c r="I195" s="93"/>
      <c r="J195" s="93"/>
      <c r="K195" s="93"/>
      <c r="L195" s="93"/>
      <c r="M195" s="93"/>
      <c r="N195" s="93"/>
      <c r="O195" s="225"/>
      <c r="Q195" s="93"/>
      <c r="R195" s="94"/>
      <c r="S195" s="93"/>
      <c r="T195" s="93"/>
      <c r="U195" s="93"/>
      <c r="V195" s="94"/>
    </row>
  </sheetData>
  <mergeCells count="72">
    <mergeCell ref="B5:B7"/>
    <mergeCell ref="T5:U5"/>
    <mergeCell ref="I6:I11"/>
    <mergeCell ref="T6:U6"/>
    <mergeCell ref="T7:U7"/>
    <mergeCell ref="I4:I5"/>
    <mergeCell ref="J4:J5"/>
    <mergeCell ref="M4:M5"/>
    <mergeCell ref="N4:N5"/>
    <mergeCell ref="T4:U4"/>
    <mergeCell ref="B8:B12"/>
    <mergeCell ref="T8:U8"/>
    <mergeCell ref="T9:U9"/>
    <mergeCell ref="T10:U10"/>
    <mergeCell ref="T11:U11"/>
    <mergeCell ref="I12:I16"/>
    <mergeCell ref="T12:U12"/>
    <mergeCell ref="B13:B17"/>
    <mergeCell ref="T13:U13"/>
    <mergeCell ref="T14:U14"/>
    <mergeCell ref="T15:U15"/>
    <mergeCell ref="T16:U16"/>
    <mergeCell ref="I17:I20"/>
    <mergeCell ref="T17:U17"/>
    <mergeCell ref="B18:B21"/>
    <mergeCell ref="T18:U18"/>
    <mergeCell ref="T19:U19"/>
    <mergeCell ref="T20:U20"/>
    <mergeCell ref="I21:I24"/>
    <mergeCell ref="T21:U21"/>
    <mergeCell ref="B22:B25"/>
    <mergeCell ref="I25:I28"/>
    <mergeCell ref="K51:L51"/>
    <mergeCell ref="B29:B42"/>
    <mergeCell ref="I29:I33"/>
    <mergeCell ref="K38:L38"/>
    <mergeCell ref="I39:I46"/>
    <mergeCell ref="K39:L39"/>
    <mergeCell ref="K40:L40"/>
    <mergeCell ref="K41:L41"/>
    <mergeCell ref="K61:L61"/>
    <mergeCell ref="Q41:R41"/>
    <mergeCell ref="K42:L42"/>
    <mergeCell ref="P42:P48"/>
    <mergeCell ref="B43:B53"/>
    <mergeCell ref="K43:L43"/>
    <mergeCell ref="K44:L44"/>
    <mergeCell ref="K45:L45"/>
    <mergeCell ref="K46:L46"/>
    <mergeCell ref="I47:I50"/>
    <mergeCell ref="K47:L47"/>
    <mergeCell ref="K48:L48"/>
    <mergeCell ref="K49:L49"/>
    <mergeCell ref="P49:P60"/>
    <mergeCell ref="Q49:Q53"/>
    <mergeCell ref="K50:L50"/>
    <mergeCell ref="P61:Q61"/>
    <mergeCell ref="B54:B57"/>
    <mergeCell ref="K54:L54"/>
    <mergeCell ref="I55:I60"/>
    <mergeCell ref="K55:L55"/>
    <mergeCell ref="Q55:Q59"/>
    <mergeCell ref="K56:L56"/>
    <mergeCell ref="K57:L57"/>
    <mergeCell ref="B58:B61"/>
    <mergeCell ref="K58:L58"/>
    <mergeCell ref="K59:L59"/>
    <mergeCell ref="I51:I54"/>
    <mergeCell ref="K52:L52"/>
    <mergeCell ref="K53:L53"/>
    <mergeCell ref="K60:L60"/>
    <mergeCell ref="I61:J61"/>
  </mergeCells>
  <phoneticPr fontId="5"/>
  <pageMargins left="0.78740157480314965" right="0.78740157480314965" top="0.78740157480314965" bottom="0.78740157480314965" header="0.39370078740157483" footer="0.39370078740157483"/>
  <pageSetup paperSize="9" scale="57" orientation="landscape" horizontalDpi="4294967293" verticalDpi="300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2"/>
  <sheetViews>
    <sheetView workbookViewId="0"/>
  </sheetViews>
  <sheetFormatPr defaultRowHeight="13.5" x14ac:dyDescent="0.15"/>
  <cols>
    <col min="1" max="1" width="22.75" style="395" customWidth="1"/>
    <col min="2" max="2" width="7.625" style="395" customWidth="1"/>
    <col min="3" max="3" width="9" style="396"/>
    <col min="4" max="256" width="9" style="395"/>
    <col min="257" max="257" width="14.125" style="395" customWidth="1"/>
    <col min="258" max="512" width="9" style="395"/>
    <col min="513" max="513" width="14.125" style="395" customWidth="1"/>
    <col min="514" max="768" width="9" style="395"/>
    <col min="769" max="769" width="14.125" style="395" customWidth="1"/>
    <col min="770" max="1024" width="9" style="395"/>
    <col min="1025" max="1025" width="14.125" style="395" customWidth="1"/>
    <col min="1026" max="1280" width="9" style="395"/>
    <col min="1281" max="1281" width="14.125" style="395" customWidth="1"/>
    <col min="1282" max="1536" width="9" style="395"/>
    <col min="1537" max="1537" width="14.125" style="395" customWidth="1"/>
    <col min="1538" max="1792" width="9" style="395"/>
    <col min="1793" max="1793" width="14.125" style="395" customWidth="1"/>
    <col min="1794" max="2048" width="9" style="395"/>
    <col min="2049" max="2049" width="14.125" style="395" customWidth="1"/>
    <col min="2050" max="2304" width="9" style="395"/>
    <col min="2305" max="2305" width="14.125" style="395" customWidth="1"/>
    <col min="2306" max="2560" width="9" style="395"/>
    <col min="2561" max="2561" width="14.125" style="395" customWidth="1"/>
    <col min="2562" max="2816" width="9" style="395"/>
    <col min="2817" max="2817" width="14.125" style="395" customWidth="1"/>
    <col min="2818" max="3072" width="9" style="395"/>
    <col min="3073" max="3073" width="14.125" style="395" customWidth="1"/>
    <col min="3074" max="3328" width="9" style="395"/>
    <col min="3329" max="3329" width="14.125" style="395" customWidth="1"/>
    <col min="3330" max="3584" width="9" style="395"/>
    <col min="3585" max="3585" width="14.125" style="395" customWidth="1"/>
    <col min="3586" max="3840" width="9" style="395"/>
    <col min="3841" max="3841" width="14.125" style="395" customWidth="1"/>
    <col min="3842" max="4096" width="9" style="395"/>
    <col min="4097" max="4097" width="14.125" style="395" customWidth="1"/>
    <col min="4098" max="4352" width="9" style="395"/>
    <col min="4353" max="4353" width="14.125" style="395" customWidth="1"/>
    <col min="4354" max="4608" width="9" style="395"/>
    <col min="4609" max="4609" width="14.125" style="395" customWidth="1"/>
    <col min="4610" max="4864" width="9" style="395"/>
    <col min="4865" max="4865" width="14.125" style="395" customWidth="1"/>
    <col min="4866" max="5120" width="9" style="395"/>
    <col min="5121" max="5121" width="14.125" style="395" customWidth="1"/>
    <col min="5122" max="5376" width="9" style="395"/>
    <col min="5377" max="5377" width="14.125" style="395" customWidth="1"/>
    <col min="5378" max="5632" width="9" style="395"/>
    <col min="5633" max="5633" width="14.125" style="395" customWidth="1"/>
    <col min="5634" max="5888" width="9" style="395"/>
    <col min="5889" max="5889" width="14.125" style="395" customWidth="1"/>
    <col min="5890" max="6144" width="9" style="395"/>
    <col min="6145" max="6145" width="14.125" style="395" customWidth="1"/>
    <col min="6146" max="6400" width="9" style="395"/>
    <col min="6401" max="6401" width="14.125" style="395" customWidth="1"/>
    <col min="6402" max="6656" width="9" style="395"/>
    <col min="6657" max="6657" width="14.125" style="395" customWidth="1"/>
    <col min="6658" max="6912" width="9" style="395"/>
    <col min="6913" max="6913" width="14.125" style="395" customWidth="1"/>
    <col min="6914" max="7168" width="9" style="395"/>
    <col min="7169" max="7169" width="14.125" style="395" customWidth="1"/>
    <col min="7170" max="7424" width="9" style="395"/>
    <col min="7425" max="7425" width="14.125" style="395" customWidth="1"/>
    <col min="7426" max="7680" width="9" style="395"/>
    <col min="7681" max="7681" width="14.125" style="395" customWidth="1"/>
    <col min="7682" max="7936" width="9" style="395"/>
    <col min="7937" max="7937" width="14.125" style="395" customWidth="1"/>
    <col min="7938" max="8192" width="9" style="395"/>
    <col min="8193" max="8193" width="14.125" style="395" customWidth="1"/>
    <col min="8194" max="8448" width="9" style="395"/>
    <col min="8449" max="8449" width="14.125" style="395" customWidth="1"/>
    <col min="8450" max="8704" width="9" style="395"/>
    <col min="8705" max="8705" width="14.125" style="395" customWidth="1"/>
    <col min="8706" max="8960" width="9" style="395"/>
    <col min="8961" max="8961" width="14.125" style="395" customWidth="1"/>
    <col min="8962" max="9216" width="9" style="395"/>
    <col min="9217" max="9217" width="14.125" style="395" customWidth="1"/>
    <col min="9218" max="9472" width="9" style="395"/>
    <col min="9473" max="9473" width="14.125" style="395" customWidth="1"/>
    <col min="9474" max="9728" width="9" style="395"/>
    <col min="9729" max="9729" width="14.125" style="395" customWidth="1"/>
    <col min="9730" max="9984" width="9" style="395"/>
    <col min="9985" max="9985" width="14.125" style="395" customWidth="1"/>
    <col min="9986" max="10240" width="9" style="395"/>
    <col min="10241" max="10241" width="14.125" style="395" customWidth="1"/>
    <col min="10242" max="10496" width="9" style="395"/>
    <col min="10497" max="10497" width="14.125" style="395" customWidth="1"/>
    <col min="10498" max="10752" width="9" style="395"/>
    <col min="10753" max="10753" width="14.125" style="395" customWidth="1"/>
    <col min="10754" max="11008" width="9" style="395"/>
    <col min="11009" max="11009" width="14.125" style="395" customWidth="1"/>
    <col min="11010" max="11264" width="9" style="395"/>
    <col min="11265" max="11265" width="14.125" style="395" customWidth="1"/>
    <col min="11266" max="11520" width="9" style="395"/>
    <col min="11521" max="11521" width="14.125" style="395" customWidth="1"/>
    <col min="11522" max="11776" width="9" style="395"/>
    <col min="11777" max="11777" width="14.125" style="395" customWidth="1"/>
    <col min="11778" max="12032" width="9" style="395"/>
    <col min="12033" max="12033" width="14.125" style="395" customWidth="1"/>
    <col min="12034" max="12288" width="9" style="395"/>
    <col min="12289" max="12289" width="14.125" style="395" customWidth="1"/>
    <col min="12290" max="12544" width="9" style="395"/>
    <col min="12545" max="12545" width="14.125" style="395" customWidth="1"/>
    <col min="12546" max="12800" width="9" style="395"/>
    <col min="12801" max="12801" width="14.125" style="395" customWidth="1"/>
    <col min="12802" max="13056" width="9" style="395"/>
    <col min="13057" max="13057" width="14.125" style="395" customWidth="1"/>
    <col min="13058" max="13312" width="9" style="395"/>
    <col min="13313" max="13313" width="14.125" style="395" customWidth="1"/>
    <col min="13314" max="13568" width="9" style="395"/>
    <col min="13569" max="13569" width="14.125" style="395" customWidth="1"/>
    <col min="13570" max="13824" width="9" style="395"/>
    <col min="13825" max="13825" width="14.125" style="395" customWidth="1"/>
    <col min="13826" max="14080" width="9" style="395"/>
    <col min="14081" max="14081" width="14.125" style="395" customWidth="1"/>
    <col min="14082" max="14336" width="9" style="395"/>
    <col min="14337" max="14337" width="14.125" style="395" customWidth="1"/>
    <col min="14338" max="14592" width="9" style="395"/>
    <col min="14593" max="14593" width="14.125" style="395" customWidth="1"/>
    <col min="14594" max="14848" width="9" style="395"/>
    <col min="14849" max="14849" width="14.125" style="395" customWidth="1"/>
    <col min="14850" max="15104" width="9" style="395"/>
    <col min="15105" max="15105" width="14.125" style="395" customWidth="1"/>
    <col min="15106" max="15360" width="9" style="395"/>
    <col min="15361" max="15361" width="14.125" style="395" customWidth="1"/>
    <col min="15362" max="15616" width="9" style="395"/>
    <col min="15617" max="15617" width="14.125" style="395" customWidth="1"/>
    <col min="15618" max="15872" width="9" style="395"/>
    <col min="15873" max="15873" width="14.125" style="395" customWidth="1"/>
    <col min="15874" max="16128" width="9" style="395"/>
    <col min="16129" max="16129" width="14.125" style="395" customWidth="1"/>
    <col min="16130" max="16384" width="9" style="395"/>
  </cols>
  <sheetData>
    <row r="1" spans="1:14" ht="14.25" thickBot="1" x14ac:dyDescent="0.2"/>
    <row r="2" spans="1:14" x14ac:dyDescent="0.15">
      <c r="A2" s="397" t="s">
        <v>288</v>
      </c>
      <c r="B2" s="398" t="s">
        <v>9</v>
      </c>
      <c r="C2" s="399" t="s">
        <v>289</v>
      </c>
      <c r="D2" s="1135" t="s">
        <v>290</v>
      </c>
      <c r="E2" s="1136"/>
      <c r="F2" s="1137"/>
      <c r="G2" s="1135" t="s">
        <v>291</v>
      </c>
      <c r="H2" s="1136"/>
      <c r="I2" s="1137"/>
      <c r="J2" s="400" t="s">
        <v>292</v>
      </c>
      <c r="K2" s="398" t="s">
        <v>293</v>
      </c>
      <c r="L2" s="401" t="s">
        <v>26</v>
      </c>
      <c r="N2" s="402" t="s">
        <v>294</v>
      </c>
    </row>
    <row r="3" spans="1:14" x14ac:dyDescent="0.15">
      <c r="A3" s="403"/>
      <c r="B3" s="404"/>
      <c r="C3" s="405"/>
      <c r="D3" s="406" t="s">
        <v>295</v>
      </c>
      <c r="E3" s="404" t="s">
        <v>296</v>
      </c>
      <c r="F3" s="407" t="s">
        <v>297</v>
      </c>
      <c r="G3" s="406" t="s">
        <v>295</v>
      </c>
      <c r="H3" s="404" t="s">
        <v>296</v>
      </c>
      <c r="I3" s="407" t="s">
        <v>297</v>
      </c>
      <c r="J3" s="408"/>
      <c r="K3" s="404"/>
      <c r="L3" s="407"/>
    </row>
    <row r="4" spans="1:14" x14ac:dyDescent="0.15">
      <c r="A4" s="409" t="s">
        <v>298</v>
      </c>
      <c r="B4" s="404" t="s">
        <v>299</v>
      </c>
      <c r="C4" s="410">
        <v>3000</v>
      </c>
      <c r="D4" s="409"/>
      <c r="E4" s="411"/>
      <c r="F4" s="412"/>
      <c r="G4" s="413"/>
      <c r="H4" s="414"/>
      <c r="I4" s="415"/>
      <c r="J4" s="416">
        <v>2000</v>
      </c>
      <c r="K4" s="411">
        <f>ROUNDDOWN(N4*1.1,-1)</f>
        <v>44320</v>
      </c>
      <c r="L4" s="417">
        <f>+K4/J4*C4</f>
        <v>66480</v>
      </c>
      <c r="N4" s="395">
        <v>40299</v>
      </c>
    </row>
    <row r="5" spans="1:14" x14ac:dyDescent="0.15">
      <c r="A5" s="409" t="s">
        <v>300</v>
      </c>
      <c r="B5" s="404" t="s">
        <v>301</v>
      </c>
      <c r="C5" s="418">
        <v>15</v>
      </c>
      <c r="D5" s="409">
        <v>16</v>
      </c>
      <c r="E5" s="411">
        <v>10</v>
      </c>
      <c r="F5" s="412">
        <v>14</v>
      </c>
      <c r="G5" s="413">
        <f t="shared" ref="G5:G11" si="0">+C5*D5/100</f>
        <v>2.4</v>
      </c>
      <c r="H5" s="414">
        <f t="shared" ref="H5:H11" si="1">+C5*E5/100</f>
        <v>1.5</v>
      </c>
      <c r="I5" s="415">
        <f t="shared" ref="I5:I11" si="2">+C5*F5/100</f>
        <v>2.1</v>
      </c>
      <c r="J5" s="416">
        <v>20</v>
      </c>
      <c r="K5" s="411">
        <f t="shared" ref="K5:K11" si="3">ROUNDDOWN(N5*1.1,-1)</f>
        <v>3200</v>
      </c>
      <c r="L5" s="417">
        <f>+K5/J5*C5</f>
        <v>2400</v>
      </c>
      <c r="N5" s="395">
        <v>2916</v>
      </c>
    </row>
    <row r="6" spans="1:14" x14ac:dyDescent="0.15">
      <c r="A6" s="409" t="s">
        <v>302</v>
      </c>
      <c r="B6" s="404" t="s">
        <v>301</v>
      </c>
      <c r="C6" s="418">
        <v>40</v>
      </c>
      <c r="D6" s="409">
        <v>9</v>
      </c>
      <c r="E6" s="411">
        <v>12</v>
      </c>
      <c r="F6" s="412">
        <v>10</v>
      </c>
      <c r="G6" s="413">
        <f t="shared" si="0"/>
        <v>3.6</v>
      </c>
      <c r="H6" s="414">
        <f t="shared" si="1"/>
        <v>4.8</v>
      </c>
      <c r="I6" s="415">
        <f t="shared" si="2"/>
        <v>4</v>
      </c>
      <c r="J6" s="416">
        <v>20</v>
      </c>
      <c r="K6" s="411">
        <f t="shared" si="3"/>
        <v>2880</v>
      </c>
      <c r="L6" s="417">
        <f t="shared" ref="L6:L11" si="4">+K6/J6*C6</f>
        <v>5760</v>
      </c>
      <c r="N6" s="395">
        <v>2623</v>
      </c>
    </row>
    <row r="7" spans="1:14" x14ac:dyDescent="0.15">
      <c r="A7" s="409" t="s">
        <v>303</v>
      </c>
      <c r="B7" s="404" t="s">
        <v>301</v>
      </c>
      <c r="C7" s="418">
        <v>40</v>
      </c>
      <c r="D7" s="409"/>
      <c r="E7" s="411"/>
      <c r="F7" s="412"/>
      <c r="G7" s="413">
        <f t="shared" si="0"/>
        <v>0</v>
      </c>
      <c r="H7" s="414">
        <f t="shared" si="1"/>
        <v>0</v>
      </c>
      <c r="I7" s="415">
        <f t="shared" si="2"/>
        <v>0</v>
      </c>
      <c r="J7" s="416">
        <v>20</v>
      </c>
      <c r="K7" s="411">
        <f t="shared" si="3"/>
        <v>860</v>
      </c>
      <c r="L7" s="417">
        <f t="shared" si="4"/>
        <v>1720</v>
      </c>
      <c r="N7" s="395">
        <v>787</v>
      </c>
    </row>
    <row r="8" spans="1:14" x14ac:dyDescent="0.15">
      <c r="A8" s="409" t="s">
        <v>304</v>
      </c>
      <c r="B8" s="404" t="s">
        <v>301</v>
      </c>
      <c r="C8" s="418">
        <v>4</v>
      </c>
      <c r="D8" s="409"/>
      <c r="E8" s="411"/>
      <c r="F8" s="412"/>
      <c r="G8" s="413">
        <f t="shared" si="0"/>
        <v>0</v>
      </c>
      <c r="H8" s="414">
        <f t="shared" si="1"/>
        <v>0</v>
      </c>
      <c r="I8" s="415">
        <f t="shared" si="2"/>
        <v>0</v>
      </c>
      <c r="J8" s="416">
        <v>2</v>
      </c>
      <c r="K8" s="411">
        <f t="shared" si="3"/>
        <v>730</v>
      </c>
      <c r="L8" s="417">
        <f t="shared" si="4"/>
        <v>1460</v>
      </c>
      <c r="N8" s="395">
        <v>669</v>
      </c>
    </row>
    <row r="9" spans="1:14" x14ac:dyDescent="0.15">
      <c r="A9" s="419" t="s">
        <v>305</v>
      </c>
      <c r="B9" s="404" t="s">
        <v>301</v>
      </c>
      <c r="C9" s="418">
        <v>30</v>
      </c>
      <c r="D9" s="419"/>
      <c r="E9" s="420"/>
      <c r="F9" s="421"/>
      <c r="G9" s="413">
        <f t="shared" si="0"/>
        <v>0</v>
      </c>
      <c r="H9" s="414">
        <f t="shared" si="1"/>
        <v>0</v>
      </c>
      <c r="I9" s="415">
        <f t="shared" si="2"/>
        <v>0</v>
      </c>
      <c r="J9" s="422">
        <v>15</v>
      </c>
      <c r="K9" s="420">
        <f t="shared" si="3"/>
        <v>4410</v>
      </c>
      <c r="L9" s="417">
        <f t="shared" si="4"/>
        <v>8820</v>
      </c>
      <c r="N9" s="395">
        <v>4017</v>
      </c>
    </row>
    <row r="10" spans="1:14" x14ac:dyDescent="0.15">
      <c r="A10" s="419" t="s">
        <v>306</v>
      </c>
      <c r="B10" s="404" t="s">
        <v>301</v>
      </c>
      <c r="C10" s="418">
        <v>30</v>
      </c>
      <c r="D10" s="419"/>
      <c r="E10" s="420"/>
      <c r="F10" s="421"/>
      <c r="G10" s="413">
        <f t="shared" si="0"/>
        <v>0</v>
      </c>
      <c r="H10" s="414">
        <f t="shared" si="1"/>
        <v>0</v>
      </c>
      <c r="I10" s="415">
        <f t="shared" si="2"/>
        <v>0</v>
      </c>
      <c r="J10" s="422">
        <v>15</v>
      </c>
      <c r="K10" s="420">
        <f t="shared" si="3"/>
        <v>4930</v>
      </c>
      <c r="L10" s="417">
        <f t="shared" si="4"/>
        <v>9860</v>
      </c>
      <c r="N10" s="395">
        <v>4485</v>
      </c>
    </row>
    <row r="11" spans="1:14" ht="14.25" thickBot="1" x14ac:dyDescent="0.2">
      <c r="A11" s="423" t="s">
        <v>307</v>
      </c>
      <c r="B11" s="424" t="s">
        <v>301</v>
      </c>
      <c r="C11" s="425">
        <v>1.2</v>
      </c>
      <c r="D11" s="423">
        <v>7</v>
      </c>
      <c r="E11" s="426">
        <v>5</v>
      </c>
      <c r="F11" s="427">
        <v>3</v>
      </c>
      <c r="G11" s="428">
        <f t="shared" si="0"/>
        <v>8.4000000000000005E-2</v>
      </c>
      <c r="H11" s="429">
        <f t="shared" si="1"/>
        <v>0.06</v>
      </c>
      <c r="I11" s="430">
        <f t="shared" si="2"/>
        <v>3.5999999999999997E-2</v>
      </c>
      <c r="J11" s="431">
        <v>6</v>
      </c>
      <c r="K11" s="426">
        <f t="shared" si="3"/>
        <v>8250</v>
      </c>
      <c r="L11" s="432">
        <f t="shared" si="4"/>
        <v>1650</v>
      </c>
      <c r="N11" s="395">
        <v>7509</v>
      </c>
    </row>
    <row r="12" spans="1:14" ht="14.25" thickBot="1" x14ac:dyDescent="0.2">
      <c r="A12" s="433" t="s">
        <v>24</v>
      </c>
      <c r="B12" s="434"/>
      <c r="C12" s="435"/>
      <c r="D12" s="433"/>
      <c r="E12" s="434"/>
      <c r="F12" s="436"/>
      <c r="G12" s="437">
        <f>SUM(G5:G11)</f>
        <v>6.0839999999999996</v>
      </c>
      <c r="H12" s="438">
        <f>SUM(H5:H11)</f>
        <v>6.3599999999999994</v>
      </c>
      <c r="I12" s="439">
        <f>SUM(I5:I11)</f>
        <v>6.1359999999999992</v>
      </c>
      <c r="J12" s="440"/>
      <c r="K12" s="434"/>
      <c r="L12" s="441">
        <f>SUM(L4:L11)</f>
        <v>98150</v>
      </c>
    </row>
  </sheetData>
  <mergeCells count="2">
    <mergeCell ref="D2:F2"/>
    <mergeCell ref="G2:I2"/>
  </mergeCells>
  <phoneticPr fontId="5"/>
  <pageMargins left="0.7" right="0.7" top="0.75" bottom="0.75" header="0.3" footer="0.3"/>
  <legacy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workbookViewId="0"/>
  </sheetViews>
  <sheetFormatPr defaultRowHeight="13.5" x14ac:dyDescent="0.15"/>
  <cols>
    <col min="1" max="1" width="9" style="395"/>
    <col min="2" max="2" width="24.25" style="395" customWidth="1"/>
    <col min="3" max="257" width="9" style="395"/>
    <col min="258" max="258" width="24.25" style="395" customWidth="1"/>
    <col min="259" max="513" width="9" style="395"/>
    <col min="514" max="514" width="24.25" style="395" customWidth="1"/>
    <col min="515" max="769" width="9" style="395"/>
    <col min="770" max="770" width="24.25" style="395" customWidth="1"/>
    <col min="771" max="1025" width="9" style="395"/>
    <col min="1026" max="1026" width="24.25" style="395" customWidth="1"/>
    <col min="1027" max="1281" width="9" style="395"/>
    <col min="1282" max="1282" width="24.25" style="395" customWidth="1"/>
    <col min="1283" max="1537" width="9" style="395"/>
    <col min="1538" max="1538" width="24.25" style="395" customWidth="1"/>
    <col min="1539" max="1793" width="9" style="395"/>
    <col min="1794" max="1794" width="24.25" style="395" customWidth="1"/>
    <col min="1795" max="2049" width="9" style="395"/>
    <col min="2050" max="2050" width="24.25" style="395" customWidth="1"/>
    <col min="2051" max="2305" width="9" style="395"/>
    <col min="2306" max="2306" width="24.25" style="395" customWidth="1"/>
    <col min="2307" max="2561" width="9" style="395"/>
    <col min="2562" max="2562" width="24.25" style="395" customWidth="1"/>
    <col min="2563" max="2817" width="9" style="395"/>
    <col min="2818" max="2818" width="24.25" style="395" customWidth="1"/>
    <col min="2819" max="3073" width="9" style="395"/>
    <col min="3074" max="3074" width="24.25" style="395" customWidth="1"/>
    <col min="3075" max="3329" width="9" style="395"/>
    <col min="3330" max="3330" width="24.25" style="395" customWidth="1"/>
    <col min="3331" max="3585" width="9" style="395"/>
    <col min="3586" max="3586" width="24.25" style="395" customWidth="1"/>
    <col min="3587" max="3841" width="9" style="395"/>
    <col min="3842" max="3842" width="24.25" style="395" customWidth="1"/>
    <col min="3843" max="4097" width="9" style="395"/>
    <col min="4098" max="4098" width="24.25" style="395" customWidth="1"/>
    <col min="4099" max="4353" width="9" style="395"/>
    <col min="4354" max="4354" width="24.25" style="395" customWidth="1"/>
    <col min="4355" max="4609" width="9" style="395"/>
    <col min="4610" max="4610" width="24.25" style="395" customWidth="1"/>
    <col min="4611" max="4865" width="9" style="395"/>
    <col min="4866" max="4866" width="24.25" style="395" customWidth="1"/>
    <col min="4867" max="5121" width="9" style="395"/>
    <col min="5122" max="5122" width="24.25" style="395" customWidth="1"/>
    <col min="5123" max="5377" width="9" style="395"/>
    <col min="5378" max="5378" width="24.25" style="395" customWidth="1"/>
    <col min="5379" max="5633" width="9" style="395"/>
    <col min="5634" max="5634" width="24.25" style="395" customWidth="1"/>
    <col min="5635" max="5889" width="9" style="395"/>
    <col min="5890" max="5890" width="24.25" style="395" customWidth="1"/>
    <col min="5891" max="6145" width="9" style="395"/>
    <col min="6146" max="6146" width="24.25" style="395" customWidth="1"/>
    <col min="6147" max="6401" width="9" style="395"/>
    <col min="6402" max="6402" width="24.25" style="395" customWidth="1"/>
    <col min="6403" max="6657" width="9" style="395"/>
    <col min="6658" max="6658" width="24.25" style="395" customWidth="1"/>
    <col min="6659" max="6913" width="9" style="395"/>
    <col min="6914" max="6914" width="24.25" style="395" customWidth="1"/>
    <col min="6915" max="7169" width="9" style="395"/>
    <col min="7170" max="7170" width="24.25" style="395" customWidth="1"/>
    <col min="7171" max="7425" width="9" style="395"/>
    <col min="7426" max="7426" width="24.25" style="395" customWidth="1"/>
    <col min="7427" max="7681" width="9" style="395"/>
    <col min="7682" max="7682" width="24.25" style="395" customWidth="1"/>
    <col min="7683" max="7937" width="9" style="395"/>
    <col min="7938" max="7938" width="24.25" style="395" customWidth="1"/>
    <col min="7939" max="8193" width="9" style="395"/>
    <col min="8194" max="8194" width="24.25" style="395" customWidth="1"/>
    <col min="8195" max="8449" width="9" style="395"/>
    <col min="8450" max="8450" width="24.25" style="395" customWidth="1"/>
    <col min="8451" max="8705" width="9" style="395"/>
    <col min="8706" max="8706" width="24.25" style="395" customWidth="1"/>
    <col min="8707" max="8961" width="9" style="395"/>
    <col min="8962" max="8962" width="24.25" style="395" customWidth="1"/>
    <col min="8963" max="9217" width="9" style="395"/>
    <col min="9218" max="9218" width="24.25" style="395" customWidth="1"/>
    <col min="9219" max="9473" width="9" style="395"/>
    <col min="9474" max="9474" width="24.25" style="395" customWidth="1"/>
    <col min="9475" max="9729" width="9" style="395"/>
    <col min="9730" max="9730" width="24.25" style="395" customWidth="1"/>
    <col min="9731" max="9985" width="9" style="395"/>
    <col min="9986" max="9986" width="24.25" style="395" customWidth="1"/>
    <col min="9987" max="10241" width="9" style="395"/>
    <col min="10242" max="10242" width="24.25" style="395" customWidth="1"/>
    <col min="10243" max="10497" width="9" style="395"/>
    <col min="10498" max="10498" width="24.25" style="395" customWidth="1"/>
    <col min="10499" max="10753" width="9" style="395"/>
    <col min="10754" max="10754" width="24.25" style="395" customWidth="1"/>
    <col min="10755" max="11009" width="9" style="395"/>
    <col min="11010" max="11010" width="24.25" style="395" customWidth="1"/>
    <col min="11011" max="11265" width="9" style="395"/>
    <col min="11266" max="11266" width="24.25" style="395" customWidth="1"/>
    <col min="11267" max="11521" width="9" style="395"/>
    <col min="11522" max="11522" width="24.25" style="395" customWidth="1"/>
    <col min="11523" max="11777" width="9" style="395"/>
    <col min="11778" max="11778" width="24.25" style="395" customWidth="1"/>
    <col min="11779" max="12033" width="9" style="395"/>
    <col min="12034" max="12034" width="24.25" style="395" customWidth="1"/>
    <col min="12035" max="12289" width="9" style="395"/>
    <col min="12290" max="12290" width="24.25" style="395" customWidth="1"/>
    <col min="12291" max="12545" width="9" style="395"/>
    <col min="12546" max="12546" width="24.25" style="395" customWidth="1"/>
    <col min="12547" max="12801" width="9" style="395"/>
    <col min="12802" max="12802" width="24.25" style="395" customWidth="1"/>
    <col min="12803" max="13057" width="9" style="395"/>
    <col min="13058" max="13058" width="24.25" style="395" customWidth="1"/>
    <col min="13059" max="13313" width="9" style="395"/>
    <col min="13314" max="13314" width="24.25" style="395" customWidth="1"/>
    <col min="13315" max="13569" width="9" style="395"/>
    <col min="13570" max="13570" width="24.25" style="395" customWidth="1"/>
    <col min="13571" max="13825" width="9" style="395"/>
    <col min="13826" max="13826" width="24.25" style="395" customWidth="1"/>
    <col min="13827" max="14081" width="9" style="395"/>
    <col min="14082" max="14082" width="24.25" style="395" customWidth="1"/>
    <col min="14083" max="14337" width="9" style="395"/>
    <col min="14338" max="14338" width="24.25" style="395" customWidth="1"/>
    <col min="14339" max="14593" width="9" style="395"/>
    <col min="14594" max="14594" width="24.25" style="395" customWidth="1"/>
    <col min="14595" max="14849" width="9" style="395"/>
    <col min="14850" max="14850" width="24.25" style="395" customWidth="1"/>
    <col min="14851" max="15105" width="9" style="395"/>
    <col min="15106" max="15106" width="24.25" style="395" customWidth="1"/>
    <col min="15107" max="15361" width="9" style="395"/>
    <col min="15362" max="15362" width="24.25" style="395" customWidth="1"/>
    <col min="15363" max="15617" width="9" style="395"/>
    <col min="15618" max="15618" width="24.25" style="395" customWidth="1"/>
    <col min="15619" max="15873" width="9" style="395"/>
    <col min="15874" max="15874" width="24.25" style="395" customWidth="1"/>
    <col min="15875" max="16129" width="9" style="395"/>
    <col min="16130" max="16130" width="24.25" style="395" customWidth="1"/>
    <col min="16131" max="16384" width="9" style="395"/>
  </cols>
  <sheetData>
    <row r="1" spans="1:12" ht="14.25" thickBot="1" x14ac:dyDescent="0.2"/>
    <row r="2" spans="1:12" ht="14.25" thickBot="1" x14ac:dyDescent="0.2">
      <c r="A2" s="442"/>
      <c r="B2" s="443" t="s">
        <v>133</v>
      </c>
      <c r="C2" s="444" t="s">
        <v>308</v>
      </c>
      <c r="D2" s="444" t="s">
        <v>309</v>
      </c>
      <c r="E2" s="444" t="s">
        <v>310</v>
      </c>
      <c r="F2" s="444" t="s">
        <v>311</v>
      </c>
      <c r="G2" s="443" t="s">
        <v>134</v>
      </c>
      <c r="H2" s="445" t="s">
        <v>135</v>
      </c>
      <c r="I2" s="446" t="s">
        <v>136</v>
      </c>
      <c r="K2" s="447" t="s">
        <v>294</v>
      </c>
      <c r="L2" s="447"/>
    </row>
    <row r="3" spans="1:12" x14ac:dyDescent="0.15">
      <c r="A3" s="1138" t="s">
        <v>312</v>
      </c>
      <c r="B3" s="448" t="s">
        <v>313</v>
      </c>
      <c r="C3" s="449">
        <v>500</v>
      </c>
      <c r="D3" s="449">
        <v>200</v>
      </c>
      <c r="E3" s="449">
        <v>500</v>
      </c>
      <c r="F3" s="450">
        <f>ROUNDDOWN(K3*1.1,-1)</f>
        <v>3660</v>
      </c>
      <c r="G3" s="451">
        <f>+D3/C3*1000</f>
        <v>400</v>
      </c>
      <c r="H3" s="449" t="s">
        <v>314</v>
      </c>
      <c r="I3" s="452">
        <f>+F3/E3*G3</f>
        <v>2928</v>
      </c>
      <c r="K3" s="395">
        <v>3335</v>
      </c>
    </row>
    <row r="4" spans="1:12" x14ac:dyDescent="0.15">
      <c r="A4" s="1139"/>
      <c r="B4" s="448" t="s">
        <v>315</v>
      </c>
      <c r="C4" s="449">
        <v>800</v>
      </c>
      <c r="D4" s="449">
        <v>300</v>
      </c>
      <c r="E4" s="453">
        <v>500</v>
      </c>
      <c r="F4" s="454">
        <f t="shared" ref="F4:F10" si="0">ROUNDDOWN(K4*1.1,-1)</f>
        <v>1840</v>
      </c>
      <c r="G4" s="455">
        <f t="shared" ref="G4:G9" si="1">+D4/C4*1000</f>
        <v>375</v>
      </c>
      <c r="H4" s="449" t="s">
        <v>314</v>
      </c>
      <c r="I4" s="452">
        <f t="shared" ref="I4:I10" si="2">+F4/E4*G4</f>
        <v>1380</v>
      </c>
      <c r="K4" s="395">
        <v>1678</v>
      </c>
    </row>
    <row r="5" spans="1:12" x14ac:dyDescent="0.15">
      <c r="A5" s="1139"/>
      <c r="B5" s="456" t="s">
        <v>316</v>
      </c>
      <c r="C5" s="449">
        <v>1500</v>
      </c>
      <c r="D5" s="449">
        <v>300</v>
      </c>
      <c r="E5" s="449">
        <v>500</v>
      </c>
      <c r="F5" s="450">
        <f t="shared" si="0"/>
        <v>6260</v>
      </c>
      <c r="G5" s="451">
        <f>+D5/C5*1000</f>
        <v>200</v>
      </c>
      <c r="H5" s="449" t="s">
        <v>314</v>
      </c>
      <c r="I5" s="452">
        <f t="shared" si="2"/>
        <v>2504</v>
      </c>
      <c r="K5" s="395">
        <v>5693</v>
      </c>
    </row>
    <row r="6" spans="1:12" x14ac:dyDescent="0.15">
      <c r="A6" s="1139"/>
      <c r="B6" s="448" t="s">
        <v>317</v>
      </c>
      <c r="C6" s="449">
        <v>2000</v>
      </c>
      <c r="D6" s="449">
        <v>300</v>
      </c>
      <c r="E6" s="449">
        <v>500</v>
      </c>
      <c r="F6" s="450">
        <f t="shared" si="0"/>
        <v>3690</v>
      </c>
      <c r="G6" s="451">
        <f t="shared" si="1"/>
        <v>150</v>
      </c>
      <c r="H6" s="449" t="s">
        <v>314</v>
      </c>
      <c r="I6" s="452">
        <f t="shared" si="2"/>
        <v>1107</v>
      </c>
      <c r="K6" s="395">
        <v>3360</v>
      </c>
    </row>
    <row r="7" spans="1:12" x14ac:dyDescent="0.15">
      <c r="A7" s="1139"/>
      <c r="B7" s="456" t="s">
        <v>318</v>
      </c>
      <c r="C7" s="449">
        <v>2000</v>
      </c>
      <c r="D7" s="449">
        <v>300</v>
      </c>
      <c r="E7" s="449">
        <v>500</v>
      </c>
      <c r="F7" s="450">
        <f t="shared" si="0"/>
        <v>4570</v>
      </c>
      <c r="G7" s="451">
        <f t="shared" si="1"/>
        <v>150</v>
      </c>
      <c r="H7" s="449" t="s">
        <v>314</v>
      </c>
      <c r="I7" s="452">
        <f t="shared" si="2"/>
        <v>1371</v>
      </c>
      <c r="K7" s="395">
        <v>4155</v>
      </c>
    </row>
    <row r="8" spans="1:12" x14ac:dyDescent="0.15">
      <c r="A8" s="1139"/>
      <c r="B8" s="456" t="s">
        <v>319</v>
      </c>
      <c r="C8" s="449">
        <v>3000</v>
      </c>
      <c r="D8" s="449">
        <v>300</v>
      </c>
      <c r="E8" s="449">
        <v>500</v>
      </c>
      <c r="F8" s="450">
        <f t="shared" si="0"/>
        <v>6350</v>
      </c>
      <c r="G8" s="451">
        <f t="shared" si="1"/>
        <v>100</v>
      </c>
      <c r="H8" s="449" t="s">
        <v>314</v>
      </c>
      <c r="I8" s="452">
        <f t="shared" si="2"/>
        <v>1270</v>
      </c>
      <c r="K8" s="395">
        <v>5775</v>
      </c>
    </row>
    <row r="9" spans="1:12" x14ac:dyDescent="0.15">
      <c r="A9" s="1139"/>
      <c r="B9" s="456" t="s">
        <v>320</v>
      </c>
      <c r="C9" s="449">
        <v>3000</v>
      </c>
      <c r="D9" s="449">
        <v>300</v>
      </c>
      <c r="E9" s="449">
        <v>500</v>
      </c>
      <c r="F9" s="450">
        <f t="shared" si="0"/>
        <v>8080</v>
      </c>
      <c r="G9" s="451">
        <f t="shared" si="1"/>
        <v>100</v>
      </c>
      <c r="H9" s="449" t="s">
        <v>314</v>
      </c>
      <c r="I9" s="452">
        <f t="shared" si="2"/>
        <v>1616</v>
      </c>
      <c r="K9" s="395">
        <v>7354</v>
      </c>
    </row>
    <row r="10" spans="1:12" x14ac:dyDescent="0.15">
      <c r="A10" s="1139"/>
      <c r="B10" s="456" t="s">
        <v>321</v>
      </c>
      <c r="C10" s="449">
        <v>50</v>
      </c>
      <c r="D10" s="449">
        <v>400</v>
      </c>
      <c r="E10" s="449">
        <v>20000</v>
      </c>
      <c r="F10" s="450">
        <f t="shared" si="0"/>
        <v>5970</v>
      </c>
      <c r="G10" s="451">
        <f>+D10/C10*1000</f>
        <v>8000</v>
      </c>
      <c r="H10" s="449" t="s">
        <v>314</v>
      </c>
      <c r="I10" s="452">
        <f t="shared" si="2"/>
        <v>2388</v>
      </c>
      <c r="K10" s="395">
        <v>5436</v>
      </c>
    </row>
    <row r="11" spans="1:12" ht="14.25" thickBot="1" x14ac:dyDescent="0.2">
      <c r="A11" s="1140"/>
      <c r="B11" s="457" t="s">
        <v>322</v>
      </c>
      <c r="C11" s="457"/>
      <c r="D11" s="457"/>
      <c r="E11" s="457"/>
      <c r="F11" s="457"/>
      <c r="G11" s="458"/>
      <c r="H11" s="458"/>
      <c r="I11" s="459">
        <f>SUM(I3:I10)</f>
        <v>14564</v>
      </c>
    </row>
    <row r="12" spans="1:12" ht="14.25" thickTop="1" x14ac:dyDescent="0.15">
      <c r="A12" s="1141" t="s">
        <v>323</v>
      </c>
      <c r="B12" s="456" t="s">
        <v>324</v>
      </c>
      <c r="C12" s="449">
        <v>10</v>
      </c>
      <c r="D12" s="449">
        <v>200</v>
      </c>
      <c r="E12" s="449">
        <v>18000</v>
      </c>
      <c r="F12" s="450">
        <f>ROUNDDOWN(K12*1.1,-1)</f>
        <v>2560</v>
      </c>
      <c r="G12" s="451">
        <f>+D12/C12*1000</f>
        <v>20000</v>
      </c>
      <c r="H12" s="449" t="s">
        <v>314</v>
      </c>
      <c r="I12" s="452">
        <f>+F12/E12*G12</f>
        <v>2844.4444444444443</v>
      </c>
      <c r="K12" s="395">
        <v>2329</v>
      </c>
    </row>
    <row r="13" spans="1:12" x14ac:dyDescent="0.15">
      <c r="A13" s="1139"/>
      <c r="B13" s="448" t="s">
        <v>325</v>
      </c>
      <c r="C13" s="449">
        <v>1500</v>
      </c>
      <c r="D13" s="449">
        <v>300</v>
      </c>
      <c r="E13" s="460">
        <v>500</v>
      </c>
      <c r="F13" s="461">
        <f t="shared" ref="F13:F20" si="3">ROUNDDOWN(K13*1.1,-1)</f>
        <v>2380</v>
      </c>
      <c r="G13" s="451">
        <f t="shared" ref="G13:G16" si="4">+D13/C13*1000</f>
        <v>200</v>
      </c>
      <c r="H13" s="449" t="s">
        <v>314</v>
      </c>
      <c r="I13" s="452">
        <f t="shared" ref="I13:I18" si="5">+F13/E13*G13</f>
        <v>952</v>
      </c>
      <c r="K13" s="395">
        <v>2167</v>
      </c>
    </row>
    <row r="14" spans="1:12" x14ac:dyDescent="0.15">
      <c r="A14" s="1139"/>
      <c r="B14" s="448" t="s">
        <v>326</v>
      </c>
      <c r="C14" s="449">
        <v>4000</v>
      </c>
      <c r="D14" s="449">
        <v>300</v>
      </c>
      <c r="E14" s="449">
        <v>500</v>
      </c>
      <c r="F14" s="450">
        <f t="shared" si="3"/>
        <v>8340</v>
      </c>
      <c r="G14" s="451">
        <f t="shared" si="4"/>
        <v>75</v>
      </c>
      <c r="H14" s="449" t="s">
        <v>314</v>
      </c>
      <c r="I14" s="452">
        <f>+F14/E14*G14</f>
        <v>1251</v>
      </c>
      <c r="K14" s="395">
        <v>7590</v>
      </c>
    </row>
    <row r="15" spans="1:12" x14ac:dyDescent="0.15">
      <c r="A15" s="1139"/>
      <c r="B15" s="462" t="s">
        <v>327</v>
      </c>
      <c r="C15" s="460">
        <v>2000</v>
      </c>
      <c r="D15" s="449">
        <v>300</v>
      </c>
      <c r="E15" s="460">
        <v>500</v>
      </c>
      <c r="F15" s="461">
        <f t="shared" si="3"/>
        <v>3180</v>
      </c>
      <c r="G15" s="463">
        <f t="shared" si="4"/>
        <v>150</v>
      </c>
      <c r="H15" s="460" t="s">
        <v>314</v>
      </c>
      <c r="I15" s="464">
        <f t="shared" si="5"/>
        <v>954</v>
      </c>
      <c r="K15" s="395">
        <v>2896</v>
      </c>
    </row>
    <row r="16" spans="1:12" x14ac:dyDescent="0.15">
      <c r="A16" s="1139"/>
      <c r="B16" s="465" t="s">
        <v>328</v>
      </c>
      <c r="C16" s="460">
        <v>1500</v>
      </c>
      <c r="D16" s="449">
        <v>300</v>
      </c>
      <c r="E16" s="460">
        <v>500</v>
      </c>
      <c r="F16" s="461">
        <f t="shared" si="3"/>
        <v>4900</v>
      </c>
      <c r="G16" s="463">
        <f t="shared" si="4"/>
        <v>200</v>
      </c>
      <c r="H16" s="460" t="s">
        <v>314</v>
      </c>
      <c r="I16" s="464">
        <f t="shared" si="5"/>
        <v>1960.0000000000002</v>
      </c>
      <c r="K16" s="395">
        <v>4462</v>
      </c>
    </row>
    <row r="17" spans="1:11" x14ac:dyDescent="0.15">
      <c r="A17" s="1139"/>
      <c r="B17" s="466" t="s">
        <v>329</v>
      </c>
      <c r="C17" s="460">
        <v>1500</v>
      </c>
      <c r="D17" s="460">
        <v>300</v>
      </c>
      <c r="E17" s="460">
        <v>500</v>
      </c>
      <c r="F17" s="461">
        <f t="shared" si="3"/>
        <v>3300</v>
      </c>
      <c r="G17" s="463">
        <f>+D17/C17*1000</f>
        <v>200</v>
      </c>
      <c r="H17" s="460" t="s">
        <v>314</v>
      </c>
      <c r="I17" s="464">
        <f t="shared" si="5"/>
        <v>1320</v>
      </c>
      <c r="K17" s="395">
        <v>3005</v>
      </c>
    </row>
    <row r="18" spans="1:11" x14ac:dyDescent="0.15">
      <c r="A18" s="1139"/>
      <c r="B18" s="548" t="s">
        <v>326</v>
      </c>
      <c r="C18" s="549">
        <v>2000</v>
      </c>
      <c r="D18" s="549">
        <v>300</v>
      </c>
      <c r="E18" s="549">
        <v>500</v>
      </c>
      <c r="F18" s="550">
        <f t="shared" si="3"/>
        <v>8340</v>
      </c>
      <c r="G18" s="551">
        <f>+D18/C18*1000</f>
        <v>150</v>
      </c>
      <c r="H18" s="549" t="s">
        <v>314</v>
      </c>
      <c r="I18" s="552">
        <f t="shared" si="5"/>
        <v>2502</v>
      </c>
      <c r="K18" s="395">
        <v>7590</v>
      </c>
    </row>
    <row r="19" spans="1:11" ht="14.25" thickBot="1" x14ac:dyDescent="0.2">
      <c r="A19" s="1140"/>
      <c r="B19" s="467" t="s">
        <v>141</v>
      </c>
      <c r="C19" s="467"/>
      <c r="D19" s="467"/>
      <c r="E19" s="467"/>
      <c r="F19" s="467"/>
      <c r="G19" s="468"/>
      <c r="H19" s="468"/>
      <c r="I19" s="469">
        <f>SUM(I13:I17)</f>
        <v>6437</v>
      </c>
    </row>
    <row r="20" spans="1:11" ht="14.25" thickTop="1" x14ac:dyDescent="0.15">
      <c r="A20" s="470" t="s">
        <v>330</v>
      </c>
      <c r="B20" s="471" t="s">
        <v>331</v>
      </c>
      <c r="C20" s="449">
        <v>100</v>
      </c>
      <c r="D20" s="449">
        <v>100</v>
      </c>
      <c r="E20" s="449">
        <v>22000</v>
      </c>
      <c r="F20" s="450">
        <f t="shared" si="3"/>
        <v>45740</v>
      </c>
      <c r="G20" s="451">
        <f>+D20/C20*1000</f>
        <v>1000</v>
      </c>
      <c r="H20" s="449" t="s">
        <v>314</v>
      </c>
      <c r="I20" s="472">
        <f>+F20/E20*G20</f>
        <v>2079.090909090909</v>
      </c>
      <c r="K20" s="395">
        <v>41585</v>
      </c>
    </row>
    <row r="21" spans="1:11" x14ac:dyDescent="0.15">
      <c r="A21" s="470" t="s">
        <v>332</v>
      </c>
      <c r="B21" s="449"/>
      <c r="C21" s="449"/>
      <c r="D21" s="449"/>
      <c r="E21" s="449"/>
      <c r="F21" s="450"/>
      <c r="G21" s="451"/>
      <c r="H21" s="449"/>
      <c r="I21" s="452"/>
    </row>
    <row r="22" spans="1:11" x14ac:dyDescent="0.15">
      <c r="A22" s="470" t="s">
        <v>333</v>
      </c>
      <c r="B22" s="449"/>
      <c r="C22" s="449"/>
      <c r="D22" s="449"/>
      <c r="E22" s="449"/>
      <c r="F22" s="450"/>
      <c r="G22" s="451"/>
      <c r="H22" s="449"/>
      <c r="I22" s="452"/>
    </row>
    <row r="23" spans="1:11" ht="14.25" thickBot="1" x14ac:dyDescent="0.2">
      <c r="A23" s="473"/>
      <c r="B23" s="467" t="s">
        <v>141</v>
      </c>
      <c r="C23" s="467"/>
      <c r="D23" s="467"/>
      <c r="E23" s="467"/>
      <c r="F23" s="467"/>
      <c r="G23" s="468"/>
      <c r="H23" s="468"/>
      <c r="I23" s="469">
        <f>SUM(I20:I22)</f>
        <v>2079.090909090909</v>
      </c>
    </row>
    <row r="24" spans="1:11" ht="14.25" thickTop="1" x14ac:dyDescent="0.15">
      <c r="A24" s="474" t="s">
        <v>334</v>
      </c>
      <c r="B24" s="471" t="s">
        <v>335</v>
      </c>
      <c r="C24" s="449"/>
      <c r="D24" s="449"/>
      <c r="E24" s="449">
        <v>200</v>
      </c>
      <c r="F24" s="484">
        <f t="shared" ref="F24:F25" si="6">ROUNDDOWN(K24*1.1,-1)</f>
        <v>840</v>
      </c>
      <c r="G24" s="449">
        <v>200</v>
      </c>
      <c r="H24" s="460" t="s">
        <v>314</v>
      </c>
      <c r="I24" s="452">
        <f t="shared" ref="I24:I25" si="7">+F24/E24*G24</f>
        <v>840</v>
      </c>
      <c r="K24" s="395">
        <v>766</v>
      </c>
    </row>
    <row r="25" spans="1:11" x14ac:dyDescent="0.15">
      <c r="A25" s="474" t="s">
        <v>336</v>
      </c>
      <c r="B25" s="471" t="s">
        <v>337</v>
      </c>
      <c r="C25" s="449"/>
      <c r="D25" s="449"/>
      <c r="E25" s="449">
        <v>10</v>
      </c>
      <c r="F25" s="484">
        <f t="shared" si="6"/>
        <v>1680</v>
      </c>
      <c r="G25" s="449">
        <v>10</v>
      </c>
      <c r="H25" s="460" t="s">
        <v>314</v>
      </c>
      <c r="I25" s="452">
        <f t="shared" si="7"/>
        <v>1680</v>
      </c>
      <c r="K25" s="395">
        <v>1533</v>
      </c>
    </row>
    <row r="26" spans="1:11" x14ac:dyDescent="0.15">
      <c r="A26" s="474" t="s">
        <v>338</v>
      </c>
      <c r="B26" s="471" t="s">
        <v>606</v>
      </c>
      <c r="C26" s="449">
        <v>800</v>
      </c>
      <c r="D26" s="449">
        <v>150</v>
      </c>
      <c r="E26" s="449">
        <v>100</v>
      </c>
      <c r="F26" s="484">
        <f>ROUNDDOWN(K26*1.1,-1)</f>
        <v>5540</v>
      </c>
      <c r="G26" s="451">
        <f t="shared" ref="G26" si="8">+D26/C26*1000</f>
        <v>187.5</v>
      </c>
      <c r="H26" s="460" t="s">
        <v>314</v>
      </c>
      <c r="I26" s="452">
        <f>+F26/E26*G26</f>
        <v>10387.5</v>
      </c>
      <c r="K26" s="395">
        <v>5040</v>
      </c>
    </row>
    <row r="27" spans="1:11" x14ac:dyDescent="0.15">
      <c r="A27" s="470"/>
      <c r="B27" s="471" t="s">
        <v>605</v>
      </c>
      <c r="C27" s="449">
        <v>1000</v>
      </c>
      <c r="D27" s="449">
        <v>150</v>
      </c>
      <c r="E27" s="449">
        <v>100</v>
      </c>
      <c r="F27" s="484">
        <f>ROUNDDOWN(K27*1.1,-1)</f>
        <v>5540</v>
      </c>
      <c r="G27" s="451">
        <f t="shared" ref="G27" si="9">+D27/C27*1000</f>
        <v>150</v>
      </c>
      <c r="H27" s="460" t="s">
        <v>314</v>
      </c>
      <c r="I27" s="452">
        <f>+F27/E27*G27</f>
        <v>8310</v>
      </c>
      <c r="K27" s="395">
        <v>5040</v>
      </c>
    </row>
    <row r="28" spans="1:11" ht="14.25" thickBot="1" x14ac:dyDescent="0.2">
      <c r="A28" s="475"/>
      <c r="B28" s="476" t="s">
        <v>339</v>
      </c>
      <c r="C28" s="476"/>
      <c r="D28" s="476"/>
      <c r="E28" s="476"/>
      <c r="F28" s="476"/>
      <c r="G28" s="477"/>
      <c r="H28" s="477"/>
      <c r="I28" s="478">
        <f>SUM(I24:I26)</f>
        <v>12907.5</v>
      </c>
    </row>
    <row r="29" spans="1:11" ht="14.25" thickBot="1" x14ac:dyDescent="0.2">
      <c r="A29" s="1142" t="s">
        <v>24</v>
      </c>
      <c r="B29" s="1143"/>
      <c r="C29" s="479"/>
      <c r="D29" s="479"/>
      <c r="E29" s="479"/>
      <c r="F29" s="479"/>
      <c r="G29" s="480"/>
      <c r="H29" s="480"/>
      <c r="I29" s="481">
        <f>SUM(I25:I28)</f>
        <v>33285</v>
      </c>
    </row>
    <row r="30" spans="1:11" x14ac:dyDescent="0.15">
      <c r="B30" s="395" t="s">
        <v>631</v>
      </c>
      <c r="C30" s="395">
        <v>1000</v>
      </c>
      <c r="D30" s="395">
        <v>50</v>
      </c>
      <c r="E30" s="395">
        <v>500</v>
      </c>
      <c r="F30" s="588">
        <v>2250</v>
      </c>
      <c r="G30" s="589">
        <f>+D30/C30*1000</f>
        <v>50</v>
      </c>
      <c r="I30" s="395">
        <f>+F30/E30*G30</f>
        <v>225</v>
      </c>
    </row>
  </sheetData>
  <mergeCells count="3">
    <mergeCell ref="A3:A11"/>
    <mergeCell ref="A12:A19"/>
    <mergeCell ref="A29:B29"/>
  </mergeCells>
  <phoneticPr fontId="5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2"/>
  <sheetViews>
    <sheetView zoomScale="75" zoomScaleNormal="75" zoomScaleSheetLayoutView="66" workbookViewId="0"/>
  </sheetViews>
  <sheetFormatPr defaultRowHeight="13.5" x14ac:dyDescent="0.15"/>
  <cols>
    <col min="1" max="1" width="1.625" style="144" customWidth="1"/>
    <col min="2" max="2" width="7.625" style="144" customWidth="1"/>
    <col min="3" max="3" width="25.625" style="144" customWidth="1"/>
    <col min="4" max="9" width="18.625" style="144" customWidth="1"/>
    <col min="10" max="16" width="15.625" style="144" customWidth="1"/>
    <col min="17" max="16384" width="9" style="144"/>
  </cols>
  <sheetData>
    <row r="1" spans="2:16" ht="9.9499999999999993" customHeight="1" x14ac:dyDescent="0.15"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2:16" ht="24.95" customHeight="1" thickBot="1" x14ac:dyDescent="0.2">
      <c r="B2" s="370" t="s">
        <v>746</v>
      </c>
      <c r="F2" s="371" t="s">
        <v>264</v>
      </c>
      <c r="G2" s="144" t="s">
        <v>494</v>
      </c>
      <c r="I2" s="371" t="s">
        <v>265</v>
      </c>
      <c r="J2" s="144" t="s">
        <v>493</v>
      </c>
      <c r="P2" s="143"/>
    </row>
    <row r="3" spans="2:16" ht="20.100000000000001" customHeight="1" x14ac:dyDescent="0.15">
      <c r="B3" s="914" t="s">
        <v>101</v>
      </c>
      <c r="C3" s="915"/>
      <c r="D3" s="740" t="s">
        <v>389</v>
      </c>
      <c r="E3" s="740" t="s">
        <v>388</v>
      </c>
      <c r="F3" s="740" t="s">
        <v>390</v>
      </c>
      <c r="G3" s="740" t="s">
        <v>391</v>
      </c>
      <c r="H3" s="740" t="s">
        <v>392</v>
      </c>
      <c r="I3" s="740" t="s">
        <v>393</v>
      </c>
      <c r="J3" s="740" t="s">
        <v>394</v>
      </c>
      <c r="K3" s="740" t="s">
        <v>395</v>
      </c>
      <c r="L3" s="740" t="s">
        <v>396</v>
      </c>
      <c r="M3" s="741" t="s">
        <v>628</v>
      </c>
      <c r="N3" s="689" t="s">
        <v>397</v>
      </c>
      <c r="O3" s="712" t="s">
        <v>637</v>
      </c>
      <c r="P3" s="607" t="s">
        <v>398</v>
      </c>
    </row>
    <row r="4" spans="2:16" ht="150" customHeight="1" x14ac:dyDescent="0.15">
      <c r="B4" s="916" t="s">
        <v>92</v>
      </c>
      <c r="C4" s="737" t="s">
        <v>93</v>
      </c>
      <c r="D4" s="742" t="s">
        <v>725</v>
      </c>
      <c r="E4" s="742" t="s">
        <v>456</v>
      </c>
      <c r="F4" s="742" t="s">
        <v>466</v>
      </c>
      <c r="G4" s="742" t="s">
        <v>452</v>
      </c>
      <c r="H4" s="742" t="s">
        <v>730</v>
      </c>
      <c r="I4" s="742" t="s">
        <v>457</v>
      </c>
      <c r="J4" s="742" t="s">
        <v>459</v>
      </c>
      <c r="K4" s="742"/>
      <c r="L4" s="742"/>
      <c r="M4" s="692" t="s">
        <v>465</v>
      </c>
      <c r="N4" s="564" t="s">
        <v>467</v>
      </c>
      <c r="O4" s="713" t="s">
        <v>638</v>
      </c>
      <c r="P4" s="778" t="s">
        <v>760</v>
      </c>
    </row>
    <row r="5" spans="2:16" ht="20.100000000000001" customHeight="1" x14ac:dyDescent="0.15">
      <c r="B5" s="916"/>
      <c r="C5" s="737" t="s">
        <v>94</v>
      </c>
      <c r="D5" s="737" t="s">
        <v>727</v>
      </c>
      <c r="E5" s="737" t="s">
        <v>728</v>
      </c>
      <c r="F5" s="737" t="s">
        <v>640</v>
      </c>
      <c r="G5" s="737" t="s">
        <v>731</v>
      </c>
      <c r="H5" s="737" t="s">
        <v>633</v>
      </c>
      <c r="I5" s="737" t="s">
        <v>634</v>
      </c>
      <c r="J5" s="737" t="s">
        <v>635</v>
      </c>
      <c r="K5" s="737" t="s">
        <v>453</v>
      </c>
      <c r="L5" s="737" t="s">
        <v>642</v>
      </c>
      <c r="M5" s="562" t="s">
        <v>687</v>
      </c>
      <c r="N5" s="735" t="s">
        <v>470</v>
      </c>
      <c r="O5" s="695" t="s">
        <v>695</v>
      </c>
      <c r="P5" s="714" t="s">
        <v>732</v>
      </c>
    </row>
    <row r="6" spans="2:16" ht="150" customHeight="1" x14ac:dyDescent="0.15">
      <c r="B6" s="916"/>
      <c r="C6" s="737" t="s">
        <v>100</v>
      </c>
      <c r="D6" s="742"/>
      <c r="E6" s="742" t="s">
        <v>449</v>
      </c>
      <c r="F6" s="742" t="s">
        <v>477</v>
      </c>
      <c r="G6" s="742" t="s">
        <v>454</v>
      </c>
      <c r="H6" s="742"/>
      <c r="I6" s="742"/>
      <c r="J6" s="742" t="s">
        <v>461</v>
      </c>
      <c r="K6" s="742"/>
      <c r="L6" s="742" t="s">
        <v>251</v>
      </c>
      <c r="M6" s="692"/>
      <c r="N6" s="697" t="s">
        <v>471</v>
      </c>
      <c r="O6" s="604"/>
      <c r="P6" s="568"/>
    </row>
    <row r="7" spans="2:16" ht="20.100000000000001" customHeight="1" x14ac:dyDescent="0.15">
      <c r="B7" s="916"/>
      <c r="C7" s="743" t="s">
        <v>97</v>
      </c>
      <c r="D7" s="737"/>
      <c r="E7" s="737">
        <v>10</v>
      </c>
      <c r="F7" s="737">
        <v>1</v>
      </c>
      <c r="G7" s="737">
        <v>9.5</v>
      </c>
      <c r="H7" s="737"/>
      <c r="I7" s="737"/>
      <c r="J7" s="737">
        <v>4.5</v>
      </c>
      <c r="K7" s="737">
        <v>4.7</v>
      </c>
      <c r="L7" s="737">
        <v>10</v>
      </c>
      <c r="M7" s="562"/>
      <c r="N7" s="735">
        <v>12</v>
      </c>
      <c r="O7" s="599"/>
      <c r="P7" s="605"/>
    </row>
    <row r="8" spans="2:16" ht="20.100000000000001" customHeight="1" x14ac:dyDescent="0.15">
      <c r="B8" s="916"/>
      <c r="C8" s="737" t="s">
        <v>98</v>
      </c>
      <c r="D8" s="737">
        <v>16</v>
      </c>
      <c r="E8" s="737">
        <v>33</v>
      </c>
      <c r="F8" s="737">
        <v>3</v>
      </c>
      <c r="G8" s="737">
        <v>9.5</v>
      </c>
      <c r="H8" s="737">
        <v>96</v>
      </c>
      <c r="I8" s="737">
        <v>8</v>
      </c>
      <c r="J8" s="737">
        <v>4.5</v>
      </c>
      <c r="K8" s="737">
        <v>4.7</v>
      </c>
      <c r="L8" s="737">
        <v>108</v>
      </c>
      <c r="M8" s="562">
        <v>12</v>
      </c>
      <c r="N8" s="735">
        <v>12</v>
      </c>
      <c r="O8" s="599">
        <v>12</v>
      </c>
      <c r="P8" s="605">
        <v>96</v>
      </c>
    </row>
    <row r="9" spans="2:16" ht="20.100000000000001" customHeight="1" x14ac:dyDescent="0.15">
      <c r="B9" s="916"/>
      <c r="C9" s="737" t="s">
        <v>99</v>
      </c>
      <c r="D9" s="737"/>
      <c r="E9" s="737"/>
      <c r="F9" s="737"/>
      <c r="G9" s="737"/>
      <c r="H9" s="737"/>
      <c r="I9" s="737"/>
      <c r="J9" s="737"/>
      <c r="K9" s="737"/>
      <c r="L9" s="737"/>
      <c r="M9" s="562"/>
      <c r="N9" s="736"/>
      <c r="O9" s="606"/>
      <c r="P9" s="605"/>
    </row>
    <row r="10" spans="2:16" ht="150" customHeight="1" x14ac:dyDescent="0.15">
      <c r="B10" s="917" t="s">
        <v>95</v>
      </c>
      <c r="C10" s="913"/>
      <c r="D10" s="750" t="s">
        <v>630</v>
      </c>
      <c r="E10" s="750" t="s">
        <v>473</v>
      </c>
      <c r="F10" s="750"/>
      <c r="G10" s="750" t="s">
        <v>463</v>
      </c>
      <c r="H10" s="750" t="s">
        <v>641</v>
      </c>
      <c r="I10" s="750" t="s">
        <v>475</v>
      </c>
      <c r="J10" s="750" t="s">
        <v>31</v>
      </c>
      <c r="K10" s="750"/>
      <c r="L10" s="750" t="s">
        <v>476</v>
      </c>
      <c r="M10" s="779"/>
      <c r="N10" s="780"/>
      <c r="O10" s="781"/>
      <c r="P10" s="782" t="s">
        <v>639</v>
      </c>
    </row>
    <row r="11" spans="2:16" ht="150" customHeight="1" thickBot="1" x14ac:dyDescent="0.2">
      <c r="B11" s="918" t="s">
        <v>96</v>
      </c>
      <c r="C11" s="919"/>
      <c r="D11" s="744" t="s">
        <v>450</v>
      </c>
      <c r="E11" s="744"/>
      <c r="F11" s="745"/>
      <c r="G11" s="746"/>
      <c r="H11" s="746"/>
      <c r="I11" s="746"/>
      <c r="J11" s="746"/>
      <c r="K11" s="746"/>
      <c r="L11" s="746"/>
      <c r="M11" s="747"/>
      <c r="N11" s="566"/>
      <c r="O11" s="602"/>
      <c r="P11" s="603"/>
    </row>
    <row r="12" spans="2:16" ht="9.75" customHeight="1" x14ac:dyDescent="0.15">
      <c r="B12" s="703"/>
    </row>
  </sheetData>
  <mergeCells count="4">
    <mergeCell ref="B3:C3"/>
    <mergeCell ref="B4:B9"/>
    <mergeCell ref="B10:C10"/>
    <mergeCell ref="B11:C11"/>
  </mergeCells>
  <phoneticPr fontId="5"/>
  <pageMargins left="0.78740157480314965" right="0.78740157480314965" top="0.78740157480314965" bottom="0.78740157480314965" header="0.39370078740157483" footer="0.39370078740157483"/>
  <pageSetup paperSize="9" scale="50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2"/>
  <sheetViews>
    <sheetView zoomScale="75" zoomScaleNormal="75" zoomScaleSheetLayoutView="65" workbookViewId="0"/>
  </sheetViews>
  <sheetFormatPr defaultRowHeight="13.5" x14ac:dyDescent="0.15"/>
  <cols>
    <col min="1" max="1" width="1.625" style="144" customWidth="1"/>
    <col min="2" max="2" width="7.625" style="144" customWidth="1"/>
    <col min="3" max="3" width="25.625" style="144" customWidth="1"/>
    <col min="4" max="15" width="18.625" style="144" customWidth="1"/>
    <col min="16" max="16384" width="9" style="144"/>
  </cols>
  <sheetData>
    <row r="1" spans="2:15" ht="9.9499999999999993" customHeight="1" x14ac:dyDescent="0.15"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2:15" ht="24.95" customHeight="1" thickBot="1" x14ac:dyDescent="0.2">
      <c r="B2" s="370" t="s">
        <v>747</v>
      </c>
      <c r="F2" s="371" t="s">
        <v>264</v>
      </c>
      <c r="G2" s="144" t="s">
        <v>495</v>
      </c>
      <c r="I2" s="371" t="s">
        <v>265</v>
      </c>
      <c r="J2" s="144" t="s">
        <v>484</v>
      </c>
    </row>
    <row r="3" spans="2:15" ht="20.100000000000001" customHeight="1" x14ac:dyDescent="0.15">
      <c r="B3" s="914" t="s">
        <v>101</v>
      </c>
      <c r="C3" s="915"/>
      <c r="D3" s="740" t="s">
        <v>389</v>
      </c>
      <c r="E3" s="740" t="s">
        <v>388</v>
      </c>
      <c r="F3" s="740" t="s">
        <v>390</v>
      </c>
      <c r="G3" s="740" t="s">
        <v>391</v>
      </c>
      <c r="H3" s="740" t="s">
        <v>392</v>
      </c>
      <c r="I3" s="740" t="s">
        <v>393</v>
      </c>
      <c r="J3" s="740" t="s">
        <v>394</v>
      </c>
      <c r="K3" s="740" t="s">
        <v>395</v>
      </c>
      <c r="L3" s="740" t="s">
        <v>396</v>
      </c>
      <c r="M3" s="712" t="s">
        <v>628</v>
      </c>
      <c r="N3" s="712" t="s">
        <v>397</v>
      </c>
      <c r="O3" s="691" t="s">
        <v>398</v>
      </c>
    </row>
    <row r="4" spans="2:15" ht="150" customHeight="1" x14ac:dyDescent="0.15">
      <c r="B4" s="916" t="s">
        <v>92</v>
      </c>
      <c r="C4" s="737" t="s">
        <v>93</v>
      </c>
      <c r="D4" s="742" t="s">
        <v>725</v>
      </c>
      <c r="E4" s="742" t="s">
        <v>456</v>
      </c>
      <c r="F4" s="742" t="s">
        <v>466</v>
      </c>
      <c r="G4" s="742" t="s">
        <v>452</v>
      </c>
      <c r="H4" s="742" t="s">
        <v>730</v>
      </c>
      <c r="I4" s="742" t="s">
        <v>457</v>
      </c>
      <c r="J4" s="742" t="s">
        <v>459</v>
      </c>
      <c r="K4" s="742"/>
      <c r="L4" s="742"/>
      <c r="M4" s="706" t="s">
        <v>465</v>
      </c>
      <c r="N4" s="706" t="s">
        <v>467</v>
      </c>
      <c r="O4" s="748" t="s">
        <v>464</v>
      </c>
    </row>
    <row r="5" spans="2:15" ht="20.100000000000001" customHeight="1" x14ac:dyDescent="0.15">
      <c r="B5" s="916"/>
      <c r="C5" s="737" t="s">
        <v>94</v>
      </c>
      <c r="D5" s="737" t="s">
        <v>696</v>
      </c>
      <c r="E5" s="737" t="s">
        <v>451</v>
      </c>
      <c r="F5" s="737" t="s">
        <v>697</v>
      </c>
      <c r="G5" s="737" t="s">
        <v>453</v>
      </c>
      <c r="H5" s="737" t="s">
        <v>451</v>
      </c>
      <c r="I5" s="737" t="s">
        <v>458</v>
      </c>
      <c r="J5" s="737" t="s">
        <v>460</v>
      </c>
      <c r="K5" s="737" t="s">
        <v>627</v>
      </c>
      <c r="L5" s="737" t="s">
        <v>469</v>
      </c>
      <c r="M5" s="738" t="s">
        <v>698</v>
      </c>
      <c r="N5" s="738" t="s">
        <v>699</v>
      </c>
      <c r="O5" s="749" t="s">
        <v>700</v>
      </c>
    </row>
    <row r="6" spans="2:15" ht="150" customHeight="1" x14ac:dyDescent="0.15">
      <c r="B6" s="916"/>
      <c r="C6" s="737" t="s">
        <v>100</v>
      </c>
      <c r="D6" s="742"/>
      <c r="E6" s="742" t="s">
        <v>449</v>
      </c>
      <c r="F6" s="742" t="s">
        <v>477</v>
      </c>
      <c r="G6" s="742" t="s">
        <v>454</v>
      </c>
      <c r="H6" s="742"/>
      <c r="I6" s="742"/>
      <c r="J6" s="742" t="s">
        <v>461</v>
      </c>
      <c r="K6" s="742"/>
      <c r="L6" s="742" t="s">
        <v>251</v>
      </c>
      <c r="M6" s="706"/>
      <c r="N6" s="706" t="s">
        <v>471</v>
      </c>
      <c r="O6" s="748"/>
    </row>
    <row r="7" spans="2:15" ht="20.100000000000001" customHeight="1" x14ac:dyDescent="0.15">
      <c r="B7" s="916"/>
      <c r="C7" s="743" t="s">
        <v>97</v>
      </c>
      <c r="D7" s="737"/>
      <c r="E7" s="737">
        <v>10</v>
      </c>
      <c r="F7" s="737">
        <v>3</v>
      </c>
      <c r="G7" s="737">
        <v>8.5</v>
      </c>
      <c r="H7" s="737"/>
      <c r="I7" s="737"/>
      <c r="J7" s="737">
        <v>4.5</v>
      </c>
      <c r="K7" s="737">
        <v>4.4000000000000004</v>
      </c>
      <c r="L7" s="737">
        <v>10</v>
      </c>
      <c r="M7" s="738"/>
      <c r="N7" s="738">
        <v>14</v>
      </c>
      <c r="O7" s="749"/>
    </row>
    <row r="8" spans="2:15" ht="20.100000000000001" customHeight="1" x14ac:dyDescent="0.15">
      <c r="B8" s="916"/>
      <c r="C8" s="737" t="s">
        <v>98</v>
      </c>
      <c r="D8" s="737">
        <v>12</v>
      </c>
      <c r="E8" s="737">
        <v>33</v>
      </c>
      <c r="F8" s="737">
        <v>3</v>
      </c>
      <c r="G8" s="737">
        <v>8.5</v>
      </c>
      <c r="H8" s="737">
        <v>135</v>
      </c>
      <c r="I8" s="737">
        <v>22</v>
      </c>
      <c r="J8" s="737">
        <v>4.5</v>
      </c>
      <c r="K8" s="737">
        <v>4.4000000000000004</v>
      </c>
      <c r="L8" s="737">
        <v>120</v>
      </c>
      <c r="M8" s="738">
        <v>14</v>
      </c>
      <c r="N8" s="738">
        <v>14</v>
      </c>
      <c r="O8" s="749">
        <v>40</v>
      </c>
    </row>
    <row r="9" spans="2:15" ht="20.100000000000001" customHeight="1" x14ac:dyDescent="0.15">
      <c r="B9" s="916"/>
      <c r="C9" s="737" t="s">
        <v>99</v>
      </c>
      <c r="D9" s="737"/>
      <c r="E9" s="737"/>
      <c r="F9" s="737"/>
      <c r="G9" s="737"/>
      <c r="H9" s="737"/>
      <c r="I9" s="737"/>
      <c r="J9" s="737"/>
      <c r="K9" s="737"/>
      <c r="L9" s="737"/>
      <c r="M9" s="738"/>
      <c r="N9" s="738"/>
      <c r="O9" s="749"/>
    </row>
    <row r="10" spans="2:15" ht="150" customHeight="1" x14ac:dyDescent="0.15">
      <c r="B10" s="917" t="s">
        <v>95</v>
      </c>
      <c r="C10" s="913"/>
      <c r="D10" s="750" t="s">
        <v>448</v>
      </c>
      <c r="E10" s="750" t="s">
        <v>473</v>
      </c>
      <c r="F10" s="750"/>
      <c r="G10" s="750" t="s">
        <v>463</v>
      </c>
      <c r="H10" s="750" t="s">
        <v>643</v>
      </c>
      <c r="I10" s="750" t="s">
        <v>475</v>
      </c>
      <c r="J10" s="750" t="s">
        <v>31</v>
      </c>
      <c r="K10" s="750"/>
      <c r="L10" s="750" t="s">
        <v>476</v>
      </c>
      <c r="M10" s="739"/>
      <c r="N10" s="739"/>
      <c r="O10" s="751" t="s">
        <v>474</v>
      </c>
    </row>
    <row r="11" spans="2:15" ht="150" customHeight="1" thickBot="1" x14ac:dyDescent="0.2">
      <c r="B11" s="918" t="s">
        <v>96</v>
      </c>
      <c r="C11" s="919"/>
      <c r="D11" s="744" t="s">
        <v>450</v>
      </c>
      <c r="E11" s="744"/>
      <c r="F11" s="745"/>
      <c r="G11" s="746"/>
      <c r="H11" s="746"/>
      <c r="I11" s="746"/>
      <c r="J11" s="746"/>
      <c r="K11" s="746"/>
      <c r="L11" s="746"/>
      <c r="M11" s="752"/>
      <c r="N11" s="752"/>
      <c r="O11" s="753"/>
    </row>
    <row r="12" spans="2:15" ht="9.75" customHeight="1" x14ac:dyDescent="0.15">
      <c r="B12" s="703"/>
    </row>
  </sheetData>
  <mergeCells count="4">
    <mergeCell ref="B3:C3"/>
    <mergeCell ref="B4:B9"/>
    <mergeCell ref="B10:C10"/>
    <mergeCell ref="B11:C11"/>
  </mergeCells>
  <phoneticPr fontId="5"/>
  <pageMargins left="0.78740157480314965" right="0.78740157480314965" top="0.78740157480314965" bottom="0.78740157480314965" header="0.39370078740157483" footer="0.39370078740157483"/>
  <pageSetup paperSize="9" scale="50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2"/>
  <sheetViews>
    <sheetView view="pageBreakPreview" topLeftCell="B1" zoomScale="65" zoomScaleNormal="100" zoomScaleSheetLayoutView="65" workbookViewId="0">
      <selection activeCell="B1" sqref="A1:XFD1048576"/>
    </sheetView>
  </sheetViews>
  <sheetFormatPr defaultRowHeight="13.5" x14ac:dyDescent="0.15"/>
  <cols>
    <col min="1" max="1" width="1.625" style="144" customWidth="1"/>
    <col min="2" max="2" width="7.625" style="144" customWidth="1"/>
    <col min="3" max="3" width="25.625" style="144" customWidth="1"/>
    <col min="4" max="15" width="18.625" style="144" customWidth="1"/>
    <col min="16" max="16384" width="9" style="144"/>
  </cols>
  <sheetData>
    <row r="1" spans="2:15" ht="9.9499999999999993" customHeight="1" x14ac:dyDescent="0.15"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2:15" ht="24.95" customHeight="1" thickBot="1" x14ac:dyDescent="0.2">
      <c r="B2" s="144" t="s">
        <v>496</v>
      </c>
      <c r="F2" s="371" t="s">
        <v>264</v>
      </c>
      <c r="G2" s="144" t="s">
        <v>492</v>
      </c>
      <c r="I2" s="371" t="s">
        <v>265</v>
      </c>
      <c r="J2" s="144" t="s">
        <v>484</v>
      </c>
    </row>
    <row r="3" spans="2:15" ht="20.100000000000001" customHeight="1" x14ac:dyDescent="0.15">
      <c r="B3" s="908" t="s">
        <v>101</v>
      </c>
      <c r="C3" s="909"/>
      <c r="D3" s="687" t="s">
        <v>389</v>
      </c>
      <c r="E3" s="687" t="s">
        <v>388</v>
      </c>
      <c r="F3" s="687" t="s">
        <v>390</v>
      </c>
      <c r="G3" s="687" t="s">
        <v>391</v>
      </c>
      <c r="H3" s="687" t="s">
        <v>392</v>
      </c>
      <c r="I3" s="687" t="s">
        <v>393</v>
      </c>
      <c r="J3" s="687" t="s">
        <v>394</v>
      </c>
      <c r="K3" s="687" t="s">
        <v>395</v>
      </c>
      <c r="L3" s="687" t="s">
        <v>396</v>
      </c>
      <c r="M3" s="704" t="s">
        <v>628</v>
      </c>
      <c r="N3" s="704" t="s">
        <v>397</v>
      </c>
      <c r="O3" s="705" t="s">
        <v>398</v>
      </c>
    </row>
    <row r="4" spans="2:15" ht="150" customHeight="1" x14ac:dyDescent="0.15">
      <c r="B4" s="907" t="s">
        <v>92</v>
      </c>
      <c r="C4" s="655" t="s">
        <v>93</v>
      </c>
      <c r="D4" s="145" t="s">
        <v>725</v>
      </c>
      <c r="E4" s="145" t="s">
        <v>676</v>
      </c>
      <c r="F4" s="145" t="s">
        <v>466</v>
      </c>
      <c r="G4" s="145" t="s">
        <v>452</v>
      </c>
      <c r="H4" s="145" t="s">
        <v>733</v>
      </c>
      <c r="I4" s="145" t="s">
        <v>734</v>
      </c>
      <c r="J4" s="145" t="s">
        <v>459</v>
      </c>
      <c r="K4" s="145"/>
      <c r="L4" s="145"/>
      <c r="M4" s="706" t="s">
        <v>465</v>
      </c>
      <c r="N4" s="707" t="s">
        <v>467</v>
      </c>
      <c r="O4" s="708" t="s">
        <v>464</v>
      </c>
    </row>
    <row r="5" spans="2:15" ht="20.100000000000001" customHeight="1" x14ac:dyDescent="0.15">
      <c r="B5" s="907"/>
      <c r="C5" s="655" t="s">
        <v>94</v>
      </c>
      <c r="D5" s="655" t="s">
        <v>675</v>
      </c>
      <c r="E5" s="655" t="s">
        <v>677</v>
      </c>
      <c r="F5" s="655" t="s">
        <v>679</v>
      </c>
      <c r="G5" s="655" t="s">
        <v>680</v>
      </c>
      <c r="H5" s="655" t="s">
        <v>681</v>
      </c>
      <c r="I5" s="655" t="s">
        <v>458</v>
      </c>
      <c r="J5" s="655" t="s">
        <v>682</v>
      </c>
      <c r="K5" s="655" t="s">
        <v>627</v>
      </c>
      <c r="L5" s="655" t="s">
        <v>629</v>
      </c>
      <c r="M5" s="669" t="s">
        <v>683</v>
      </c>
      <c r="N5" s="709" t="s">
        <v>470</v>
      </c>
      <c r="O5" s="710" t="s">
        <v>684</v>
      </c>
    </row>
    <row r="6" spans="2:15" ht="150" customHeight="1" x14ac:dyDescent="0.15">
      <c r="B6" s="907"/>
      <c r="C6" s="655" t="s">
        <v>100</v>
      </c>
      <c r="D6" s="145"/>
      <c r="E6" s="145"/>
      <c r="F6" s="145" t="s">
        <v>477</v>
      </c>
      <c r="G6" s="145" t="s">
        <v>454</v>
      </c>
      <c r="H6" s="145"/>
      <c r="I6" s="145"/>
      <c r="J6" s="145" t="s">
        <v>461</v>
      </c>
      <c r="K6" s="145"/>
      <c r="L6" s="145" t="s">
        <v>251</v>
      </c>
      <c r="M6" s="706"/>
      <c r="N6" s="707" t="s">
        <v>471</v>
      </c>
      <c r="O6" s="708"/>
    </row>
    <row r="7" spans="2:15" ht="20.100000000000001" customHeight="1" x14ac:dyDescent="0.15">
      <c r="B7" s="907"/>
      <c r="C7" s="699" t="s">
        <v>97</v>
      </c>
      <c r="D7" s="655"/>
      <c r="E7" s="655"/>
      <c r="F7" s="655">
        <v>4.5</v>
      </c>
      <c r="G7" s="655">
        <v>9.5</v>
      </c>
      <c r="H7" s="655"/>
      <c r="I7" s="655"/>
      <c r="J7" s="655">
        <v>5</v>
      </c>
      <c r="K7" s="655">
        <v>4.4000000000000004</v>
      </c>
      <c r="L7" s="655">
        <v>10</v>
      </c>
      <c r="M7" s="669"/>
      <c r="N7" s="709">
        <v>12</v>
      </c>
      <c r="O7" s="710"/>
    </row>
    <row r="8" spans="2:15" ht="20.100000000000001" customHeight="1" x14ac:dyDescent="0.15">
      <c r="B8" s="907"/>
      <c r="C8" s="655" t="s">
        <v>98</v>
      </c>
      <c r="D8" s="655">
        <v>12</v>
      </c>
      <c r="E8" s="655">
        <v>22</v>
      </c>
      <c r="F8" s="655">
        <v>4.5</v>
      </c>
      <c r="G8" s="655">
        <v>9.5</v>
      </c>
      <c r="H8" s="655">
        <v>96</v>
      </c>
      <c r="I8" s="655">
        <v>12</v>
      </c>
      <c r="J8" s="655">
        <v>5</v>
      </c>
      <c r="K8" s="655">
        <v>4.4000000000000004</v>
      </c>
      <c r="L8" s="655">
        <v>80</v>
      </c>
      <c r="M8" s="669">
        <v>12</v>
      </c>
      <c r="N8" s="709">
        <v>12</v>
      </c>
      <c r="O8" s="710">
        <v>40</v>
      </c>
    </row>
    <row r="9" spans="2:15" ht="20.100000000000001" customHeight="1" x14ac:dyDescent="0.15">
      <c r="B9" s="907"/>
      <c r="C9" s="655" t="s">
        <v>99</v>
      </c>
      <c r="D9" s="655"/>
      <c r="E9" s="655"/>
      <c r="F9" s="655"/>
      <c r="G9" s="655"/>
      <c r="H9" s="655"/>
      <c r="I9" s="655"/>
      <c r="J9" s="655"/>
      <c r="K9" s="655"/>
      <c r="L9" s="655"/>
      <c r="M9" s="669"/>
      <c r="N9" s="709"/>
      <c r="O9" s="710"/>
    </row>
    <row r="10" spans="2:15" ht="150" customHeight="1" x14ac:dyDescent="0.15">
      <c r="B10" s="912" t="s">
        <v>95</v>
      </c>
      <c r="C10" s="913"/>
      <c r="D10" s="519" t="s">
        <v>448</v>
      </c>
      <c r="E10" s="519" t="s">
        <v>678</v>
      </c>
      <c r="F10" s="519"/>
      <c r="G10" s="519" t="s">
        <v>463</v>
      </c>
      <c r="H10" s="519" t="s">
        <v>455</v>
      </c>
      <c r="I10" s="519" t="s">
        <v>475</v>
      </c>
      <c r="J10" s="519" t="s">
        <v>31</v>
      </c>
      <c r="K10" s="519"/>
      <c r="L10" s="519" t="s">
        <v>476</v>
      </c>
      <c r="M10" s="521"/>
      <c r="N10" s="520"/>
      <c r="O10" s="711" t="s">
        <v>474</v>
      </c>
    </row>
    <row r="11" spans="2:15" ht="150" customHeight="1" thickBot="1" x14ac:dyDescent="0.2">
      <c r="B11" s="910" t="s">
        <v>96</v>
      </c>
      <c r="C11" s="911"/>
      <c r="D11" s="701" t="s">
        <v>450</v>
      </c>
      <c r="E11" s="701"/>
      <c r="F11" s="702"/>
      <c r="G11" s="146"/>
      <c r="H11" s="146"/>
      <c r="I11" s="146"/>
      <c r="J11" s="146"/>
      <c r="K11" s="146"/>
      <c r="L11" s="146"/>
      <c r="M11" s="522"/>
      <c r="N11" s="488"/>
      <c r="O11" s="147"/>
    </row>
    <row r="12" spans="2:15" ht="9.75" customHeight="1" x14ac:dyDescent="0.15">
      <c r="B12" s="703"/>
    </row>
  </sheetData>
  <mergeCells count="4">
    <mergeCell ref="B3:C3"/>
    <mergeCell ref="B4:B9"/>
    <mergeCell ref="B10:C10"/>
    <mergeCell ref="B11:C11"/>
  </mergeCells>
  <phoneticPr fontId="5"/>
  <pageMargins left="0.78740157480314965" right="0.78740157480314965" top="0.78740157480314965" bottom="0.78740157480314965" header="0.39370078740157483" footer="0.39370078740157483"/>
  <pageSetup paperSize="9" scale="50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0"/>
  <sheetViews>
    <sheetView showZeros="0" zoomScale="75" zoomScaleNormal="75" zoomScaleSheetLayoutView="80" workbookViewId="0"/>
  </sheetViews>
  <sheetFormatPr defaultRowHeight="13.5" x14ac:dyDescent="0.15"/>
  <cols>
    <col min="1" max="1" width="1.625" style="52" customWidth="1"/>
    <col min="2" max="2" width="7.625" style="52" customWidth="1"/>
    <col min="3" max="3" width="15.625" style="52" customWidth="1"/>
    <col min="4" max="6" width="20.625" style="52" customWidth="1"/>
    <col min="7" max="7" width="20.625" style="52" hidden="1" customWidth="1"/>
    <col min="8" max="10" width="20.625" style="52" customWidth="1"/>
    <col min="11" max="11" width="20.625" style="52" hidden="1" customWidth="1"/>
    <col min="12" max="12" width="80.625" style="52" customWidth="1"/>
    <col min="13" max="14" width="9.25" style="52" bestFit="1" customWidth="1"/>
    <col min="15" max="16384" width="9" style="52"/>
  </cols>
  <sheetData>
    <row r="1" spans="2:12" ht="9.9499999999999993" customHeight="1" x14ac:dyDescent="0.15"/>
    <row r="2" spans="2:12" ht="24.95" customHeight="1" thickBot="1" x14ac:dyDescent="0.2">
      <c r="B2" s="53" t="s">
        <v>91</v>
      </c>
      <c r="C2" s="54"/>
      <c r="D2" s="54"/>
      <c r="I2" s="55"/>
      <c r="J2" s="55"/>
      <c r="K2" s="55"/>
      <c r="L2" s="55"/>
    </row>
    <row r="3" spans="2:12" ht="20.100000000000001" customHeight="1" x14ac:dyDescent="0.15">
      <c r="B3" s="920" t="s">
        <v>277</v>
      </c>
      <c r="C3" s="921"/>
      <c r="D3" s="921"/>
      <c r="E3" s="921"/>
      <c r="F3" s="56" t="s">
        <v>278</v>
      </c>
      <c r="G3" s="56" t="s">
        <v>487</v>
      </c>
      <c r="H3" s="56" t="s">
        <v>486</v>
      </c>
      <c r="I3" s="57" t="s">
        <v>488</v>
      </c>
      <c r="J3" s="57" t="s">
        <v>489</v>
      </c>
      <c r="K3" s="57" t="s">
        <v>490</v>
      </c>
      <c r="L3" s="924" t="s">
        <v>276</v>
      </c>
    </row>
    <row r="4" spans="2:12" ht="20.100000000000001" customHeight="1" thickBot="1" x14ac:dyDescent="0.2">
      <c r="B4" s="922"/>
      <c r="C4" s="923"/>
      <c r="D4" s="923"/>
      <c r="E4" s="923"/>
      <c r="F4" s="553">
        <f>SUM(G4:K4)</f>
        <v>3</v>
      </c>
      <c r="G4" s="553">
        <v>0</v>
      </c>
      <c r="H4" s="553">
        <v>1</v>
      </c>
      <c r="I4" s="553">
        <v>1</v>
      </c>
      <c r="J4" s="553">
        <v>1</v>
      </c>
      <c r="K4" s="553">
        <v>0</v>
      </c>
      <c r="L4" s="925"/>
    </row>
    <row r="5" spans="2:12" ht="20.100000000000001" customHeight="1" x14ac:dyDescent="0.15">
      <c r="B5" s="926" t="s">
        <v>75</v>
      </c>
      <c r="C5" s="929" t="s">
        <v>55</v>
      </c>
      <c r="D5" s="58" t="s">
        <v>220</v>
      </c>
      <c r="E5" s="59"/>
      <c r="F5" s="60">
        <f t="shared" ref="F5:F48" si="0">SUM(G5:K5)</f>
        <v>57963600</v>
      </c>
      <c r="G5" s="369">
        <f>'７－１　ピオーネ（加温）部門収支'!F4*G$4</f>
        <v>0</v>
      </c>
      <c r="H5" s="369">
        <f>'７－１　ピオーネ（トンネル）部門収支'!F4*H$4</f>
        <v>13888800</v>
      </c>
      <c r="I5" s="369">
        <f>'７－２　シャイン（加温）部門収支'!F4*I$4</f>
        <v>25531200</v>
      </c>
      <c r="J5" s="369">
        <f>'７－３　シャイン（トンネル）部門収支'!F4*J$4</f>
        <v>18543600</v>
      </c>
      <c r="K5" s="369">
        <f>'７－５　サニールージュ部門収支'!F4*K$4</f>
        <v>0</v>
      </c>
      <c r="L5" s="61"/>
    </row>
    <row r="6" spans="2:12" ht="20.100000000000001" customHeight="1" x14ac:dyDescent="0.15">
      <c r="B6" s="927"/>
      <c r="C6" s="930"/>
      <c r="D6" s="62" t="s">
        <v>76</v>
      </c>
      <c r="E6" s="63"/>
      <c r="F6" s="64">
        <f t="shared" si="0"/>
        <v>0</v>
      </c>
      <c r="G6" s="68">
        <f>'７－１　ピオーネ（加温）部門収支'!F5*G$4</f>
        <v>0</v>
      </c>
      <c r="H6" s="68">
        <f>'７－１　ピオーネ（トンネル）部門収支'!F5*H$4</f>
        <v>0</v>
      </c>
      <c r="I6" s="68">
        <f>'７－２　シャイン（加温）部門収支'!F5*I$4</f>
        <v>0</v>
      </c>
      <c r="J6" s="68">
        <f>'７－３　シャイン（トンネル）部門収支'!F5*J$4</f>
        <v>0</v>
      </c>
      <c r="K6" s="68">
        <f>'７－５　サニールージュ部門収支'!F5*K$4</f>
        <v>0</v>
      </c>
      <c r="L6" s="65"/>
    </row>
    <row r="7" spans="2:12" ht="20.100000000000001" customHeight="1" x14ac:dyDescent="0.15">
      <c r="B7" s="927"/>
      <c r="C7" s="931"/>
      <c r="D7" s="932" t="s">
        <v>208</v>
      </c>
      <c r="E7" s="933"/>
      <c r="F7" s="66">
        <f>SUM(G7:K7)</f>
        <v>57963600</v>
      </c>
      <c r="G7" s="67">
        <f>G5+G6</f>
        <v>0</v>
      </c>
      <c r="H7" s="67">
        <f>H5+H6</f>
        <v>13888800</v>
      </c>
      <c r="I7" s="67">
        <f>I5+I6</f>
        <v>25531200</v>
      </c>
      <c r="J7" s="67">
        <f>J5+J6</f>
        <v>18543600</v>
      </c>
      <c r="K7" s="67">
        <f>K5+K6</f>
        <v>0</v>
      </c>
      <c r="L7" s="65"/>
    </row>
    <row r="8" spans="2:12" ht="20.100000000000001" customHeight="1" x14ac:dyDescent="0.15">
      <c r="B8" s="927"/>
      <c r="C8" s="934" t="s">
        <v>211</v>
      </c>
      <c r="D8" s="62" t="s">
        <v>56</v>
      </c>
      <c r="E8" s="63"/>
      <c r="F8" s="64">
        <f t="shared" si="0"/>
        <v>0</v>
      </c>
      <c r="G8" s="68"/>
      <c r="H8" s="68"/>
      <c r="I8" s="68"/>
      <c r="J8" s="68"/>
      <c r="K8" s="68"/>
      <c r="L8" s="65"/>
    </row>
    <row r="9" spans="2:12" ht="20.100000000000001" customHeight="1" x14ac:dyDescent="0.15">
      <c r="B9" s="927"/>
      <c r="C9" s="935"/>
      <c r="D9" s="62" t="s">
        <v>57</v>
      </c>
      <c r="E9" s="63"/>
      <c r="F9" s="64">
        <f t="shared" si="0"/>
        <v>2912250</v>
      </c>
      <c r="G9" s="68">
        <f>'７－１　ピオーネ（加温）部門収支'!F7*G$4</f>
        <v>0</v>
      </c>
      <c r="H9" s="68">
        <f>'７－１　ピオーネ（トンネル）部門収支'!F7*H$4</f>
        <v>970750</v>
      </c>
      <c r="I9" s="68">
        <f>'７－２　シャイン（加温）部門収支'!F7*I$4</f>
        <v>970750</v>
      </c>
      <c r="J9" s="68">
        <f>'７－３　シャイン（トンネル）部門収支'!F7*J$4</f>
        <v>970750</v>
      </c>
      <c r="K9" s="68">
        <f>'７－５　サニールージュ部門収支'!F7*K$4</f>
        <v>0</v>
      </c>
      <c r="L9" s="65"/>
    </row>
    <row r="10" spans="2:12" ht="20.100000000000001" customHeight="1" x14ac:dyDescent="0.15">
      <c r="B10" s="927"/>
      <c r="C10" s="935"/>
      <c r="D10" s="62" t="s">
        <v>58</v>
      </c>
      <c r="E10" s="63"/>
      <c r="F10" s="64">
        <f t="shared" si="0"/>
        <v>1453173.7878787878</v>
      </c>
      <c r="G10" s="68">
        <f>'７－１　ピオーネ（加温）部門収支'!F8*G$4</f>
        <v>0</v>
      </c>
      <c r="H10" s="68">
        <f>'７－１　ピオーネ（トンネル）部門収支'!F8*H$4</f>
        <v>496741.26262626261</v>
      </c>
      <c r="I10" s="68">
        <f>'７－２　シャイン（加温）部門収支'!F8*I$4</f>
        <v>478216.26262626261</v>
      </c>
      <c r="J10" s="68">
        <f>'７－３　シャイン（トンネル）部門収支'!F8*J$4</f>
        <v>478216.26262626261</v>
      </c>
      <c r="K10" s="68">
        <f>'７－５　サニールージュ部門収支'!F8*K$4</f>
        <v>0</v>
      </c>
      <c r="L10" s="65"/>
    </row>
    <row r="11" spans="2:12" ht="20.100000000000001" customHeight="1" x14ac:dyDescent="0.15">
      <c r="B11" s="927"/>
      <c r="C11" s="935"/>
      <c r="D11" s="62" t="s">
        <v>77</v>
      </c>
      <c r="E11" s="63"/>
      <c r="F11" s="64">
        <f t="shared" si="0"/>
        <v>686886.94000000006</v>
      </c>
      <c r="G11" s="68">
        <f>'７－１　ピオーネ（加温）部門収支'!F9*G$4</f>
        <v>0</v>
      </c>
      <c r="H11" s="68">
        <f>'７－１　ピオーネ（トンネル）部門収支'!F9*H$4</f>
        <v>29064.400000000001</v>
      </c>
      <c r="I11" s="68">
        <f>'７－２　シャイン（加温）部門収支'!F9*I$4</f>
        <v>628758.14</v>
      </c>
      <c r="J11" s="68">
        <f>'７－３　シャイン（トンネル）部門収支'!F9*J$4</f>
        <v>29064.400000000001</v>
      </c>
      <c r="K11" s="68">
        <f>'７－５　サニールージュ部門収支'!F9*K$4</f>
        <v>0</v>
      </c>
      <c r="L11" s="65"/>
    </row>
    <row r="12" spans="2:12" ht="20.100000000000001" customHeight="1" x14ac:dyDescent="0.15">
      <c r="B12" s="927"/>
      <c r="C12" s="935"/>
      <c r="D12" s="62" t="s">
        <v>59</v>
      </c>
      <c r="E12" s="63"/>
      <c r="F12" s="64">
        <f t="shared" si="0"/>
        <v>2767257.2</v>
      </c>
      <c r="G12" s="68">
        <f>'７－１　ピオーネ（加温）部門収支'!F10*G$4</f>
        <v>0</v>
      </c>
      <c r="H12" s="68">
        <f>'７－１　ピオーネ（トンネル）部門収支'!F10*H$4</f>
        <v>358728</v>
      </c>
      <c r="I12" s="68">
        <f>'７－２　シャイン（加温）部門収支'!F10*I$4</f>
        <v>2049801.2</v>
      </c>
      <c r="J12" s="68">
        <f>'７－３　シャイン（トンネル）部門収支'!F10*J$4</f>
        <v>358728</v>
      </c>
      <c r="K12" s="68">
        <f>'７－５　サニールージュ部門収支'!F10*K$4</f>
        <v>0</v>
      </c>
      <c r="L12" s="65"/>
    </row>
    <row r="13" spans="2:12" ht="20.100000000000001" customHeight="1" x14ac:dyDescent="0.15">
      <c r="B13" s="927"/>
      <c r="C13" s="935"/>
      <c r="D13" s="62" t="s">
        <v>6</v>
      </c>
      <c r="E13" s="63"/>
      <c r="F13" s="64">
        <f t="shared" si="0"/>
        <v>174839.14285714284</v>
      </c>
      <c r="G13" s="68">
        <f>'７－１　ピオーネ（加温）部門収支'!F11*G$4</f>
        <v>0</v>
      </c>
      <c r="H13" s="68">
        <f>'７－１　ピオーネ（トンネル）部門収支'!F11*H$4</f>
        <v>58279.714285714283</v>
      </c>
      <c r="I13" s="68">
        <f>'７－２　シャイン（加温）部門収支'!F11*I$4</f>
        <v>58279.714285714283</v>
      </c>
      <c r="J13" s="68">
        <f>'７－３　シャイン（トンネル）部門収支'!F11*J$4</f>
        <v>58279.714285714283</v>
      </c>
      <c r="K13" s="68">
        <f>'７－５　サニールージュ部門収支'!F11*K$4</f>
        <v>0</v>
      </c>
      <c r="L13" s="65"/>
    </row>
    <row r="14" spans="2:12" ht="20.100000000000001" customHeight="1" x14ac:dyDescent="0.15">
      <c r="B14" s="927"/>
      <c r="C14" s="935"/>
      <c r="D14" s="62" t="s">
        <v>7</v>
      </c>
      <c r="E14" s="63"/>
      <c r="F14" s="68">
        <f t="shared" si="0"/>
        <v>0</v>
      </c>
      <c r="G14" s="68">
        <f>'７－１　ピオーネ（加温）部門収支'!F12*G$4</f>
        <v>0</v>
      </c>
      <c r="H14" s="68">
        <f>'７－１　ピオーネ（トンネル）部門収支'!F12*H$4</f>
        <v>0</v>
      </c>
      <c r="I14" s="68">
        <f>'７－２　シャイン（加温）部門収支'!F12*I$4</f>
        <v>0</v>
      </c>
      <c r="J14" s="68">
        <f>'７－３　シャイン（トンネル）部門収支'!F12*J$4</f>
        <v>0</v>
      </c>
      <c r="K14" s="68">
        <f>'７－５　サニールージュ部門収支'!F12*K$4</f>
        <v>0</v>
      </c>
      <c r="L14" s="65"/>
    </row>
    <row r="15" spans="2:12" ht="20.100000000000001" customHeight="1" x14ac:dyDescent="0.15">
      <c r="B15" s="927"/>
      <c r="C15" s="935"/>
      <c r="D15" s="937" t="s">
        <v>60</v>
      </c>
      <c r="E15" s="69" t="s">
        <v>191</v>
      </c>
      <c r="F15" s="68">
        <f t="shared" si="0"/>
        <v>379595.69124423969</v>
      </c>
      <c r="G15" s="68">
        <f>'７－１　ピオーネ（加温）部門収支'!F13*G$4</f>
        <v>0</v>
      </c>
      <c r="H15" s="68">
        <f>'７－１　ピオーネ（トンネル）部門収支'!F13*H$4</f>
        <v>284100</v>
      </c>
      <c r="I15" s="68">
        <f>'７－２　シャイン（加温）部門収支'!F13*I$4</f>
        <v>71557.845622119828</v>
      </c>
      <c r="J15" s="68">
        <f>'７－３　シャイン（トンネル）部門収支'!F13*J$4</f>
        <v>23937.845622119821</v>
      </c>
      <c r="K15" s="68">
        <f>'７－５　サニールージュ部門収支'!F13*K$4</f>
        <v>0</v>
      </c>
      <c r="L15" s="65"/>
    </row>
    <row r="16" spans="2:12" ht="20.100000000000001" customHeight="1" x14ac:dyDescent="0.15">
      <c r="B16" s="927"/>
      <c r="C16" s="935"/>
      <c r="D16" s="938"/>
      <c r="E16" s="69" t="s">
        <v>192</v>
      </c>
      <c r="F16" s="68">
        <f t="shared" si="0"/>
        <v>249050.07142857142</v>
      </c>
      <c r="G16" s="68">
        <f>'７－１　ピオーネ（加温）部門収支'!F14*G$4</f>
        <v>0</v>
      </c>
      <c r="H16" s="68">
        <f>'７－１　ピオーネ（トンネル）部門収支'!F14*H$4</f>
        <v>147227.83333333331</v>
      </c>
      <c r="I16" s="68">
        <f>'７－２　シャイン（加温）部門収支'!F14*I$4</f>
        <v>77503.976190476198</v>
      </c>
      <c r="J16" s="68">
        <f>'７－３　シャイン（トンネル）部門収支'!F14*J$4</f>
        <v>24318.261904761905</v>
      </c>
      <c r="K16" s="68">
        <f>'７－５　サニールージュ部門収支'!F14*K$4</f>
        <v>0</v>
      </c>
      <c r="L16" s="65"/>
    </row>
    <row r="17" spans="2:14" ht="20.100000000000001" customHeight="1" x14ac:dyDescent="0.15">
      <c r="B17" s="927"/>
      <c r="C17" s="935"/>
      <c r="D17" s="939" t="s">
        <v>78</v>
      </c>
      <c r="E17" s="69" t="s">
        <v>191</v>
      </c>
      <c r="F17" s="68">
        <f t="shared" si="0"/>
        <v>4585890.4521550555</v>
      </c>
      <c r="G17" s="68">
        <f>'７－１　ピオーネ（加温）部門収支'!F15*G$4</f>
        <v>0</v>
      </c>
      <c r="H17" s="68">
        <f>'７－１　ピオーネ（トンネル）部門収支'!F15*H$4</f>
        <v>2393784.562211982</v>
      </c>
      <c r="I17" s="68">
        <v>2</v>
      </c>
      <c r="J17" s="68">
        <f>'７－３　シャイン（トンネル）部門収支'!F15*J$4</f>
        <v>2192103.889943074</v>
      </c>
      <c r="K17" s="68">
        <f>'７－５　サニールージュ部門収支'!F15*K$4</f>
        <v>0</v>
      </c>
      <c r="L17" s="65"/>
    </row>
    <row r="18" spans="2:14" ht="20.100000000000001" customHeight="1" x14ac:dyDescent="0.15">
      <c r="B18" s="927"/>
      <c r="C18" s="935"/>
      <c r="D18" s="940"/>
      <c r="E18" s="69" t="s">
        <v>192</v>
      </c>
      <c r="F18" s="68">
        <f t="shared" si="0"/>
        <v>2522810</v>
      </c>
      <c r="G18" s="68">
        <f>'７－１　ピオーネ（加温）部門収支'!F16*G$4</f>
        <v>0</v>
      </c>
      <c r="H18" s="68">
        <f>'７－１　ピオーネ（トンネル）部門収支'!F16*H$4</f>
        <v>486365.23809523805</v>
      </c>
      <c r="I18" s="68">
        <f>'７－２　シャイン（加温）部門収支'!F16*I$4</f>
        <v>1550079.5238095238</v>
      </c>
      <c r="J18" s="68">
        <f>'７－３　シャイン（トンネル）部門収支'!F16*J$4</f>
        <v>486365.23809523805</v>
      </c>
      <c r="K18" s="68">
        <f>'７－５　サニールージュ部門収支'!F16*K$4</f>
        <v>0</v>
      </c>
      <c r="L18" s="65"/>
    </row>
    <row r="19" spans="2:14" ht="20.100000000000001" customHeight="1" x14ac:dyDescent="0.15">
      <c r="B19" s="927"/>
      <c r="C19" s="935"/>
      <c r="D19" s="938"/>
      <c r="E19" s="72" t="s">
        <v>61</v>
      </c>
      <c r="F19" s="68">
        <f t="shared" si="0"/>
        <v>3290690.2947049784</v>
      </c>
      <c r="G19" s="68">
        <f>'７－１　ピオーネ（加温）部門収支'!F17*G$4</f>
        <v>0</v>
      </c>
      <c r="H19" s="68">
        <f>'７－１　ピオーネ（トンネル）部門収支'!F17*H$4</f>
        <v>171270.43333333332</v>
      </c>
      <c r="I19" s="68">
        <f>'７－２　シャイン（加温）部門収支'!F17*I$4</f>
        <v>220475.36666666667</v>
      </c>
      <c r="J19" s="68">
        <f>'７－３　シャイン（トンネル）部門収支'!F17*J$4</f>
        <v>2898944.4947049785</v>
      </c>
      <c r="K19" s="68">
        <f>'７－５　サニールージュ部門収支'!F17*K$4</f>
        <v>0</v>
      </c>
      <c r="L19" s="65"/>
    </row>
    <row r="20" spans="2:14" ht="20.100000000000001" customHeight="1" x14ac:dyDescent="0.15">
      <c r="B20" s="927"/>
      <c r="C20" s="935"/>
      <c r="D20" s="941" t="s">
        <v>273</v>
      </c>
      <c r="E20" s="72" t="s">
        <v>108</v>
      </c>
      <c r="F20" s="68">
        <v>6400000</v>
      </c>
      <c r="G20" s="68">
        <f>F20*作業時間まとめ!D18</f>
        <v>0</v>
      </c>
      <c r="H20" s="68">
        <f>F20*作業時間まとめ!D19</f>
        <v>1999795.0469684033</v>
      </c>
      <c r="I20" s="68">
        <f>F20*作業時間まとめ!D20</f>
        <v>2400409.9060631935</v>
      </c>
      <c r="J20" s="68">
        <f>'４　経営収支'!F20*作業時間まとめ!D21</f>
        <v>1999795.0469684033</v>
      </c>
      <c r="K20" s="68">
        <f>F20*作業時間まとめ!D22</f>
        <v>0</v>
      </c>
      <c r="L20" s="65" t="s">
        <v>661</v>
      </c>
      <c r="N20" s="715">
        <f>SUM(G20:K20)</f>
        <v>6400000</v>
      </c>
    </row>
    <row r="21" spans="2:14" ht="20.100000000000001" customHeight="1" x14ac:dyDescent="0.15">
      <c r="B21" s="927"/>
      <c r="C21" s="935"/>
      <c r="D21" s="941"/>
      <c r="E21" s="72" t="s">
        <v>104</v>
      </c>
      <c r="F21" s="68">
        <f t="shared" si="0"/>
        <v>0</v>
      </c>
      <c r="G21" s="68">
        <f>'７－１　ピオーネ（加温）部門収支'!F19*G$4</f>
        <v>0</v>
      </c>
      <c r="H21" s="68">
        <f>'７－１　ピオーネ（トンネル）部門収支'!F19*H$4</f>
        <v>0</v>
      </c>
      <c r="I21" s="68">
        <f>'７－２　シャイン（加温）部門収支'!F19*I$4</f>
        <v>0</v>
      </c>
      <c r="J21" s="68">
        <f>'７－３　シャイン（トンネル）部門収支'!F19*J$4</f>
        <v>0</v>
      </c>
      <c r="K21" s="68">
        <f>'７－５　サニールージュ部門収支'!F19*K$4</f>
        <v>0</v>
      </c>
      <c r="L21" s="65"/>
      <c r="N21" s="716"/>
    </row>
    <row r="22" spans="2:14" ht="20.100000000000001" customHeight="1" x14ac:dyDescent="0.15">
      <c r="B22" s="927"/>
      <c r="C22" s="935"/>
      <c r="D22" s="941"/>
      <c r="E22" s="72" t="s">
        <v>105</v>
      </c>
      <c r="F22" s="68">
        <f>作業時間まとめ!AM14*900</f>
        <v>6083100</v>
      </c>
      <c r="G22" s="68">
        <f>作業時間まとめ!E18*900</f>
        <v>0</v>
      </c>
      <c r="H22" s="68">
        <f>作業時間まとめ!E19*900</f>
        <v>1900773.9453458583</v>
      </c>
      <c r="I22" s="68">
        <f>作業時間まとめ!E20*900</f>
        <v>2281552.1093082838</v>
      </c>
      <c r="J22" s="68">
        <f>作業時間まとめ!E21*900</f>
        <v>1900773.9453458583</v>
      </c>
      <c r="K22" s="68">
        <f>作業時間まとめ!E22*900</f>
        <v>0</v>
      </c>
      <c r="L22" s="65"/>
      <c r="N22" s="715">
        <f>SUM(G22:K22)</f>
        <v>6083100</v>
      </c>
    </row>
    <row r="23" spans="2:14" ht="20.100000000000001" customHeight="1" x14ac:dyDescent="0.15">
      <c r="B23" s="927"/>
      <c r="C23" s="935"/>
      <c r="D23" s="941"/>
      <c r="E23" s="238" t="s">
        <v>107</v>
      </c>
      <c r="F23" s="68">
        <f>(F20+F22)*0.012</f>
        <v>149797.20000000001</v>
      </c>
      <c r="G23" s="68">
        <f t="shared" ref="G23:K23" si="1">(G20+G22)*0.012</f>
        <v>0</v>
      </c>
      <c r="H23" s="68">
        <f t="shared" si="1"/>
        <v>46806.827907771134</v>
      </c>
      <c r="I23" s="68">
        <f t="shared" si="1"/>
        <v>56183.544184457729</v>
      </c>
      <c r="J23" s="68">
        <f t="shared" si="1"/>
        <v>46806.827907771134</v>
      </c>
      <c r="K23" s="68">
        <f t="shared" si="1"/>
        <v>0</v>
      </c>
      <c r="L23" s="65" t="s">
        <v>662</v>
      </c>
      <c r="N23" s="715">
        <f>SUM(G23:K23)</f>
        <v>149797.20000000001</v>
      </c>
    </row>
    <row r="24" spans="2:14" ht="20.100000000000001" customHeight="1" x14ac:dyDescent="0.15">
      <c r="B24" s="927"/>
      <c r="C24" s="935"/>
      <c r="D24" s="939" t="s">
        <v>62</v>
      </c>
      <c r="E24" s="63" t="s">
        <v>63</v>
      </c>
      <c r="F24" s="68">
        <f t="shared" si="0"/>
        <v>0</v>
      </c>
      <c r="G24" s="68">
        <f>'７－１　ピオーネ（加温）部門収支'!F22*G$4</f>
        <v>0</v>
      </c>
      <c r="H24" s="68">
        <f>'７－１　ピオーネ（トンネル）部門収支'!F22*H$4</f>
        <v>0</v>
      </c>
      <c r="I24" s="68">
        <f>'７－２　シャイン（加温）部門収支'!F22*I$4</f>
        <v>0</v>
      </c>
      <c r="J24" s="68">
        <f>'７－３　シャイン（トンネル）部門収支'!F22*J$4</f>
        <v>0</v>
      </c>
      <c r="K24" s="68">
        <f>'７－５　サニールージュ部門収支'!F22*K$4</f>
        <v>0</v>
      </c>
      <c r="L24" s="65"/>
      <c r="N24" s="716"/>
    </row>
    <row r="25" spans="2:14" ht="20.100000000000001" customHeight="1" x14ac:dyDescent="0.15">
      <c r="B25" s="927"/>
      <c r="C25" s="935"/>
      <c r="D25" s="938"/>
      <c r="E25" s="63" t="s">
        <v>79</v>
      </c>
      <c r="F25" s="64">
        <f t="shared" si="0"/>
        <v>0</v>
      </c>
      <c r="G25" s="68">
        <f>'７－１　ピオーネ（加温）部門収支'!F23*G$4</f>
        <v>0</v>
      </c>
      <c r="H25" s="68">
        <f>'７－１　ピオーネ（トンネル）部門収支'!F23*H$4</f>
        <v>0</v>
      </c>
      <c r="I25" s="68">
        <f>'７－２　シャイン（加温）部門収支'!F23*I$4</f>
        <v>0</v>
      </c>
      <c r="J25" s="68">
        <f>'７－３　シャイン（トンネル）部門収支'!F23*J$4</f>
        <v>0</v>
      </c>
      <c r="K25" s="68">
        <f>'７－５　サニールージュ部門収支'!F23*K$4</f>
        <v>0</v>
      </c>
      <c r="L25" s="65"/>
    </row>
    <row r="26" spans="2:14" ht="20.100000000000001" customHeight="1" x14ac:dyDescent="0.15">
      <c r="B26" s="927"/>
      <c r="C26" s="935"/>
      <c r="D26" s="62" t="s">
        <v>64</v>
      </c>
      <c r="E26" s="63"/>
      <c r="F26" s="64">
        <f t="shared" si="0"/>
        <v>450000</v>
      </c>
      <c r="G26" s="68">
        <f>'７－１　ピオーネ（加温）部門収支'!F24*G$4</f>
        <v>0</v>
      </c>
      <c r="H26" s="68">
        <f>'７－１　ピオーネ（トンネル）部門収支'!F24*H$4</f>
        <v>150000</v>
      </c>
      <c r="I26" s="68">
        <f>'７－２　シャイン（加温）部門収支'!F24*I$4</f>
        <v>150000</v>
      </c>
      <c r="J26" s="68">
        <f>'７－３　シャイン（トンネル）部門収支'!F24*J$4</f>
        <v>150000</v>
      </c>
      <c r="K26" s="68">
        <f>'７－５　サニールージュ部門収支'!F24*K$4</f>
        <v>0</v>
      </c>
      <c r="L26" s="65"/>
    </row>
    <row r="27" spans="2:14" ht="20.100000000000001" customHeight="1" x14ac:dyDescent="0.15">
      <c r="B27" s="927"/>
      <c r="C27" s="935"/>
      <c r="D27" s="62" t="s">
        <v>166</v>
      </c>
      <c r="E27" s="63"/>
      <c r="F27" s="64">
        <f t="shared" si="0"/>
        <v>268971.98123717937</v>
      </c>
      <c r="G27" s="68">
        <f>'７－１　ピオーネ（加温）部門収支'!F25*G$4</f>
        <v>0</v>
      </c>
      <c r="H27" s="68">
        <f>'７－１　ピオーネ（トンネル）部門収支'!F25*H$4</f>
        <v>56023.347918039028</v>
      </c>
      <c r="I27" s="68">
        <f>'７－２　シャイン（加温）部門収支'!F25*I$4</f>
        <v>135466.73324659339</v>
      </c>
      <c r="J27" s="68">
        <f>'７－３　シャイン（トンネル）部門収支'!F25*J$4</f>
        <v>77481.900072546952</v>
      </c>
      <c r="K27" s="68">
        <f>'７－５　サニールージュ部門収支'!F25*K$4</f>
        <v>0</v>
      </c>
      <c r="L27" s="65"/>
    </row>
    <row r="28" spans="2:14" ht="20.100000000000001" customHeight="1" x14ac:dyDescent="0.15">
      <c r="B28" s="927"/>
      <c r="C28" s="936"/>
      <c r="D28" s="942" t="s">
        <v>212</v>
      </c>
      <c r="E28" s="943"/>
      <c r="F28" s="70">
        <f t="shared" si="0"/>
        <v>32374312.76150595</v>
      </c>
      <c r="G28" s="70">
        <f>SUM(G8:G27)</f>
        <v>0</v>
      </c>
      <c r="H28" s="70">
        <f>SUM(H8:H27)</f>
        <v>9549710.6120259352</v>
      </c>
      <c r="I28" s="70">
        <f>SUM(I8:I27)</f>
        <v>11129036.322003288</v>
      </c>
      <c r="J28" s="70">
        <f>SUM(J8:J27)</f>
        <v>11695565.827476729</v>
      </c>
      <c r="K28" s="70">
        <f>SUM(K8:K27)</f>
        <v>0</v>
      </c>
      <c r="L28" s="65"/>
    </row>
    <row r="29" spans="2:14" ht="20.100000000000001" customHeight="1" x14ac:dyDescent="0.15">
      <c r="B29" s="927"/>
      <c r="C29" s="932" t="s">
        <v>209</v>
      </c>
      <c r="D29" s="944"/>
      <c r="E29" s="933"/>
      <c r="F29" s="66">
        <f>+F7-F28</f>
        <v>25589287.23849405</v>
      </c>
      <c r="G29" s="66">
        <f>G7-G28</f>
        <v>0</v>
      </c>
      <c r="H29" s="66">
        <f>H7-H28</f>
        <v>4339089.3879740648</v>
      </c>
      <c r="I29" s="66">
        <f>I7-I28</f>
        <v>14402163.677996712</v>
      </c>
      <c r="J29" s="66">
        <f>J7-J28</f>
        <v>6848034.1725232713</v>
      </c>
      <c r="K29" s="66">
        <f>K7-K28</f>
        <v>0</v>
      </c>
      <c r="L29" s="65"/>
    </row>
    <row r="30" spans="2:14" ht="20.100000000000001" customHeight="1" x14ac:dyDescent="0.15">
      <c r="B30" s="927"/>
      <c r="C30" s="945" t="s">
        <v>198</v>
      </c>
      <c r="D30" s="948" t="s">
        <v>65</v>
      </c>
      <c r="E30" s="84" t="s">
        <v>3</v>
      </c>
      <c r="F30" s="71">
        <f t="shared" si="0"/>
        <v>3888000</v>
      </c>
      <c r="G30" s="68">
        <f>'７－１　ピオーネ（加温）部門収支'!F27*G$4</f>
        <v>0</v>
      </c>
      <c r="H30" s="68">
        <f>'７－１　ピオーネ（トンネル）部門収支'!F27*H$4</f>
        <v>1296000</v>
      </c>
      <c r="I30" s="68">
        <f>'７－２　シャイン（加温）部門収支'!F27*I$4</f>
        <v>1296000</v>
      </c>
      <c r="J30" s="68">
        <f>'７－３　シャイン（トンネル）部門収支'!F27*J$4</f>
        <v>1296000</v>
      </c>
      <c r="K30" s="68">
        <f>'７－５　サニールージュ部門収支'!F27*K$4</f>
        <v>0</v>
      </c>
      <c r="L30" s="65"/>
    </row>
    <row r="31" spans="2:14" ht="20.100000000000001" customHeight="1" x14ac:dyDescent="0.15">
      <c r="B31" s="927"/>
      <c r="C31" s="946"/>
      <c r="D31" s="949"/>
      <c r="E31" s="84" t="s">
        <v>4</v>
      </c>
      <c r="F31" s="71">
        <f t="shared" si="0"/>
        <v>874800</v>
      </c>
      <c r="G31" s="68">
        <f>'７－１　ピオーネ（加温）部門収支'!F28*G$4</f>
        <v>0</v>
      </c>
      <c r="H31" s="68">
        <f>'７－１　ピオーネ（トンネル）部門収支'!F28*H$4</f>
        <v>291600</v>
      </c>
      <c r="I31" s="68">
        <f>'７－２　シャイン（加温）部門収支'!F28*I$4</f>
        <v>291600</v>
      </c>
      <c r="J31" s="68">
        <f>'７－３　シャイン（トンネル）部門収支'!F28*J$4</f>
        <v>291600</v>
      </c>
      <c r="K31" s="68">
        <f>'７－５　サニールージュ部門収支'!F28*K$4</f>
        <v>0</v>
      </c>
      <c r="L31" s="65"/>
    </row>
    <row r="32" spans="2:14" ht="20.100000000000001" customHeight="1" x14ac:dyDescent="0.15">
      <c r="B32" s="927"/>
      <c r="C32" s="946"/>
      <c r="D32" s="950"/>
      <c r="E32" s="84" t="s">
        <v>8</v>
      </c>
      <c r="F32" s="71">
        <f t="shared" si="0"/>
        <v>6375996</v>
      </c>
      <c r="G32" s="68">
        <f>'７－１　ピオーネ（加温）部門収支'!F29*G$4</f>
        <v>0</v>
      </c>
      <c r="H32" s="68">
        <f>'７－１　ピオーネ（トンネル）部門収支'!F29*H$4</f>
        <v>1527768</v>
      </c>
      <c r="I32" s="68">
        <f>'７－２　シャイン（加温）部門収支'!F29*I$4</f>
        <v>2808432</v>
      </c>
      <c r="J32" s="68">
        <f>'７－３　シャイン（トンネル）部門収支'!F29*J$4</f>
        <v>2039796</v>
      </c>
      <c r="K32" s="68">
        <f>'７－５　サニールージュ部門収支'!F29*K$4</f>
        <v>0</v>
      </c>
      <c r="L32" s="65"/>
    </row>
    <row r="33" spans="2:12" ht="20.100000000000001" customHeight="1" x14ac:dyDescent="0.15">
      <c r="B33" s="927"/>
      <c r="C33" s="946"/>
      <c r="D33" s="84" t="s">
        <v>66</v>
      </c>
      <c r="E33" s="85"/>
      <c r="F33" s="64">
        <v>5500000</v>
      </c>
      <c r="G33" s="68"/>
      <c r="H33" s="68"/>
      <c r="I33" s="68"/>
      <c r="J33" s="68"/>
      <c r="K33" s="68"/>
      <c r="L33" s="65" t="s">
        <v>647</v>
      </c>
    </row>
    <row r="34" spans="2:12" ht="20.100000000000001" customHeight="1" x14ac:dyDescent="0.15">
      <c r="B34" s="927"/>
      <c r="C34" s="946"/>
      <c r="D34" s="953" t="s">
        <v>274</v>
      </c>
      <c r="E34" s="72" t="s">
        <v>108</v>
      </c>
      <c r="F34" s="71"/>
      <c r="G34" s="68">
        <f>G$7/$F$7*$F34</f>
        <v>0</v>
      </c>
      <c r="H34" s="68">
        <f t="shared" ref="H34:K37" si="2">H$7/$F$7*$F34</f>
        <v>0</v>
      </c>
      <c r="I34" s="68">
        <f t="shared" si="2"/>
        <v>0</v>
      </c>
      <c r="J34" s="68">
        <f>J$7/$F$7*$F34</f>
        <v>0</v>
      </c>
      <c r="K34" s="68">
        <f t="shared" si="2"/>
        <v>0</v>
      </c>
      <c r="L34" s="65"/>
    </row>
    <row r="35" spans="2:12" ht="20.100000000000001" customHeight="1" x14ac:dyDescent="0.15">
      <c r="B35" s="927"/>
      <c r="C35" s="946"/>
      <c r="D35" s="953"/>
      <c r="E35" s="72" t="s">
        <v>107</v>
      </c>
      <c r="F35" s="71"/>
      <c r="G35" s="68">
        <f>G$7/$F$7*$F35</f>
        <v>0</v>
      </c>
      <c r="H35" s="68">
        <f t="shared" si="2"/>
        <v>0</v>
      </c>
      <c r="I35" s="68">
        <f t="shared" si="2"/>
        <v>0</v>
      </c>
      <c r="J35" s="68">
        <f t="shared" si="2"/>
        <v>0</v>
      </c>
      <c r="K35" s="68">
        <f t="shared" si="2"/>
        <v>0</v>
      </c>
      <c r="L35" s="65"/>
    </row>
    <row r="36" spans="2:12" ht="20.100000000000001" customHeight="1" x14ac:dyDescent="0.15">
      <c r="B36" s="927"/>
      <c r="C36" s="946"/>
      <c r="D36" s="84" t="s">
        <v>67</v>
      </c>
      <c r="E36" s="85"/>
      <c r="F36" s="64"/>
      <c r="G36" s="68">
        <f>G$7/$F$7*$F36</f>
        <v>0</v>
      </c>
      <c r="H36" s="68">
        <f>H$7/$F$7*$F36</f>
        <v>0</v>
      </c>
      <c r="I36" s="68">
        <f t="shared" si="2"/>
        <v>0</v>
      </c>
      <c r="J36" s="68">
        <f t="shared" si="2"/>
        <v>0</v>
      </c>
      <c r="K36" s="68">
        <f t="shared" si="2"/>
        <v>0</v>
      </c>
      <c r="L36" s="65"/>
    </row>
    <row r="37" spans="2:12" ht="20.100000000000001" customHeight="1" x14ac:dyDescent="0.15">
      <c r="B37" s="927"/>
      <c r="C37" s="946"/>
      <c r="D37" s="84" t="s">
        <v>80</v>
      </c>
      <c r="E37" s="85"/>
      <c r="F37" s="64"/>
      <c r="G37" s="68">
        <f>G$7/$F$7*$F37</f>
        <v>0</v>
      </c>
      <c r="H37" s="68">
        <f t="shared" si="2"/>
        <v>0</v>
      </c>
      <c r="I37" s="68">
        <f t="shared" si="2"/>
        <v>0</v>
      </c>
      <c r="J37" s="68">
        <f t="shared" si="2"/>
        <v>0</v>
      </c>
      <c r="K37" s="68">
        <f t="shared" si="2"/>
        <v>0</v>
      </c>
      <c r="L37" s="65"/>
    </row>
    <row r="38" spans="2:12" ht="20.100000000000001" customHeight="1" x14ac:dyDescent="0.15">
      <c r="B38" s="927"/>
      <c r="C38" s="946"/>
      <c r="D38" s="84" t="s">
        <v>111</v>
      </c>
      <c r="E38" s="85"/>
      <c r="F38" s="64">
        <f t="shared" si="0"/>
        <v>260116.66666666669</v>
      </c>
      <c r="G38" s="68">
        <f>'７－１　ピオーネ（加温）部門収支'!F35*G$4</f>
        <v>0</v>
      </c>
      <c r="H38" s="68">
        <f>'７－１　ピオーネ（トンネル）部門収支'!F35*H$4</f>
        <v>77683.333333333328</v>
      </c>
      <c r="I38" s="68">
        <f>'７－２　シャイン（加温）部門収支'!F35*I$4</f>
        <v>91216.666666666672</v>
      </c>
      <c r="J38" s="68">
        <f>'７－３　シャイン（トンネル）部門収支'!F35*J$4</f>
        <v>91216.666666666672</v>
      </c>
      <c r="K38" s="68">
        <f>'７－５　サニールージュ部門収支'!F35*K$4</f>
        <v>0</v>
      </c>
      <c r="L38" s="65"/>
    </row>
    <row r="39" spans="2:12" ht="20.100000000000001" customHeight="1" x14ac:dyDescent="0.15">
      <c r="B39" s="927"/>
      <c r="C39" s="946"/>
      <c r="D39" s="84" t="s">
        <v>81</v>
      </c>
      <c r="E39" s="85"/>
      <c r="F39" s="64">
        <f t="shared" si="0"/>
        <v>0</v>
      </c>
      <c r="G39" s="68">
        <f>'７－１　ピオーネ（加温）部門収支'!F36*G$4</f>
        <v>0</v>
      </c>
      <c r="H39" s="68">
        <f>'７－１　ピオーネ（トンネル）部門収支'!F36*H$4</f>
        <v>0</v>
      </c>
      <c r="I39" s="68">
        <f>'７－２　シャイン（加温）部門収支'!F36*I$4</f>
        <v>0</v>
      </c>
      <c r="J39" s="68">
        <f>'７－３　シャイン（トンネル）部門収支'!F36*J$4</f>
        <v>0</v>
      </c>
      <c r="K39" s="68">
        <f>'７－５　サニールージュ部門収支'!F36*K$4</f>
        <v>0</v>
      </c>
      <c r="L39" s="65"/>
    </row>
    <row r="40" spans="2:12" ht="20.100000000000001" customHeight="1" x14ac:dyDescent="0.15">
      <c r="B40" s="927"/>
      <c r="C40" s="946"/>
      <c r="D40" s="84" t="s">
        <v>68</v>
      </c>
      <c r="E40" s="85"/>
      <c r="F40" s="64">
        <f t="shared" si="0"/>
        <v>45349.333333333336</v>
      </c>
      <c r="G40" s="68">
        <f>'７－１　ピオーネ（加温）部門収支'!F37*G$4</f>
        <v>0</v>
      </c>
      <c r="H40" s="68">
        <f>'７－１　ピオーネ（トンネル）部門収支'!F37*H$4</f>
        <v>15672</v>
      </c>
      <c r="I40" s="68">
        <f>'７－２　シャイン（加温）部門収支'!F37*I$4</f>
        <v>14005.333333333334</v>
      </c>
      <c r="J40" s="68">
        <f>'７－３　シャイン（トンネル）部門収支'!F37*J$4</f>
        <v>15672</v>
      </c>
      <c r="K40" s="68">
        <f>'７－５　サニールージュ部門収支'!F37*K$4</f>
        <v>0</v>
      </c>
      <c r="L40" s="65"/>
    </row>
    <row r="41" spans="2:12" ht="20.100000000000001" customHeight="1" x14ac:dyDescent="0.15">
      <c r="B41" s="927"/>
      <c r="C41" s="946"/>
      <c r="D41" s="84" t="s">
        <v>0</v>
      </c>
      <c r="E41" s="85"/>
      <c r="F41" s="64"/>
      <c r="G41" s="68">
        <f>G$7/$F$7*$F41</f>
        <v>0</v>
      </c>
      <c r="H41" s="68">
        <f t="shared" ref="H41:K41" si="3">H$7/$F$7*$F41</f>
        <v>0</v>
      </c>
      <c r="I41" s="68">
        <f t="shared" si="3"/>
        <v>0</v>
      </c>
      <c r="J41" s="68">
        <f t="shared" si="3"/>
        <v>0</v>
      </c>
      <c r="K41" s="68">
        <f t="shared" si="3"/>
        <v>0</v>
      </c>
      <c r="L41" s="65"/>
    </row>
    <row r="42" spans="2:12" ht="20.100000000000001" customHeight="1" thickBot="1" x14ac:dyDescent="0.2">
      <c r="B42" s="928"/>
      <c r="C42" s="947"/>
      <c r="D42" s="951" t="s">
        <v>210</v>
      </c>
      <c r="E42" s="952"/>
      <c r="F42" s="74">
        <f t="shared" ref="F42:K42" si="4">SUM(F30:F41)</f>
        <v>16944262</v>
      </c>
      <c r="G42" s="74">
        <f t="shared" si="4"/>
        <v>0</v>
      </c>
      <c r="H42" s="74">
        <f t="shared" si="4"/>
        <v>3208723.3333333335</v>
      </c>
      <c r="I42" s="74">
        <f t="shared" si="4"/>
        <v>4501254</v>
      </c>
      <c r="J42" s="74">
        <f t="shared" si="4"/>
        <v>3734284.6666666665</v>
      </c>
      <c r="K42" s="74">
        <f t="shared" si="4"/>
        <v>0</v>
      </c>
      <c r="L42" s="75"/>
    </row>
    <row r="43" spans="2:12" ht="20.100000000000001" customHeight="1" thickBot="1" x14ac:dyDescent="0.2">
      <c r="B43" s="956" t="s">
        <v>213</v>
      </c>
      <c r="C43" s="957"/>
      <c r="D43" s="957"/>
      <c r="E43" s="957"/>
      <c r="F43" s="76">
        <f>F29-F42</f>
        <v>8645025.2384940498</v>
      </c>
      <c r="G43" s="367">
        <f t="shared" ref="G43:J43" si="5">G29-G42</f>
        <v>0</v>
      </c>
      <c r="H43" s="76">
        <f t="shared" si="5"/>
        <v>1130366.0546407313</v>
      </c>
      <c r="I43" s="367">
        <f t="shared" si="5"/>
        <v>9900909.6779967118</v>
      </c>
      <c r="J43" s="367">
        <f t="shared" si="5"/>
        <v>3113749.5058566048</v>
      </c>
      <c r="K43" s="367">
        <f>K29-K42</f>
        <v>0</v>
      </c>
      <c r="L43" s="77"/>
    </row>
    <row r="44" spans="2:12" ht="20.100000000000001" customHeight="1" x14ac:dyDescent="0.15">
      <c r="B44" s="926" t="s">
        <v>82</v>
      </c>
      <c r="C44" s="959" t="s">
        <v>214</v>
      </c>
      <c r="D44" s="78" t="s">
        <v>110</v>
      </c>
      <c r="E44" s="79"/>
      <c r="F44" s="80">
        <f t="shared" si="0"/>
        <v>0</v>
      </c>
      <c r="G44" s="366">
        <f>'７－１　ピオーネ（加温）部門収支'!F40*G$4</f>
        <v>0</v>
      </c>
      <c r="H44" s="81">
        <f>'７－１　ピオーネ（トンネル）部門収支'!F40*H$4</f>
        <v>0</v>
      </c>
      <c r="I44" s="366">
        <f>'７－２　シャイン（加温）部門収支'!F40*I$4</f>
        <v>0</v>
      </c>
      <c r="J44" s="366">
        <f>'７－３　シャイン（トンネル）部門収支'!F40*J$4</f>
        <v>0</v>
      </c>
      <c r="K44" s="366">
        <f>'７－５　サニールージュ部門収支'!F40*K$4</f>
        <v>0</v>
      </c>
      <c r="L44" s="61"/>
    </row>
    <row r="45" spans="2:12" ht="20.100000000000001" customHeight="1" x14ac:dyDescent="0.15">
      <c r="B45" s="927"/>
      <c r="C45" s="960"/>
      <c r="D45" s="62" t="s">
        <v>109</v>
      </c>
      <c r="E45" s="63"/>
      <c r="F45" s="82">
        <f t="shared" si="0"/>
        <v>0</v>
      </c>
      <c r="G45" s="366">
        <f>'７－１　ピオーネ（加温）部門収支'!F41*G$4</f>
        <v>0</v>
      </c>
      <c r="H45" s="64">
        <f>'７－１　ピオーネ（トンネル）部門収支'!F41*H$4</f>
        <v>0</v>
      </c>
      <c r="I45" s="68">
        <f>'７－２　シャイン（加温）部門収支'!F41*I$4</f>
        <v>0</v>
      </c>
      <c r="J45" s="68">
        <f>'７－３　シャイン（トンネル）部門収支'!F41*J$4</f>
        <v>0</v>
      </c>
      <c r="K45" s="68">
        <f>'７－５　サニールージュ部門収支'!F41*K$4</f>
        <v>0</v>
      </c>
      <c r="L45" s="83"/>
    </row>
    <row r="46" spans="2:12" ht="20.100000000000001" customHeight="1" x14ac:dyDescent="0.15">
      <c r="B46" s="927"/>
      <c r="C46" s="961"/>
      <c r="D46" s="84" t="s">
        <v>69</v>
      </c>
      <c r="E46" s="63"/>
      <c r="F46" s="82">
        <f t="shared" si="0"/>
        <v>0</v>
      </c>
      <c r="G46" s="366">
        <f>'７－１　ピオーネ（加温）部門収支'!F42*G$4</f>
        <v>0</v>
      </c>
      <c r="H46" s="64">
        <f>'７－１　ピオーネ（トンネル）部門収支'!F42*H$4</f>
        <v>0</v>
      </c>
      <c r="I46" s="68">
        <f>'７－２　シャイン（加温）部門収支'!F42*I$4</f>
        <v>0</v>
      </c>
      <c r="J46" s="68">
        <f>'７－３　シャイン（トンネル）部門収支'!F42*J$4</f>
        <v>0</v>
      </c>
      <c r="K46" s="68">
        <f>'７－５　サニールージュ部門収支'!F42*K$4</f>
        <v>0</v>
      </c>
      <c r="L46" s="65"/>
    </row>
    <row r="47" spans="2:12" ht="20.100000000000001" customHeight="1" x14ac:dyDescent="0.15">
      <c r="B47" s="927"/>
      <c r="C47" s="961" t="s">
        <v>215</v>
      </c>
      <c r="D47" s="84" t="s">
        <v>275</v>
      </c>
      <c r="E47" s="85"/>
      <c r="F47" s="82">
        <f t="shared" si="0"/>
        <v>0</v>
      </c>
      <c r="G47" s="366">
        <f>'７－１　ピオーネ（加温）部門収支'!F43*G$4</f>
        <v>0</v>
      </c>
      <c r="H47" s="64">
        <f>'７－１　ピオーネ（トンネル）部門収支'!F43*H$4</f>
        <v>0</v>
      </c>
      <c r="I47" s="68">
        <f>'７－２　シャイン（加温）部門収支'!F43*I$4</f>
        <v>0</v>
      </c>
      <c r="J47" s="68">
        <f>'７－３　シャイン（トンネル）部門収支'!F43*J$4</f>
        <v>0</v>
      </c>
      <c r="K47" s="68">
        <f>'７－５　サニールージュ部門収支'!F43*K$4</f>
        <v>0</v>
      </c>
      <c r="L47" s="83"/>
    </row>
    <row r="48" spans="2:12" ht="20.100000000000001" customHeight="1" x14ac:dyDescent="0.15">
      <c r="B48" s="927"/>
      <c r="C48" s="945"/>
      <c r="D48" s="86" t="s">
        <v>1</v>
      </c>
      <c r="E48" s="87"/>
      <c r="F48" s="88">
        <f t="shared" si="0"/>
        <v>0</v>
      </c>
      <c r="G48" s="366">
        <f>'７－１　ピオーネ（加温）部門収支'!F44*G$4</f>
        <v>0</v>
      </c>
      <c r="H48" s="64">
        <f>'７－１　ピオーネ（トンネル）部門収支'!F44*H$4</f>
        <v>0</v>
      </c>
      <c r="I48" s="68">
        <f>'７－２　シャイン（加温）部門収支'!F44*I$4</f>
        <v>0</v>
      </c>
      <c r="J48" s="68">
        <f>'７－３　シャイン（トンネル）部門収支'!F44*J$4</f>
        <v>0</v>
      </c>
      <c r="K48" s="68">
        <f>'７－５　サニールージュ部門収支'!F44*K$4</f>
        <v>0</v>
      </c>
      <c r="L48" s="89"/>
    </row>
    <row r="49" spans="2:12" ht="20.100000000000001" customHeight="1" thickBot="1" x14ac:dyDescent="0.2">
      <c r="B49" s="958"/>
      <c r="C49" s="951" t="s">
        <v>216</v>
      </c>
      <c r="D49" s="962"/>
      <c r="E49" s="952"/>
      <c r="F49" s="90">
        <f>SUM(F44:F46)-SUM(F47:F48)</f>
        <v>0</v>
      </c>
      <c r="G49" s="90">
        <f t="shared" ref="G49:K49" si="6">SUM(G44:G46)-SUM(G47:G48)</f>
        <v>0</v>
      </c>
      <c r="H49" s="90">
        <f t="shared" si="6"/>
        <v>0</v>
      </c>
      <c r="I49" s="90">
        <f t="shared" ref="I49" si="7">SUM(I44:I46)-SUM(I47:I48)</f>
        <v>0</v>
      </c>
      <c r="J49" s="90">
        <f t="shared" ref="J49" si="8">SUM(J44:J46)-SUM(J47:J48)</f>
        <v>0</v>
      </c>
      <c r="K49" s="90">
        <f t="shared" si="6"/>
        <v>0</v>
      </c>
      <c r="L49" s="75"/>
    </row>
    <row r="50" spans="2:12" ht="20.100000000000001" customHeight="1" x14ac:dyDescent="0.15">
      <c r="B50" s="954" t="s">
        <v>217</v>
      </c>
      <c r="C50" s="955"/>
      <c r="D50" s="955"/>
      <c r="E50" s="955"/>
      <c r="F50" s="91">
        <f>F43+F49</f>
        <v>8645025.2384940498</v>
      </c>
      <c r="G50" s="91">
        <f t="shared" ref="G50:K50" si="9">G43+G49</f>
        <v>0</v>
      </c>
      <c r="H50" s="91">
        <f t="shared" si="9"/>
        <v>1130366.0546407313</v>
      </c>
      <c r="I50" s="91">
        <f t="shared" si="9"/>
        <v>9900909.6779967118</v>
      </c>
      <c r="J50" s="91">
        <f t="shared" si="9"/>
        <v>3113749.5058566048</v>
      </c>
      <c r="K50" s="91">
        <f t="shared" si="9"/>
        <v>0</v>
      </c>
      <c r="L50" s="83"/>
    </row>
  </sheetData>
  <mergeCells count="22">
    <mergeCell ref="B50:E50"/>
    <mergeCell ref="B43:E43"/>
    <mergeCell ref="B44:B49"/>
    <mergeCell ref="C44:C46"/>
    <mergeCell ref="C47:C48"/>
    <mergeCell ref="C49:E49"/>
    <mergeCell ref="B3:E4"/>
    <mergeCell ref="L3:L4"/>
    <mergeCell ref="B5:B42"/>
    <mergeCell ref="C5:C7"/>
    <mergeCell ref="D7:E7"/>
    <mergeCell ref="C8:C28"/>
    <mergeCell ref="D15:D16"/>
    <mergeCell ref="D17:D19"/>
    <mergeCell ref="D20:D23"/>
    <mergeCell ref="D24:D25"/>
    <mergeCell ref="D28:E28"/>
    <mergeCell ref="C29:E29"/>
    <mergeCell ref="C30:C42"/>
    <mergeCell ref="D30:D32"/>
    <mergeCell ref="D42:E42"/>
    <mergeCell ref="D34:D35"/>
  </mergeCells>
  <phoneticPr fontId="5"/>
  <pageMargins left="0.78740157480314965" right="0.78740157480314965" top="0.78740157480314965" bottom="0.78740157480314965" header="0.39370078740157483" footer="0.39370078740157483"/>
  <pageSetup paperSize="9" scale="53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28"/>
  <sheetViews>
    <sheetView zoomScale="75" zoomScaleNormal="75" zoomScaleSheetLayoutView="80" workbookViewId="0"/>
  </sheetViews>
  <sheetFormatPr defaultRowHeight="13.5" x14ac:dyDescent="0.15"/>
  <cols>
    <col min="1" max="1" width="2" customWidth="1"/>
    <col min="2" max="2" width="12.75" customWidth="1"/>
    <col min="3" max="38" width="6.125" customWidth="1"/>
    <col min="39" max="39" width="8.125" customWidth="1"/>
    <col min="40" max="40" width="6.125" customWidth="1"/>
  </cols>
  <sheetData>
    <row r="1" spans="2:39" ht="14.25" thickBot="1" x14ac:dyDescent="0.2"/>
    <row r="2" spans="2:39" ht="20.100000000000001" customHeight="1" x14ac:dyDescent="0.15">
      <c r="B2" s="764" t="s">
        <v>649</v>
      </c>
      <c r="C2" s="968">
        <v>1</v>
      </c>
      <c r="D2" s="969"/>
      <c r="E2" s="970"/>
      <c r="F2" s="969">
        <v>2</v>
      </c>
      <c r="G2" s="969"/>
      <c r="H2" s="969"/>
      <c r="I2" s="968">
        <v>3</v>
      </c>
      <c r="J2" s="969"/>
      <c r="K2" s="970"/>
      <c r="L2" s="969">
        <v>4</v>
      </c>
      <c r="M2" s="969"/>
      <c r="N2" s="969"/>
      <c r="O2" s="968">
        <v>5</v>
      </c>
      <c r="P2" s="969"/>
      <c r="Q2" s="970"/>
      <c r="R2" s="963">
        <v>6</v>
      </c>
      <c r="S2" s="963"/>
      <c r="T2" s="963"/>
      <c r="U2" s="968">
        <v>7</v>
      </c>
      <c r="V2" s="969"/>
      <c r="W2" s="970"/>
      <c r="X2" s="969">
        <v>8</v>
      </c>
      <c r="Y2" s="969"/>
      <c r="Z2" s="969"/>
      <c r="AA2" s="968">
        <v>9</v>
      </c>
      <c r="AB2" s="969"/>
      <c r="AC2" s="970"/>
      <c r="AD2" s="969">
        <v>10</v>
      </c>
      <c r="AE2" s="969"/>
      <c r="AF2" s="969"/>
      <c r="AG2" s="968">
        <v>11</v>
      </c>
      <c r="AH2" s="969"/>
      <c r="AI2" s="970"/>
      <c r="AJ2" s="969">
        <v>12</v>
      </c>
      <c r="AK2" s="969"/>
      <c r="AL2" s="969"/>
      <c r="AM2" s="971" t="s">
        <v>33</v>
      </c>
    </row>
    <row r="3" spans="2:39" ht="20.100000000000001" customHeight="1" x14ac:dyDescent="0.15">
      <c r="B3" s="765"/>
      <c r="C3" s="760" t="s">
        <v>34</v>
      </c>
      <c r="D3" s="761" t="s">
        <v>35</v>
      </c>
      <c r="E3" s="762" t="s">
        <v>36</v>
      </c>
      <c r="F3" s="546" t="s">
        <v>34</v>
      </c>
      <c r="G3" s="640" t="s">
        <v>35</v>
      </c>
      <c r="H3" s="640" t="s">
        <v>36</v>
      </c>
      <c r="I3" s="760" t="s">
        <v>34</v>
      </c>
      <c r="J3" s="640" t="s">
        <v>35</v>
      </c>
      <c r="K3" s="762" t="s">
        <v>36</v>
      </c>
      <c r="L3" s="546" t="s">
        <v>34</v>
      </c>
      <c r="M3" s="640" t="s">
        <v>35</v>
      </c>
      <c r="N3" s="640" t="s">
        <v>36</v>
      </c>
      <c r="O3" s="760" t="s">
        <v>34</v>
      </c>
      <c r="P3" s="640" t="s">
        <v>35</v>
      </c>
      <c r="Q3" s="762" t="s">
        <v>36</v>
      </c>
      <c r="R3" s="801" t="s">
        <v>34</v>
      </c>
      <c r="S3" s="802" t="s">
        <v>35</v>
      </c>
      <c r="T3" s="803" t="s">
        <v>36</v>
      </c>
      <c r="U3" s="760" t="s">
        <v>34</v>
      </c>
      <c r="V3" s="640" t="s">
        <v>35</v>
      </c>
      <c r="W3" s="762" t="s">
        <v>36</v>
      </c>
      <c r="X3" s="546" t="s">
        <v>34</v>
      </c>
      <c r="Y3" s="640" t="s">
        <v>35</v>
      </c>
      <c r="Z3" s="640" t="s">
        <v>36</v>
      </c>
      <c r="AA3" s="760" t="s">
        <v>34</v>
      </c>
      <c r="AB3" s="640" t="s">
        <v>35</v>
      </c>
      <c r="AC3" s="762" t="s">
        <v>36</v>
      </c>
      <c r="AD3" s="546" t="s">
        <v>34</v>
      </c>
      <c r="AE3" s="640" t="s">
        <v>35</v>
      </c>
      <c r="AF3" s="640" t="s">
        <v>36</v>
      </c>
      <c r="AG3" s="760" t="s">
        <v>34</v>
      </c>
      <c r="AH3" s="640" t="s">
        <v>35</v>
      </c>
      <c r="AI3" s="762" t="s">
        <v>36</v>
      </c>
      <c r="AJ3" s="546" t="s">
        <v>34</v>
      </c>
      <c r="AK3" s="640" t="s">
        <v>35</v>
      </c>
      <c r="AL3" s="640" t="s">
        <v>36</v>
      </c>
      <c r="AM3" s="972"/>
    </row>
    <row r="4" spans="2:39" hidden="1" x14ac:dyDescent="0.15">
      <c r="B4" s="766" t="s">
        <v>652</v>
      </c>
      <c r="C4" s="641">
        <f>'５－１　ピオーネ(加温)作業時間'!C42</f>
        <v>0</v>
      </c>
      <c r="D4" s="759">
        <f>'５－１　ピオーネ(加温)作業時間'!D42</f>
        <v>0</v>
      </c>
      <c r="E4" s="763">
        <f>'５－１　ピオーネ(加温)作業時間'!E42</f>
        <v>0</v>
      </c>
      <c r="F4" s="759">
        <f>'５－１　ピオーネ(加温)作業時間'!F42</f>
        <v>0</v>
      </c>
      <c r="G4" s="759">
        <f>'５－１　ピオーネ(加温)作業時間'!G42</f>
        <v>0</v>
      </c>
      <c r="H4" s="759">
        <f>'５－１　ピオーネ(加温)作業時間'!H42</f>
        <v>0</v>
      </c>
      <c r="I4" s="641">
        <f>'５－１　ピオーネ(加温)作業時間'!I42</f>
        <v>0</v>
      </c>
      <c r="J4" s="759">
        <f>'５－１　ピオーネ(加温)作業時間'!J42</f>
        <v>0</v>
      </c>
      <c r="K4" s="763">
        <f>'５－１　ピオーネ(加温)作業時間'!K42</f>
        <v>0</v>
      </c>
      <c r="L4" s="759">
        <f>'５－１　ピオーネ(加温)作業時間'!L42</f>
        <v>0</v>
      </c>
      <c r="M4" s="759">
        <f>'５－１　ピオーネ(加温)作業時間'!M42</f>
        <v>0</v>
      </c>
      <c r="N4" s="759">
        <f>'５－１　ピオーネ(加温)作業時間'!N42</f>
        <v>0</v>
      </c>
      <c r="O4" s="641">
        <f>'５－１　ピオーネ(加温)作業時間'!O42</f>
        <v>0</v>
      </c>
      <c r="P4" s="759">
        <f>'５－１　ピオーネ(加温)作業時間'!P42</f>
        <v>0</v>
      </c>
      <c r="Q4" s="763">
        <f>'５－１　ピオーネ(加温)作業時間'!Q42</f>
        <v>0</v>
      </c>
      <c r="R4" s="783">
        <f>'５－１　ピオーネ(加温)作業時間'!R42</f>
        <v>0</v>
      </c>
      <c r="S4" s="784">
        <f>'５－１　ピオーネ(加温)作業時間'!S42</f>
        <v>0</v>
      </c>
      <c r="T4" s="785">
        <f>'５－１　ピオーネ(加温)作業時間'!T42</f>
        <v>0</v>
      </c>
      <c r="U4" s="641">
        <f>'５－１　ピオーネ(加温)作業時間'!U42</f>
        <v>0</v>
      </c>
      <c r="V4" s="759">
        <f>'５－１　ピオーネ(加温)作業時間'!V42</f>
        <v>0</v>
      </c>
      <c r="W4" s="763">
        <f>'５－１　ピオーネ(加温)作業時間'!W42</f>
        <v>0</v>
      </c>
      <c r="X4" s="759">
        <f>'５－１　ピオーネ(加温)作業時間'!X42</f>
        <v>0</v>
      </c>
      <c r="Y4" s="759">
        <f>'５－１　ピオーネ(加温)作業時間'!Y42</f>
        <v>0</v>
      </c>
      <c r="Z4" s="759">
        <f>'５－１　ピオーネ(加温)作業時間'!Z42</f>
        <v>0</v>
      </c>
      <c r="AA4" s="641">
        <f>'５－１　ピオーネ(加温)作業時間'!AA42</f>
        <v>0</v>
      </c>
      <c r="AB4" s="759">
        <f>'５－１　ピオーネ(加温)作業時間'!AB42</f>
        <v>0</v>
      </c>
      <c r="AC4" s="763">
        <f>'５－１　ピオーネ(加温)作業時間'!AC42</f>
        <v>0</v>
      </c>
      <c r="AD4" s="759">
        <f>'５－１　ピオーネ(加温)作業時間'!AD42</f>
        <v>0</v>
      </c>
      <c r="AE4" s="759">
        <f>'５－１　ピオーネ(加温)作業時間'!AE42</f>
        <v>0</v>
      </c>
      <c r="AF4" s="759">
        <f>'５－１　ピオーネ(加温)作業時間'!AF42</f>
        <v>0</v>
      </c>
      <c r="AG4" s="641">
        <f>'５－１　ピオーネ(加温)作業時間'!AG42</f>
        <v>0</v>
      </c>
      <c r="AH4" s="759">
        <f>'５－１　ピオーネ(加温)作業時間'!AH42</f>
        <v>0</v>
      </c>
      <c r="AI4" s="763">
        <f>'５－１　ピオーネ(加温)作業時間'!AI42</f>
        <v>0</v>
      </c>
      <c r="AJ4" s="759">
        <f>'５－１　ピオーネ(加温)作業時間'!AJ42</f>
        <v>0</v>
      </c>
      <c r="AK4" s="759">
        <f>'５－１　ピオーネ(加温)作業時間'!AK42</f>
        <v>0</v>
      </c>
      <c r="AL4" s="759">
        <f>'５－１　ピオーネ(加温)作業時間'!AL42</f>
        <v>0</v>
      </c>
      <c r="AM4" s="767">
        <f>'５－１　ピオーネ(加温)作業時間'!AM42</f>
        <v>0</v>
      </c>
    </row>
    <row r="5" spans="2:39" x14ac:dyDescent="0.15">
      <c r="B5" s="766" t="s">
        <v>653</v>
      </c>
      <c r="C5" s="783">
        <f>'５－１　ピオーネ（トンネル）作業時間'!C42</f>
        <v>0</v>
      </c>
      <c r="D5" s="784">
        <f>'５－１　ピオーネ（トンネル）作業時間'!D42</f>
        <v>0</v>
      </c>
      <c r="E5" s="785">
        <f>'５－１　ピオーネ（トンネル）作業時間'!E42</f>
        <v>40</v>
      </c>
      <c r="F5" s="783">
        <f>'５－１　ピオーネ（トンネル）作業時間'!F42</f>
        <v>0</v>
      </c>
      <c r="G5" s="784">
        <f>'５－１　ピオーネ（トンネル）作業時間'!G42</f>
        <v>20</v>
      </c>
      <c r="H5" s="785">
        <f>'５－１　ピオーネ（トンネル）作業時間'!H42</f>
        <v>60</v>
      </c>
      <c r="I5" s="783">
        <f>'５－１　ピオーネ（トンネル）作業時間'!I42</f>
        <v>40</v>
      </c>
      <c r="J5" s="784">
        <f>'５－１　ピオーネ（トンネル）作業時間'!J42</f>
        <v>35</v>
      </c>
      <c r="K5" s="785">
        <f>'５－１　ピオーネ（トンネル）作業時間'!K42</f>
        <v>162</v>
      </c>
      <c r="L5" s="783">
        <f>'５－１　ピオーネ（トンネル）作業時間'!L42</f>
        <v>167</v>
      </c>
      <c r="M5" s="784">
        <f>'５－１　ピオーネ（トンネル）作業時間'!M42</f>
        <v>12</v>
      </c>
      <c r="N5" s="785">
        <f>'５－１　ピオーネ（トンネル）作業時間'!N42</f>
        <v>7</v>
      </c>
      <c r="O5" s="783">
        <f>'５－１　ピオーネ（トンネル）作業時間'!O42</f>
        <v>7</v>
      </c>
      <c r="P5" s="784">
        <f>'５－１　ピオーネ（トンネル）作業時間'!P42</f>
        <v>47</v>
      </c>
      <c r="Q5" s="785">
        <f>'５－１　ピオーネ（トンネル）作業時間'!Q42</f>
        <v>37</v>
      </c>
      <c r="R5" s="783">
        <f>'５－１　ピオーネ（トンネル）作業時間'!R42</f>
        <v>242</v>
      </c>
      <c r="S5" s="784">
        <f>'５－１　ピオーネ（トンネル）作業時間'!S42</f>
        <v>197</v>
      </c>
      <c r="T5" s="785">
        <f>'５－１　ピオーネ（トンネル）作業時間'!T42</f>
        <v>152</v>
      </c>
      <c r="U5" s="783">
        <f>'５－１　ピオーネ（トンネル）作業時間'!U42</f>
        <v>337</v>
      </c>
      <c r="V5" s="784">
        <f>'５－１　ピオーネ（トンネル）作業時間'!V42</f>
        <v>317</v>
      </c>
      <c r="W5" s="785">
        <f>'５－１　ピオーネ（トンネル）作業時間'!W42</f>
        <v>217</v>
      </c>
      <c r="X5" s="783">
        <f>'５－１　ピオーネ（トンネル）作業時間'!X42</f>
        <v>42</v>
      </c>
      <c r="Y5" s="784">
        <f>'５－１　ピオーネ（トンネル）作業時間'!Y42</f>
        <v>2</v>
      </c>
      <c r="Z5" s="785">
        <f>'５－１　ピオーネ（トンネル）作業時間'!Z42</f>
        <v>32</v>
      </c>
      <c r="AA5" s="783">
        <f>'５－１　ピオーネ（トンネル）作業時間'!AA42</f>
        <v>2</v>
      </c>
      <c r="AB5" s="784">
        <f>'５－１　ピオーネ（トンネル）作業時間'!AB42</f>
        <v>302</v>
      </c>
      <c r="AC5" s="785">
        <f>'５－１　ピオーネ（トンネル）作業時間'!AC42</f>
        <v>452</v>
      </c>
      <c r="AD5" s="759">
        <f>'５－１　ピオーネ（トンネル）作業時間'!AD42</f>
        <v>467</v>
      </c>
      <c r="AE5" s="759">
        <f>'５－１　ピオーネ（トンネル）作業時間'!AE42</f>
        <v>7</v>
      </c>
      <c r="AF5" s="759">
        <f>'５－１　ピオーネ（トンネル）作業時間'!AF42</f>
        <v>22</v>
      </c>
      <c r="AG5" s="783">
        <f>'５－１　ピオーネ（トンネル）作業時間'!AG42</f>
        <v>55</v>
      </c>
      <c r="AH5" s="784">
        <f>'５－１　ピオーネ（トンネル）作業時間'!AH42</f>
        <v>40</v>
      </c>
      <c r="AI5" s="785">
        <f>'５－１　ピオーネ（トンネル）作業時間'!AI42</f>
        <v>40</v>
      </c>
      <c r="AJ5" s="783">
        <f>'５－１　ピオーネ（トンネル）作業時間'!AJ42</f>
        <v>60</v>
      </c>
      <c r="AK5" s="784">
        <f>'５－１　ピオーネ（トンネル）作業時間'!AK42</f>
        <v>20</v>
      </c>
      <c r="AL5" s="785">
        <f>'５－１　ピオーネ（トンネル）作業時間'!AL42</f>
        <v>20</v>
      </c>
      <c r="AM5" s="768">
        <f>'５－１　ピオーネ（トンネル）作業時間'!AM42</f>
        <v>3659</v>
      </c>
    </row>
    <row r="6" spans="2:39" x14ac:dyDescent="0.15">
      <c r="B6" s="769" t="s">
        <v>654</v>
      </c>
      <c r="C6" s="786">
        <f>'５－２　シャイン（加温）作業時間'!C42</f>
        <v>20</v>
      </c>
      <c r="D6" s="787">
        <f>'５－２　シャイン（加温）作業時間'!D42</f>
        <v>20</v>
      </c>
      <c r="E6" s="788">
        <f>'５－２　シャイン（加温）作業時間'!E42</f>
        <v>260</v>
      </c>
      <c r="F6" s="786">
        <f>'５－２　シャイン（加温）作業時間'!F42</f>
        <v>275</v>
      </c>
      <c r="G6" s="787">
        <f>'５－２　シャイン（加温）作業時間'!G42</f>
        <v>199</v>
      </c>
      <c r="H6" s="788">
        <f>'５－２　シャイン（加温）作業時間'!H42</f>
        <v>73</v>
      </c>
      <c r="I6" s="786">
        <f>'５－２　シャイン（加温）作業時間'!I42</f>
        <v>32</v>
      </c>
      <c r="J6" s="787">
        <f>'５－２　シャイン（加温）作業時間'!J42</f>
        <v>37</v>
      </c>
      <c r="K6" s="788">
        <f>'５－２　シャイン（加温）作業時間'!K42</f>
        <v>72</v>
      </c>
      <c r="L6" s="786">
        <f>'５－２　シャイン（加温）作業時間'!L42</f>
        <v>67</v>
      </c>
      <c r="M6" s="787">
        <f>'５－２　シャイン（加温）作業時間'!M42</f>
        <v>67</v>
      </c>
      <c r="N6" s="788">
        <f>'５－２　シャイン（加温）作業時間'!N42</f>
        <v>352</v>
      </c>
      <c r="O6" s="786">
        <f>'５－２　シャイン（加温）作業時間'!O42</f>
        <v>227</v>
      </c>
      <c r="P6" s="787">
        <f>'５－２　シャイン（加温）作業時間'!P42</f>
        <v>182</v>
      </c>
      <c r="Q6" s="788">
        <f>'５－２　シャイン（加温）作業時間'!Q42</f>
        <v>337</v>
      </c>
      <c r="R6" s="786">
        <f>'５－２　シャイン（加温）作業時間'!R42</f>
        <v>362</v>
      </c>
      <c r="S6" s="787">
        <f>'５－２　シャイン（加温）作業時間'!S42</f>
        <v>177</v>
      </c>
      <c r="T6" s="788">
        <f>'５－２　シャイン（加温）作業時間'!T42</f>
        <v>7</v>
      </c>
      <c r="U6" s="786">
        <f>'５－２　シャイン（加温）作業時間'!U42</f>
        <v>7</v>
      </c>
      <c r="V6" s="787">
        <f>'５－２　シャイン（加温）作業時間'!V42</f>
        <v>12</v>
      </c>
      <c r="W6" s="788">
        <f>'５－２　シャイン（加温）作業時間'!W42</f>
        <v>2</v>
      </c>
      <c r="X6" s="786">
        <f>'５－２　シャイン（加温）作業時間'!X42</f>
        <v>362</v>
      </c>
      <c r="Y6" s="787">
        <f>'５－２　シャイン（加温）作業時間'!Y42</f>
        <v>392</v>
      </c>
      <c r="Z6" s="788">
        <f>'５－２　シャイン（加温）作業時間'!Z42</f>
        <v>332</v>
      </c>
      <c r="AA6" s="786">
        <f>'５－２　シャイン（加温）作業時間'!AA42</f>
        <v>85</v>
      </c>
      <c r="AB6" s="787">
        <f>'５－２　シャイン（加温）作業時間'!AB42</f>
        <v>92</v>
      </c>
      <c r="AC6" s="788">
        <f>'５－２　シャイン（加温）作業時間'!AC42</f>
        <v>5</v>
      </c>
      <c r="AD6" s="783">
        <f>'５－２　シャイン（加温）作業時間'!AD42</f>
        <v>15</v>
      </c>
      <c r="AE6" s="784">
        <f>'５－２　シャイン（加温）作業時間'!AE42</f>
        <v>2</v>
      </c>
      <c r="AF6" s="785">
        <f>'５－２　シャイン（加温）作業時間'!AF42</f>
        <v>20</v>
      </c>
      <c r="AG6" s="786">
        <f>'５－２　シャイン（加温）作業時間'!AG42</f>
        <v>40</v>
      </c>
      <c r="AH6" s="787">
        <f>'５－２　シャイン（加温）作業時間'!AH42</f>
        <v>40</v>
      </c>
      <c r="AI6" s="788">
        <f>'５－２　シャイン（加温）作業時間'!AI42</f>
        <v>80</v>
      </c>
      <c r="AJ6" s="786">
        <f>'５－２　シャイン（加温）作業時間'!AJ42</f>
        <v>100</v>
      </c>
      <c r="AK6" s="787">
        <f>'５－２　シャイン（加温）作業時間'!AK42</f>
        <v>40</v>
      </c>
      <c r="AL6" s="788">
        <f>'５－２　シャイン（加温）作業時間'!AL42</f>
        <v>0</v>
      </c>
      <c r="AM6" s="768">
        <f>'５－２　シャイン（加温）作業時間'!AM42</f>
        <v>4392</v>
      </c>
    </row>
    <row r="7" spans="2:39" x14ac:dyDescent="0.15">
      <c r="B7" s="770" t="s">
        <v>655</v>
      </c>
      <c r="C7" s="789">
        <f>'５－３　シャイン（トンネル）作業時間'!C42</f>
        <v>0</v>
      </c>
      <c r="D7" s="790">
        <f>'５－３　シャイン（トンネル）作業時間'!D42</f>
        <v>0</v>
      </c>
      <c r="E7" s="791">
        <f>'５－３　シャイン（トンネル）作業時間'!E42</f>
        <v>40</v>
      </c>
      <c r="F7" s="789">
        <f>'５－３　シャイン（トンネル）作業時間'!F42</f>
        <v>0</v>
      </c>
      <c r="G7" s="790">
        <f>'５－３　シャイン（トンネル）作業時間'!G42</f>
        <v>20</v>
      </c>
      <c r="H7" s="791">
        <f>'５－３　シャイン（トンネル）作業時間'!H42</f>
        <v>60</v>
      </c>
      <c r="I7" s="789">
        <f>'５－３　シャイン（トンネル）作業時間'!I42</f>
        <v>40</v>
      </c>
      <c r="J7" s="790">
        <f>'５－３　シャイン（トンネル）作業時間'!J42</f>
        <v>35</v>
      </c>
      <c r="K7" s="791">
        <f>'５－３　シャイン（トンネル）作業時間'!K42</f>
        <v>162</v>
      </c>
      <c r="L7" s="789">
        <f>'５－３　シャイン（トンネル）作業時間'!L42</f>
        <v>167</v>
      </c>
      <c r="M7" s="790">
        <f>'５－３　シャイン（トンネル）作業時間'!M42</f>
        <v>12</v>
      </c>
      <c r="N7" s="791">
        <f>'５－３　シャイン（トンネル）作業時間'!N42</f>
        <v>7</v>
      </c>
      <c r="O7" s="789">
        <f>'５－３　シャイン（トンネル）作業時間'!O42</f>
        <v>7</v>
      </c>
      <c r="P7" s="790">
        <f>'５－３　シャイン（トンネル）作業時間'!P42</f>
        <v>47</v>
      </c>
      <c r="Q7" s="791">
        <f>'５－３　シャイン（トンネル）作業時間'!Q42</f>
        <v>37</v>
      </c>
      <c r="R7" s="789">
        <f>'５－３　シャイン（トンネル）作業時間'!R42</f>
        <v>242</v>
      </c>
      <c r="S7" s="790">
        <f>'５－３　シャイン（トンネル）作業時間'!S42</f>
        <v>197</v>
      </c>
      <c r="T7" s="791">
        <f>'５－３　シャイン（トンネル）作業時間'!T42</f>
        <v>152</v>
      </c>
      <c r="U7" s="789">
        <f>'５－３　シャイン（トンネル）作業時間'!U42</f>
        <v>337</v>
      </c>
      <c r="V7" s="790">
        <f>'５－３　シャイン（トンネル）作業時間'!V42</f>
        <v>317</v>
      </c>
      <c r="W7" s="791">
        <f>'５－３　シャイン（トンネル）作業時間'!W42</f>
        <v>217</v>
      </c>
      <c r="X7" s="789">
        <f>'５－３　シャイン（トンネル）作業時間'!X42</f>
        <v>42</v>
      </c>
      <c r="Y7" s="790">
        <f>'５－３　シャイン（トンネル）作業時間'!Y42</f>
        <v>2</v>
      </c>
      <c r="Z7" s="791">
        <f>'５－３　シャイン（トンネル）作業時間'!Z42</f>
        <v>27</v>
      </c>
      <c r="AA7" s="789">
        <f>'５－３　シャイン（トンネル）作業時間'!AA42</f>
        <v>12</v>
      </c>
      <c r="AB7" s="790">
        <f>'５－３　シャイン（トンネル）作業時間'!AB42</f>
        <v>2</v>
      </c>
      <c r="AC7" s="791">
        <f>'５－３　シャイン（トンネル）作業時間'!AC42</f>
        <v>302</v>
      </c>
      <c r="AD7" s="789">
        <f>'５－３　シャイン（トンネル）作業時間'!AD42</f>
        <v>452</v>
      </c>
      <c r="AE7" s="790">
        <f>'５－３　シャイン（トンネル）作業時間'!AE42</f>
        <v>467</v>
      </c>
      <c r="AF7" s="791">
        <f>'５－３　シャイン（トンネル）作業時間'!AF42</f>
        <v>22</v>
      </c>
      <c r="AG7" s="789">
        <f>'５－３　シャイン（トンネル）作業時間'!AG42</f>
        <v>55</v>
      </c>
      <c r="AH7" s="790">
        <f>'５－３　シャイン（トンネル）作業時間'!AH42</f>
        <v>40</v>
      </c>
      <c r="AI7" s="791">
        <f>'５－３　シャイン（トンネル）作業時間'!AI42</f>
        <v>40</v>
      </c>
      <c r="AJ7" s="789">
        <f>'５－３　シャイン（トンネル）作業時間'!AJ42</f>
        <v>60</v>
      </c>
      <c r="AK7" s="790">
        <f>'５－３　シャイン（トンネル）作業時間'!AK42</f>
        <v>20</v>
      </c>
      <c r="AL7" s="791">
        <f>'５－３　シャイン（トンネル）作業時間'!AL42</f>
        <v>20</v>
      </c>
      <c r="AM7" s="768">
        <f>'５－３　シャイン（トンネル）作業時間'!AM42</f>
        <v>3659</v>
      </c>
    </row>
    <row r="8" spans="2:39" hidden="1" x14ac:dyDescent="0.15">
      <c r="B8" s="770" t="s">
        <v>656</v>
      </c>
      <c r="C8" s="792">
        <f>'５－５　サニールージュ作業時間'!C42</f>
        <v>0</v>
      </c>
      <c r="D8" s="793">
        <f>'５－５　サニールージュ作業時間'!D42</f>
        <v>0</v>
      </c>
      <c r="E8" s="794">
        <f>'５－５　サニールージュ作業時間'!E42</f>
        <v>0</v>
      </c>
      <c r="F8" s="792">
        <f>'５－５　サニールージュ作業時間'!F42</f>
        <v>0</v>
      </c>
      <c r="G8" s="793">
        <f>'５－５　サニールージュ作業時間'!G42</f>
        <v>0</v>
      </c>
      <c r="H8" s="794">
        <f>'５－５　サニールージュ作業時間'!H42</f>
        <v>0</v>
      </c>
      <c r="I8" s="792">
        <f>'５－５　サニールージュ作業時間'!I42</f>
        <v>0</v>
      </c>
      <c r="J8" s="793">
        <f>'５－５　サニールージュ作業時間'!J42</f>
        <v>0</v>
      </c>
      <c r="K8" s="794">
        <f>'５－５　サニールージュ作業時間'!K42</f>
        <v>0</v>
      </c>
      <c r="L8" s="792">
        <f>'５－５　サニールージュ作業時間'!L42</f>
        <v>0</v>
      </c>
      <c r="M8" s="793">
        <f>'５－５　サニールージュ作業時間'!M42</f>
        <v>0</v>
      </c>
      <c r="N8" s="794">
        <f>'５－５　サニールージュ作業時間'!N42</f>
        <v>0</v>
      </c>
      <c r="O8" s="792">
        <f>'５－５　サニールージュ作業時間'!O42</f>
        <v>0</v>
      </c>
      <c r="P8" s="793">
        <f>'５－５　サニールージュ作業時間'!P42</f>
        <v>0</v>
      </c>
      <c r="Q8" s="794">
        <f>'５－５　サニールージュ作業時間'!Q42</f>
        <v>0</v>
      </c>
      <c r="R8" s="792">
        <f>'５－５　サニールージュ作業時間'!R42</f>
        <v>0</v>
      </c>
      <c r="S8" s="793">
        <f>'５－５　サニールージュ作業時間'!S42</f>
        <v>0</v>
      </c>
      <c r="T8" s="794">
        <f>'５－５　サニールージュ作業時間'!T42</f>
        <v>0</v>
      </c>
      <c r="U8" s="792">
        <f>'５－５　サニールージュ作業時間'!U42</f>
        <v>0</v>
      </c>
      <c r="V8" s="793">
        <f>'５－５　サニールージュ作業時間'!V42</f>
        <v>0</v>
      </c>
      <c r="W8" s="794">
        <f>'５－５　サニールージュ作業時間'!W42</f>
        <v>0</v>
      </c>
      <c r="X8" s="792">
        <f>'５－５　サニールージュ作業時間'!X42</f>
        <v>0</v>
      </c>
      <c r="Y8" s="793">
        <f>'５－５　サニールージュ作業時間'!Y42</f>
        <v>0</v>
      </c>
      <c r="Z8" s="794">
        <f>'５－５　サニールージュ作業時間'!Z42</f>
        <v>0</v>
      </c>
      <c r="AA8" s="792">
        <f>'５－５　サニールージュ作業時間'!AA42</f>
        <v>0</v>
      </c>
      <c r="AB8" s="793">
        <f>'５－５　サニールージュ作業時間'!AB42</f>
        <v>0</v>
      </c>
      <c r="AC8" s="794">
        <f>'５－５　サニールージュ作業時間'!AC42</f>
        <v>0</v>
      </c>
      <c r="AD8" s="792">
        <f>'５－５　サニールージュ作業時間'!AD42</f>
        <v>0</v>
      </c>
      <c r="AE8" s="793">
        <f>'５－５　サニールージュ作業時間'!AE42</f>
        <v>0</v>
      </c>
      <c r="AF8" s="794">
        <f>'５－５　サニールージュ作業時間'!AF42</f>
        <v>0</v>
      </c>
      <c r="AG8" s="792">
        <f>'５－５　サニールージュ作業時間'!AG42</f>
        <v>0</v>
      </c>
      <c r="AH8" s="793">
        <f>'５－５　サニールージュ作業時間'!AH42</f>
        <v>0</v>
      </c>
      <c r="AI8" s="794">
        <f>'５－５　サニールージュ作業時間'!AI42</f>
        <v>0</v>
      </c>
      <c r="AJ8" s="792">
        <f>'５－５　サニールージュ作業時間'!AJ42</f>
        <v>0</v>
      </c>
      <c r="AK8" s="793">
        <f>'５－５　サニールージュ作業時間'!AK42</f>
        <v>0</v>
      </c>
      <c r="AL8" s="794">
        <f>'５－５　サニールージュ作業時間'!AL42</f>
        <v>0</v>
      </c>
      <c r="AM8" s="771">
        <f>'５－５　サニールージュ作業時間'!AM42</f>
        <v>0</v>
      </c>
    </row>
    <row r="9" spans="2:39" x14ac:dyDescent="0.15">
      <c r="B9" s="772" t="s">
        <v>24</v>
      </c>
      <c r="C9" s="795">
        <f>SUM(C4:C8)</f>
        <v>20</v>
      </c>
      <c r="D9" s="796">
        <f t="shared" ref="D9:AM9" si="0">SUM(D4:D8)</f>
        <v>20</v>
      </c>
      <c r="E9" s="797">
        <f t="shared" si="0"/>
        <v>340</v>
      </c>
      <c r="F9" s="795">
        <f t="shared" si="0"/>
        <v>275</v>
      </c>
      <c r="G9" s="796">
        <f t="shared" si="0"/>
        <v>239</v>
      </c>
      <c r="H9" s="797">
        <f t="shared" si="0"/>
        <v>193</v>
      </c>
      <c r="I9" s="795">
        <f t="shared" si="0"/>
        <v>112</v>
      </c>
      <c r="J9" s="796">
        <f t="shared" si="0"/>
        <v>107</v>
      </c>
      <c r="K9" s="797">
        <f t="shared" si="0"/>
        <v>396</v>
      </c>
      <c r="L9" s="795">
        <f t="shared" si="0"/>
        <v>401</v>
      </c>
      <c r="M9" s="796">
        <f t="shared" si="0"/>
        <v>91</v>
      </c>
      <c r="N9" s="797">
        <f t="shared" si="0"/>
        <v>366</v>
      </c>
      <c r="O9" s="795">
        <f t="shared" si="0"/>
        <v>241</v>
      </c>
      <c r="P9" s="796">
        <f t="shared" si="0"/>
        <v>276</v>
      </c>
      <c r="Q9" s="797">
        <f t="shared" si="0"/>
        <v>411</v>
      </c>
      <c r="R9" s="795">
        <f t="shared" si="0"/>
        <v>846</v>
      </c>
      <c r="S9" s="796">
        <f t="shared" si="0"/>
        <v>571</v>
      </c>
      <c r="T9" s="797">
        <f t="shared" si="0"/>
        <v>311</v>
      </c>
      <c r="U9" s="795">
        <f t="shared" si="0"/>
        <v>681</v>
      </c>
      <c r="V9" s="796">
        <f t="shared" si="0"/>
        <v>646</v>
      </c>
      <c r="W9" s="797">
        <f t="shared" si="0"/>
        <v>436</v>
      </c>
      <c r="X9" s="795">
        <f t="shared" si="0"/>
        <v>446</v>
      </c>
      <c r="Y9" s="796">
        <f t="shared" si="0"/>
        <v>396</v>
      </c>
      <c r="Z9" s="797">
        <f t="shared" si="0"/>
        <v>391</v>
      </c>
      <c r="AA9" s="795">
        <f t="shared" si="0"/>
        <v>99</v>
      </c>
      <c r="AB9" s="796">
        <f t="shared" si="0"/>
        <v>396</v>
      </c>
      <c r="AC9" s="797">
        <f t="shared" si="0"/>
        <v>759</v>
      </c>
      <c r="AD9" s="795">
        <f t="shared" si="0"/>
        <v>934</v>
      </c>
      <c r="AE9" s="796">
        <f t="shared" si="0"/>
        <v>476</v>
      </c>
      <c r="AF9" s="797">
        <f t="shared" si="0"/>
        <v>64</v>
      </c>
      <c r="AG9" s="795">
        <f t="shared" si="0"/>
        <v>150</v>
      </c>
      <c r="AH9" s="796">
        <f t="shared" si="0"/>
        <v>120</v>
      </c>
      <c r="AI9" s="797">
        <f t="shared" si="0"/>
        <v>160</v>
      </c>
      <c r="AJ9" s="795">
        <f t="shared" si="0"/>
        <v>220</v>
      </c>
      <c r="AK9" s="796">
        <f t="shared" si="0"/>
        <v>80</v>
      </c>
      <c r="AL9" s="797">
        <f t="shared" si="0"/>
        <v>40</v>
      </c>
      <c r="AM9" s="773">
        <f t="shared" si="0"/>
        <v>11710</v>
      </c>
    </row>
    <row r="10" spans="2:39" x14ac:dyDescent="0.15">
      <c r="B10" s="774" t="s">
        <v>657</v>
      </c>
      <c r="C10" s="783">
        <v>42</v>
      </c>
      <c r="D10" s="784">
        <v>42</v>
      </c>
      <c r="E10" s="785">
        <v>42</v>
      </c>
      <c r="F10" s="783">
        <v>42</v>
      </c>
      <c r="G10" s="784">
        <v>42</v>
      </c>
      <c r="H10" s="785">
        <v>42</v>
      </c>
      <c r="I10" s="783">
        <v>42</v>
      </c>
      <c r="J10" s="784">
        <v>42</v>
      </c>
      <c r="K10" s="785">
        <v>42</v>
      </c>
      <c r="L10" s="783">
        <v>42</v>
      </c>
      <c r="M10" s="784">
        <v>42</v>
      </c>
      <c r="N10" s="785">
        <v>42</v>
      </c>
      <c r="O10" s="783">
        <v>42</v>
      </c>
      <c r="P10" s="784">
        <v>42</v>
      </c>
      <c r="Q10" s="785">
        <v>42</v>
      </c>
      <c r="R10" s="783">
        <v>42</v>
      </c>
      <c r="S10" s="784">
        <v>42</v>
      </c>
      <c r="T10" s="785">
        <v>42</v>
      </c>
      <c r="U10" s="783">
        <v>42</v>
      </c>
      <c r="V10" s="784">
        <v>42</v>
      </c>
      <c r="W10" s="785">
        <v>42</v>
      </c>
      <c r="X10" s="783">
        <v>42</v>
      </c>
      <c r="Y10" s="784">
        <v>42</v>
      </c>
      <c r="Z10" s="785">
        <v>42</v>
      </c>
      <c r="AA10" s="783">
        <v>42</v>
      </c>
      <c r="AB10" s="784">
        <v>42</v>
      </c>
      <c r="AC10" s="785">
        <v>42</v>
      </c>
      <c r="AD10" s="783">
        <v>42</v>
      </c>
      <c r="AE10" s="784">
        <v>42</v>
      </c>
      <c r="AF10" s="785">
        <v>42</v>
      </c>
      <c r="AG10" s="783">
        <v>42</v>
      </c>
      <c r="AH10" s="784">
        <v>42</v>
      </c>
      <c r="AI10" s="785">
        <v>42</v>
      </c>
      <c r="AJ10" s="783">
        <v>42</v>
      </c>
      <c r="AK10" s="784">
        <v>42</v>
      </c>
      <c r="AL10" s="785">
        <v>42</v>
      </c>
      <c r="AM10" s="767">
        <f>SUM(C10:AL10)</f>
        <v>1512</v>
      </c>
    </row>
    <row r="11" spans="2:39" x14ac:dyDescent="0.15">
      <c r="B11" s="775" t="s">
        <v>658</v>
      </c>
      <c r="C11" s="792">
        <v>120</v>
      </c>
      <c r="D11" s="793">
        <v>120</v>
      </c>
      <c r="E11" s="794">
        <v>120</v>
      </c>
      <c r="F11" s="792">
        <v>120</v>
      </c>
      <c r="G11" s="793">
        <v>120</v>
      </c>
      <c r="H11" s="794">
        <v>120</v>
      </c>
      <c r="I11" s="792">
        <v>120</v>
      </c>
      <c r="J11" s="793">
        <v>120</v>
      </c>
      <c r="K11" s="794">
        <v>120</v>
      </c>
      <c r="L11" s="792">
        <v>120</v>
      </c>
      <c r="M11" s="793">
        <v>120</v>
      </c>
      <c r="N11" s="794">
        <v>120</v>
      </c>
      <c r="O11" s="792">
        <v>120</v>
      </c>
      <c r="P11" s="793">
        <v>120</v>
      </c>
      <c r="Q11" s="794">
        <v>120</v>
      </c>
      <c r="R11" s="792">
        <v>120</v>
      </c>
      <c r="S11" s="793">
        <v>120</v>
      </c>
      <c r="T11" s="794">
        <v>120</v>
      </c>
      <c r="U11" s="792">
        <v>120</v>
      </c>
      <c r="V11" s="793">
        <v>120</v>
      </c>
      <c r="W11" s="794">
        <v>120</v>
      </c>
      <c r="X11" s="792">
        <v>120</v>
      </c>
      <c r="Y11" s="793">
        <v>120</v>
      </c>
      <c r="Z11" s="794">
        <v>120</v>
      </c>
      <c r="AA11" s="792">
        <v>120</v>
      </c>
      <c r="AB11" s="793">
        <v>120</v>
      </c>
      <c r="AC11" s="794">
        <v>120</v>
      </c>
      <c r="AD11" s="792">
        <v>120</v>
      </c>
      <c r="AE11" s="793">
        <v>120</v>
      </c>
      <c r="AF11" s="794">
        <v>120</v>
      </c>
      <c r="AG11" s="792">
        <v>120</v>
      </c>
      <c r="AH11" s="793">
        <v>120</v>
      </c>
      <c r="AI11" s="794">
        <v>120</v>
      </c>
      <c r="AJ11" s="792">
        <v>120</v>
      </c>
      <c r="AK11" s="793">
        <v>120</v>
      </c>
      <c r="AL11" s="794">
        <v>120</v>
      </c>
      <c r="AM11" s="771">
        <f>SUM(C11:AL11)</f>
        <v>4320</v>
      </c>
    </row>
    <row r="12" spans="2:39" x14ac:dyDescent="0.15">
      <c r="B12" s="775" t="s">
        <v>659</v>
      </c>
      <c r="C12" s="792">
        <f>SUM(C10:C11)</f>
        <v>162</v>
      </c>
      <c r="D12" s="793">
        <f t="shared" ref="D12:AL12" si="1">SUM(D10:D11)</f>
        <v>162</v>
      </c>
      <c r="E12" s="794">
        <f t="shared" si="1"/>
        <v>162</v>
      </c>
      <c r="F12" s="792">
        <f t="shared" si="1"/>
        <v>162</v>
      </c>
      <c r="G12" s="793">
        <f t="shared" si="1"/>
        <v>162</v>
      </c>
      <c r="H12" s="794">
        <f t="shared" si="1"/>
        <v>162</v>
      </c>
      <c r="I12" s="792">
        <f t="shared" si="1"/>
        <v>162</v>
      </c>
      <c r="J12" s="793">
        <f t="shared" si="1"/>
        <v>162</v>
      </c>
      <c r="K12" s="794">
        <f t="shared" si="1"/>
        <v>162</v>
      </c>
      <c r="L12" s="792">
        <f t="shared" si="1"/>
        <v>162</v>
      </c>
      <c r="M12" s="793">
        <f t="shared" si="1"/>
        <v>162</v>
      </c>
      <c r="N12" s="794">
        <f t="shared" si="1"/>
        <v>162</v>
      </c>
      <c r="O12" s="792">
        <f t="shared" si="1"/>
        <v>162</v>
      </c>
      <c r="P12" s="793">
        <f t="shared" si="1"/>
        <v>162</v>
      </c>
      <c r="Q12" s="794">
        <f t="shared" si="1"/>
        <v>162</v>
      </c>
      <c r="R12" s="792">
        <f t="shared" si="1"/>
        <v>162</v>
      </c>
      <c r="S12" s="793">
        <f t="shared" si="1"/>
        <v>162</v>
      </c>
      <c r="T12" s="794">
        <f t="shared" si="1"/>
        <v>162</v>
      </c>
      <c r="U12" s="792">
        <f t="shared" si="1"/>
        <v>162</v>
      </c>
      <c r="V12" s="793">
        <f t="shared" si="1"/>
        <v>162</v>
      </c>
      <c r="W12" s="794">
        <f t="shared" si="1"/>
        <v>162</v>
      </c>
      <c r="X12" s="792">
        <f t="shared" si="1"/>
        <v>162</v>
      </c>
      <c r="Y12" s="793">
        <f t="shared" si="1"/>
        <v>162</v>
      </c>
      <c r="Z12" s="794">
        <f t="shared" si="1"/>
        <v>162</v>
      </c>
      <c r="AA12" s="792">
        <f t="shared" si="1"/>
        <v>162</v>
      </c>
      <c r="AB12" s="793">
        <f t="shared" si="1"/>
        <v>162</v>
      </c>
      <c r="AC12" s="794">
        <f t="shared" si="1"/>
        <v>162</v>
      </c>
      <c r="AD12" s="792">
        <f t="shared" si="1"/>
        <v>162</v>
      </c>
      <c r="AE12" s="793">
        <f t="shared" si="1"/>
        <v>162</v>
      </c>
      <c r="AF12" s="794">
        <f t="shared" si="1"/>
        <v>162</v>
      </c>
      <c r="AG12" s="792">
        <f t="shared" si="1"/>
        <v>162</v>
      </c>
      <c r="AH12" s="793">
        <f t="shared" si="1"/>
        <v>162</v>
      </c>
      <c r="AI12" s="794">
        <f t="shared" si="1"/>
        <v>162</v>
      </c>
      <c r="AJ12" s="792">
        <f t="shared" si="1"/>
        <v>162</v>
      </c>
      <c r="AK12" s="793">
        <f t="shared" si="1"/>
        <v>162</v>
      </c>
      <c r="AL12" s="794">
        <f t="shared" si="1"/>
        <v>162</v>
      </c>
      <c r="AM12" s="771">
        <f t="shared" ref="AM12:AM14" si="2">SUM(C12:AL12)</f>
        <v>5832</v>
      </c>
    </row>
    <row r="13" spans="2:39" x14ac:dyDescent="0.15">
      <c r="B13" s="774"/>
      <c r="C13" s="783">
        <f>C12-C9</f>
        <v>142</v>
      </c>
      <c r="D13" s="784">
        <f t="shared" ref="D13:AL13" si="3">D12-D9</f>
        <v>142</v>
      </c>
      <c r="E13" s="785">
        <f t="shared" si="3"/>
        <v>-178</v>
      </c>
      <c r="F13" s="783">
        <f t="shared" si="3"/>
        <v>-113</v>
      </c>
      <c r="G13" s="784">
        <f t="shared" si="3"/>
        <v>-77</v>
      </c>
      <c r="H13" s="785">
        <f t="shared" si="3"/>
        <v>-31</v>
      </c>
      <c r="I13" s="783">
        <f t="shared" si="3"/>
        <v>50</v>
      </c>
      <c r="J13" s="784">
        <f t="shared" si="3"/>
        <v>55</v>
      </c>
      <c r="K13" s="785">
        <f t="shared" si="3"/>
        <v>-234</v>
      </c>
      <c r="L13" s="783">
        <f t="shared" si="3"/>
        <v>-239</v>
      </c>
      <c r="M13" s="784">
        <f t="shared" si="3"/>
        <v>71</v>
      </c>
      <c r="N13" s="785">
        <f t="shared" si="3"/>
        <v>-204</v>
      </c>
      <c r="O13" s="783">
        <f t="shared" si="3"/>
        <v>-79</v>
      </c>
      <c r="P13" s="784">
        <f t="shared" si="3"/>
        <v>-114</v>
      </c>
      <c r="Q13" s="785">
        <f t="shared" si="3"/>
        <v>-249</v>
      </c>
      <c r="R13" s="783">
        <f t="shared" si="3"/>
        <v>-684</v>
      </c>
      <c r="S13" s="784">
        <f t="shared" si="3"/>
        <v>-409</v>
      </c>
      <c r="T13" s="785">
        <f t="shared" si="3"/>
        <v>-149</v>
      </c>
      <c r="U13" s="783">
        <f t="shared" si="3"/>
        <v>-519</v>
      </c>
      <c r="V13" s="784">
        <f t="shared" si="3"/>
        <v>-484</v>
      </c>
      <c r="W13" s="785">
        <f t="shared" si="3"/>
        <v>-274</v>
      </c>
      <c r="X13" s="783">
        <f t="shared" si="3"/>
        <v>-284</v>
      </c>
      <c r="Y13" s="784">
        <f t="shared" si="3"/>
        <v>-234</v>
      </c>
      <c r="Z13" s="785">
        <f t="shared" si="3"/>
        <v>-229</v>
      </c>
      <c r="AA13" s="783">
        <f t="shared" si="3"/>
        <v>63</v>
      </c>
      <c r="AB13" s="784">
        <f t="shared" si="3"/>
        <v>-234</v>
      </c>
      <c r="AC13" s="785">
        <f t="shared" si="3"/>
        <v>-597</v>
      </c>
      <c r="AD13" s="783">
        <f t="shared" si="3"/>
        <v>-772</v>
      </c>
      <c r="AE13" s="784">
        <f t="shared" si="3"/>
        <v>-314</v>
      </c>
      <c r="AF13" s="785">
        <f t="shared" si="3"/>
        <v>98</v>
      </c>
      <c r="AG13" s="783">
        <f t="shared" si="3"/>
        <v>12</v>
      </c>
      <c r="AH13" s="784">
        <f t="shared" si="3"/>
        <v>42</v>
      </c>
      <c r="AI13" s="785">
        <f t="shared" si="3"/>
        <v>2</v>
      </c>
      <c r="AJ13" s="783">
        <f t="shared" si="3"/>
        <v>-58</v>
      </c>
      <c r="AK13" s="784">
        <f t="shared" si="3"/>
        <v>82</v>
      </c>
      <c r="AL13" s="785">
        <f t="shared" si="3"/>
        <v>122</v>
      </c>
      <c r="AM13" s="767"/>
    </row>
    <row r="14" spans="2:39" ht="14.25" thickBot="1" x14ac:dyDescent="0.2">
      <c r="B14" s="776" t="s">
        <v>660</v>
      </c>
      <c r="C14" s="798">
        <f>IF(C13&gt;0,0,-(C13))</f>
        <v>0</v>
      </c>
      <c r="D14" s="799">
        <f t="shared" ref="D14:AL14" si="4">IF(D13&gt;0,0,-(D13))</f>
        <v>0</v>
      </c>
      <c r="E14" s="800">
        <f t="shared" si="4"/>
        <v>178</v>
      </c>
      <c r="F14" s="798">
        <f t="shared" si="4"/>
        <v>113</v>
      </c>
      <c r="G14" s="799">
        <f t="shared" si="4"/>
        <v>77</v>
      </c>
      <c r="H14" s="800">
        <f t="shared" si="4"/>
        <v>31</v>
      </c>
      <c r="I14" s="798">
        <f t="shared" si="4"/>
        <v>0</v>
      </c>
      <c r="J14" s="799">
        <f t="shared" si="4"/>
        <v>0</v>
      </c>
      <c r="K14" s="800">
        <f t="shared" si="4"/>
        <v>234</v>
      </c>
      <c r="L14" s="798">
        <f t="shared" si="4"/>
        <v>239</v>
      </c>
      <c r="M14" s="799">
        <f t="shared" si="4"/>
        <v>0</v>
      </c>
      <c r="N14" s="800">
        <f t="shared" si="4"/>
        <v>204</v>
      </c>
      <c r="O14" s="798">
        <f t="shared" si="4"/>
        <v>79</v>
      </c>
      <c r="P14" s="799">
        <f t="shared" si="4"/>
        <v>114</v>
      </c>
      <c r="Q14" s="800">
        <f t="shared" si="4"/>
        <v>249</v>
      </c>
      <c r="R14" s="798">
        <f t="shared" si="4"/>
        <v>684</v>
      </c>
      <c r="S14" s="799">
        <f t="shared" si="4"/>
        <v>409</v>
      </c>
      <c r="T14" s="800">
        <f t="shared" si="4"/>
        <v>149</v>
      </c>
      <c r="U14" s="798">
        <f t="shared" si="4"/>
        <v>519</v>
      </c>
      <c r="V14" s="799">
        <f t="shared" si="4"/>
        <v>484</v>
      </c>
      <c r="W14" s="800">
        <f t="shared" si="4"/>
        <v>274</v>
      </c>
      <c r="X14" s="798">
        <f t="shared" si="4"/>
        <v>284</v>
      </c>
      <c r="Y14" s="799">
        <f t="shared" si="4"/>
        <v>234</v>
      </c>
      <c r="Z14" s="800">
        <f t="shared" si="4"/>
        <v>229</v>
      </c>
      <c r="AA14" s="798">
        <f t="shared" si="4"/>
        <v>0</v>
      </c>
      <c r="AB14" s="799">
        <f t="shared" si="4"/>
        <v>234</v>
      </c>
      <c r="AC14" s="800">
        <f t="shared" si="4"/>
        <v>597</v>
      </c>
      <c r="AD14" s="798">
        <f t="shared" si="4"/>
        <v>772</v>
      </c>
      <c r="AE14" s="799">
        <f t="shared" si="4"/>
        <v>314</v>
      </c>
      <c r="AF14" s="800">
        <f t="shared" si="4"/>
        <v>0</v>
      </c>
      <c r="AG14" s="798">
        <f t="shared" si="4"/>
        <v>0</v>
      </c>
      <c r="AH14" s="799">
        <f t="shared" si="4"/>
        <v>0</v>
      </c>
      <c r="AI14" s="800">
        <f t="shared" si="4"/>
        <v>0</v>
      </c>
      <c r="AJ14" s="798">
        <f t="shared" si="4"/>
        <v>58</v>
      </c>
      <c r="AK14" s="799">
        <f t="shared" si="4"/>
        <v>0</v>
      </c>
      <c r="AL14" s="800">
        <f t="shared" si="4"/>
        <v>0</v>
      </c>
      <c r="AM14" s="777">
        <f t="shared" si="2"/>
        <v>6759</v>
      </c>
    </row>
    <row r="16" spans="2:39" x14ac:dyDescent="0.15">
      <c r="B16" s="757" t="s">
        <v>112</v>
      </c>
      <c r="C16" s="964" t="s">
        <v>33</v>
      </c>
      <c r="D16" s="966" t="s">
        <v>663</v>
      </c>
      <c r="E16" s="967"/>
    </row>
    <row r="17" spans="2:5" x14ac:dyDescent="0.15">
      <c r="B17" s="758"/>
      <c r="C17" s="965"/>
      <c r="D17" t="s">
        <v>665</v>
      </c>
      <c r="E17" t="s">
        <v>664</v>
      </c>
    </row>
    <row r="18" spans="2:5" hidden="1" x14ac:dyDescent="0.15">
      <c r="B18" s="641" t="s">
        <v>652</v>
      </c>
      <c r="C18" s="642">
        <f>AM4</f>
        <v>0</v>
      </c>
      <c r="D18" s="643">
        <f>C18/$C$23</f>
        <v>0</v>
      </c>
      <c r="E18">
        <f>$C$28*C18/$C$23</f>
        <v>0</v>
      </c>
    </row>
    <row r="19" spans="2:5" x14ac:dyDescent="0.15">
      <c r="B19" s="754" t="s">
        <v>653</v>
      </c>
      <c r="C19" s="755">
        <f t="shared" ref="C19:C28" si="5">AM5</f>
        <v>3659</v>
      </c>
      <c r="D19" s="643">
        <f t="shared" ref="D19:D22" si="6">C19/$C$23</f>
        <v>0.31246797608881299</v>
      </c>
      <c r="E19">
        <f>$C$28*C19/$C$23</f>
        <v>2111.9710503842871</v>
      </c>
    </row>
    <row r="20" spans="2:5" x14ac:dyDescent="0.15">
      <c r="B20" s="754" t="s">
        <v>654</v>
      </c>
      <c r="C20" s="755">
        <f t="shared" si="5"/>
        <v>4392</v>
      </c>
      <c r="D20" s="643">
        <f t="shared" si="6"/>
        <v>0.37506404782237401</v>
      </c>
      <c r="E20">
        <f>$C$28*C20/$C$23</f>
        <v>2535.0578992314263</v>
      </c>
    </row>
    <row r="21" spans="2:5" x14ac:dyDescent="0.15">
      <c r="B21" s="754" t="s">
        <v>655</v>
      </c>
      <c r="C21" s="755">
        <f t="shared" si="5"/>
        <v>3659</v>
      </c>
      <c r="D21" s="643">
        <f t="shared" si="6"/>
        <v>0.31246797608881299</v>
      </c>
      <c r="E21">
        <f>$C$28*C21/$C$23</f>
        <v>2111.9710503842871</v>
      </c>
    </row>
    <row r="22" spans="2:5" hidden="1" x14ac:dyDescent="0.15">
      <c r="B22" s="754" t="s">
        <v>656</v>
      </c>
      <c r="C22" s="755">
        <f t="shared" si="5"/>
        <v>0</v>
      </c>
      <c r="D22" s="643">
        <f t="shared" si="6"/>
        <v>0</v>
      </c>
      <c r="E22">
        <f>$C$28*C22/$C$23</f>
        <v>0</v>
      </c>
    </row>
    <row r="23" spans="2:5" x14ac:dyDescent="0.15">
      <c r="B23" s="754" t="s">
        <v>24</v>
      </c>
      <c r="C23" s="755">
        <f t="shared" si="5"/>
        <v>11710</v>
      </c>
      <c r="E23">
        <f>SUM(E18:E22)</f>
        <v>6759</v>
      </c>
    </row>
    <row r="24" spans="2:5" x14ac:dyDescent="0.15">
      <c r="B24" s="756" t="s">
        <v>657</v>
      </c>
      <c r="C24" s="755">
        <f t="shared" si="5"/>
        <v>1512</v>
      </c>
    </row>
    <row r="25" spans="2:5" x14ac:dyDescent="0.15">
      <c r="B25" s="756" t="s">
        <v>658</v>
      </c>
      <c r="C25" s="755">
        <f t="shared" si="5"/>
        <v>4320</v>
      </c>
    </row>
    <row r="26" spans="2:5" x14ac:dyDescent="0.15">
      <c r="B26" s="756" t="s">
        <v>659</v>
      </c>
      <c r="C26" s="755">
        <f t="shared" si="5"/>
        <v>5832</v>
      </c>
    </row>
    <row r="27" spans="2:5" hidden="1" x14ac:dyDescent="0.15">
      <c r="B27" s="756"/>
      <c r="C27" s="755">
        <f t="shared" si="5"/>
        <v>0</v>
      </c>
    </row>
    <row r="28" spans="2:5" x14ac:dyDescent="0.15">
      <c r="B28" s="754" t="s">
        <v>660</v>
      </c>
      <c r="C28" s="755">
        <f t="shared" si="5"/>
        <v>6759</v>
      </c>
    </row>
  </sheetData>
  <mergeCells count="15">
    <mergeCell ref="AM2:AM3"/>
    <mergeCell ref="U2:W2"/>
    <mergeCell ref="X2:Z2"/>
    <mergeCell ref="AA2:AC2"/>
    <mergeCell ref="AD2:AF2"/>
    <mergeCell ref="AG2:AI2"/>
    <mergeCell ref="AJ2:AL2"/>
    <mergeCell ref="R2:T2"/>
    <mergeCell ref="C16:C17"/>
    <mergeCell ref="D16:E16"/>
    <mergeCell ref="C2:E2"/>
    <mergeCell ref="F2:H2"/>
    <mergeCell ref="I2:K2"/>
    <mergeCell ref="L2:N2"/>
    <mergeCell ref="O2:Q2"/>
  </mergeCells>
  <phoneticPr fontId="5"/>
  <pageMargins left="0.7" right="0.7" top="0.75" bottom="0.75" header="0.3" footer="0.3"/>
  <pageSetup paperSize="9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J43"/>
  <sheetViews>
    <sheetView zoomScale="75" zoomScaleNormal="75" workbookViewId="0">
      <selection activeCell="T24" sqref="T24"/>
    </sheetView>
  </sheetViews>
  <sheetFormatPr defaultRowHeight="13.5" x14ac:dyDescent="0.15"/>
  <cols>
    <col min="1" max="1" width="1.625" style="93" customWidth="1"/>
    <col min="2" max="2" width="22.625" style="93" customWidth="1"/>
    <col min="3" max="38" width="6.125" style="93" customWidth="1"/>
    <col min="39" max="39" width="7" style="93" customWidth="1"/>
    <col min="40" max="40" width="8.125" style="93" customWidth="1"/>
    <col min="41" max="16384" width="9" style="93"/>
  </cols>
  <sheetData>
    <row r="1" spans="2:62" ht="9.9499999999999993" customHeight="1" x14ac:dyDescent="0.15"/>
    <row r="2" spans="2:62" ht="24.95" customHeight="1" thickBot="1" x14ac:dyDescent="0.2">
      <c r="B2" s="13" t="s">
        <v>498</v>
      </c>
      <c r="C2" s="13"/>
      <c r="D2" s="13"/>
      <c r="E2" s="13"/>
      <c r="F2" s="13"/>
      <c r="G2" s="13"/>
      <c r="H2" s="13"/>
      <c r="I2" s="13"/>
      <c r="J2" s="13"/>
      <c r="K2" s="371" t="s">
        <v>264</v>
      </c>
      <c r="L2" s="370" t="s">
        <v>499</v>
      </c>
      <c r="M2" s="144"/>
      <c r="N2" s="371" t="s">
        <v>265</v>
      </c>
      <c r="O2" s="370" t="s">
        <v>493</v>
      </c>
      <c r="P2" s="13"/>
      <c r="Q2" s="13"/>
      <c r="R2" s="13"/>
      <c r="S2" s="13"/>
      <c r="T2" s="13"/>
      <c r="U2" s="13"/>
      <c r="V2" s="95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</row>
    <row r="3" spans="2:62" ht="20.100000000000001" customHeight="1" x14ac:dyDescent="0.15">
      <c r="B3" s="981" t="s">
        <v>112</v>
      </c>
      <c r="C3" s="973">
        <v>1</v>
      </c>
      <c r="D3" s="974"/>
      <c r="E3" s="975"/>
      <c r="F3" s="973">
        <v>2</v>
      </c>
      <c r="G3" s="974"/>
      <c r="H3" s="975"/>
      <c r="I3" s="973">
        <v>3</v>
      </c>
      <c r="J3" s="974"/>
      <c r="K3" s="975"/>
      <c r="L3" s="973">
        <v>4</v>
      </c>
      <c r="M3" s="974"/>
      <c r="N3" s="975"/>
      <c r="O3" s="973">
        <v>5</v>
      </c>
      <c r="P3" s="974"/>
      <c r="Q3" s="975"/>
      <c r="R3" s="973">
        <v>6</v>
      </c>
      <c r="S3" s="974"/>
      <c r="T3" s="975"/>
      <c r="U3" s="973">
        <v>7</v>
      </c>
      <c r="V3" s="974"/>
      <c r="W3" s="975"/>
      <c r="X3" s="973">
        <v>8</v>
      </c>
      <c r="Y3" s="974"/>
      <c r="Z3" s="975"/>
      <c r="AA3" s="973">
        <v>9</v>
      </c>
      <c r="AB3" s="974"/>
      <c r="AC3" s="975"/>
      <c r="AD3" s="973">
        <v>10</v>
      </c>
      <c r="AE3" s="974"/>
      <c r="AF3" s="975"/>
      <c r="AG3" s="973">
        <v>11</v>
      </c>
      <c r="AH3" s="974"/>
      <c r="AI3" s="975"/>
      <c r="AJ3" s="973">
        <v>12</v>
      </c>
      <c r="AK3" s="974"/>
      <c r="AL3" s="975"/>
      <c r="AM3" s="976" t="s">
        <v>33</v>
      </c>
      <c r="AO3" s="93" t="s">
        <v>645</v>
      </c>
      <c r="AP3" s="93" t="s">
        <v>646</v>
      </c>
      <c r="AQ3" s="93" t="s">
        <v>24</v>
      </c>
    </row>
    <row r="4" spans="2:62" ht="20.100000000000001" customHeight="1" x14ac:dyDescent="0.15">
      <c r="B4" s="980"/>
      <c r="C4" s="123" t="s">
        <v>34</v>
      </c>
      <c r="D4" s="124" t="s">
        <v>35</v>
      </c>
      <c r="E4" s="125" t="s">
        <v>36</v>
      </c>
      <c r="F4" s="123" t="s">
        <v>34</v>
      </c>
      <c r="G4" s="125" t="s">
        <v>35</v>
      </c>
      <c r="H4" s="125" t="s">
        <v>36</v>
      </c>
      <c r="I4" s="123" t="s">
        <v>34</v>
      </c>
      <c r="J4" s="125" t="s">
        <v>35</v>
      </c>
      <c r="K4" s="125" t="s">
        <v>36</v>
      </c>
      <c r="L4" s="123" t="s">
        <v>34</v>
      </c>
      <c r="M4" s="125" t="s">
        <v>35</v>
      </c>
      <c r="N4" s="125" t="s">
        <v>36</v>
      </c>
      <c r="O4" s="123" t="s">
        <v>34</v>
      </c>
      <c r="P4" s="125" t="s">
        <v>35</v>
      </c>
      <c r="Q4" s="125" t="s">
        <v>36</v>
      </c>
      <c r="R4" s="123" t="s">
        <v>34</v>
      </c>
      <c r="S4" s="126" t="s">
        <v>35</v>
      </c>
      <c r="T4" s="126" t="s">
        <v>36</v>
      </c>
      <c r="U4" s="123" t="s">
        <v>34</v>
      </c>
      <c r="V4" s="125" t="s">
        <v>35</v>
      </c>
      <c r="W4" s="125" t="s">
        <v>36</v>
      </c>
      <c r="X4" s="123" t="s">
        <v>34</v>
      </c>
      <c r="Y4" s="125" t="s">
        <v>35</v>
      </c>
      <c r="Z4" s="125" t="s">
        <v>36</v>
      </c>
      <c r="AA4" s="123" t="s">
        <v>34</v>
      </c>
      <c r="AB4" s="125" t="s">
        <v>35</v>
      </c>
      <c r="AC4" s="125" t="s">
        <v>36</v>
      </c>
      <c r="AD4" s="123" t="s">
        <v>34</v>
      </c>
      <c r="AE4" s="125" t="s">
        <v>35</v>
      </c>
      <c r="AF4" s="125" t="s">
        <v>36</v>
      </c>
      <c r="AG4" s="123" t="s">
        <v>34</v>
      </c>
      <c r="AH4" s="125" t="s">
        <v>35</v>
      </c>
      <c r="AI4" s="125" t="s">
        <v>36</v>
      </c>
      <c r="AJ4" s="123" t="s">
        <v>34</v>
      </c>
      <c r="AK4" s="125" t="s">
        <v>35</v>
      </c>
      <c r="AL4" s="125" t="s">
        <v>36</v>
      </c>
      <c r="AM4" s="977"/>
    </row>
    <row r="5" spans="2:62" ht="20.100000000000001" customHeight="1" x14ac:dyDescent="0.15">
      <c r="B5" s="978" t="s">
        <v>113</v>
      </c>
      <c r="C5" s="127"/>
      <c r="D5" s="13"/>
      <c r="E5" s="13"/>
      <c r="F5" s="13"/>
      <c r="G5" s="13"/>
      <c r="H5" s="13"/>
      <c r="I5" s="13"/>
      <c r="J5" s="13"/>
      <c r="K5" s="13"/>
      <c r="L5" s="13"/>
      <c r="M5" s="13"/>
      <c r="N5" s="95"/>
      <c r="O5" s="95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28"/>
    </row>
    <row r="6" spans="2:62" ht="20.100000000000001" customHeight="1" x14ac:dyDescent="0.15">
      <c r="B6" s="979"/>
      <c r="C6" s="127"/>
      <c r="D6" s="13"/>
      <c r="E6" s="13"/>
      <c r="F6" s="13"/>
      <c r="G6" s="13"/>
      <c r="H6" s="13"/>
      <c r="I6" s="13"/>
      <c r="J6" s="13"/>
      <c r="K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544"/>
      <c r="X6" s="544"/>
      <c r="Y6" s="544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28"/>
    </row>
    <row r="7" spans="2:62" ht="20.100000000000001" customHeight="1" x14ac:dyDescent="0.15">
      <c r="B7" s="980"/>
      <c r="C7" s="129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1"/>
    </row>
    <row r="8" spans="2:62" ht="20.100000000000001" customHeight="1" x14ac:dyDescent="0.15">
      <c r="B8" s="132" t="s">
        <v>375</v>
      </c>
      <c r="C8" s="92"/>
      <c r="D8" s="623"/>
      <c r="E8" s="623"/>
      <c r="F8" s="92"/>
      <c r="G8" s="623"/>
      <c r="H8" s="623"/>
      <c r="I8" s="92"/>
      <c r="J8" s="623"/>
      <c r="K8" s="623"/>
      <c r="L8" s="92"/>
      <c r="M8" s="623"/>
      <c r="N8" s="623"/>
      <c r="O8" s="92"/>
      <c r="P8" s="623"/>
      <c r="Q8" s="623"/>
      <c r="R8" s="92"/>
      <c r="S8" s="623"/>
      <c r="T8" s="623"/>
      <c r="U8" s="92"/>
      <c r="V8" s="623"/>
      <c r="W8" s="623"/>
      <c r="X8" s="92"/>
      <c r="Y8" s="623"/>
      <c r="Z8" s="623"/>
      <c r="AA8" s="92"/>
      <c r="AB8" s="623"/>
      <c r="AC8" s="623"/>
      <c r="AD8" s="92"/>
      <c r="AE8" s="623"/>
      <c r="AF8" s="623"/>
      <c r="AG8" s="92"/>
      <c r="AH8" s="623"/>
      <c r="AI8" s="623">
        <v>60</v>
      </c>
      <c r="AJ8" s="92">
        <v>60</v>
      </c>
      <c r="AK8" s="623">
        <v>40</v>
      </c>
      <c r="AL8" s="645"/>
      <c r="AM8" s="201">
        <f>SUM(C8:AL8)</f>
        <v>160</v>
      </c>
      <c r="AO8" s="615"/>
      <c r="AP8" s="615">
        <v>120</v>
      </c>
      <c r="AQ8" s="616">
        <f>+SUM(AO8:AP8)</f>
        <v>120</v>
      </c>
    </row>
    <row r="9" spans="2:62" ht="20.100000000000001" customHeight="1" x14ac:dyDescent="0.15">
      <c r="B9" s="132" t="s">
        <v>376</v>
      </c>
      <c r="C9" s="92"/>
      <c r="D9" s="623"/>
      <c r="E9" s="623"/>
      <c r="F9" s="92"/>
      <c r="G9" s="623"/>
      <c r="H9" s="623"/>
      <c r="I9" s="92"/>
      <c r="J9" s="623"/>
      <c r="K9" s="648">
        <v>30</v>
      </c>
      <c r="L9" s="647">
        <v>30</v>
      </c>
      <c r="M9" s="648">
        <v>30</v>
      </c>
      <c r="N9" s="648">
        <v>120</v>
      </c>
      <c r="O9" s="660">
        <v>60</v>
      </c>
      <c r="P9" s="648">
        <v>30</v>
      </c>
      <c r="Q9" s="661"/>
      <c r="R9" s="660"/>
      <c r="S9" s="648">
        <v>30</v>
      </c>
      <c r="T9" s="623"/>
      <c r="U9" s="92"/>
      <c r="V9" s="623"/>
      <c r="W9" s="623"/>
      <c r="X9" s="92"/>
      <c r="Y9" s="623"/>
      <c r="Z9" s="623"/>
      <c r="AA9" s="92"/>
      <c r="AB9" s="623"/>
      <c r="AC9" s="623"/>
      <c r="AD9" s="92"/>
      <c r="AE9" s="623"/>
      <c r="AF9" s="623"/>
      <c r="AG9" s="92"/>
      <c r="AH9" s="623"/>
      <c r="AI9" s="623"/>
      <c r="AJ9" s="92"/>
      <c r="AK9" s="623"/>
      <c r="AL9" s="623"/>
      <c r="AM9" s="646">
        <f t="shared" ref="AM9:AM33" si="0">SUM(C9:AL9)</f>
        <v>330</v>
      </c>
      <c r="AO9" s="615"/>
      <c r="AP9" s="615">
        <v>800</v>
      </c>
      <c r="AQ9" s="616">
        <f t="shared" ref="AQ9:AQ19" si="1">+SUM(AO9:AP9)</f>
        <v>800</v>
      </c>
    </row>
    <row r="10" spans="2:62" ht="20.100000000000001" customHeight="1" x14ac:dyDescent="0.15">
      <c r="B10" s="132" t="s">
        <v>377</v>
      </c>
      <c r="C10" s="92"/>
      <c r="D10" s="623"/>
      <c r="E10" s="623"/>
      <c r="F10" s="92">
        <v>15</v>
      </c>
      <c r="G10" s="623"/>
      <c r="H10" s="623"/>
      <c r="I10" s="92"/>
      <c r="J10" s="623"/>
      <c r="K10" s="623"/>
      <c r="L10" s="92"/>
      <c r="M10" s="623"/>
      <c r="N10" s="623"/>
      <c r="O10" s="92"/>
      <c r="P10" s="623"/>
      <c r="Q10" s="623"/>
      <c r="R10" s="92"/>
      <c r="S10" s="623"/>
      <c r="T10" s="623"/>
      <c r="U10" s="92"/>
      <c r="V10" s="623"/>
      <c r="W10" s="623"/>
      <c r="X10" s="92"/>
      <c r="Y10" s="623"/>
      <c r="Z10" s="623"/>
      <c r="AA10" s="92"/>
      <c r="AB10" s="623"/>
      <c r="AC10" s="623"/>
      <c r="AD10" s="644">
        <v>15</v>
      </c>
      <c r="AE10" s="645"/>
      <c r="AF10" s="645"/>
      <c r="AG10" s="92"/>
      <c r="AH10" s="623"/>
      <c r="AI10" s="623"/>
      <c r="AJ10" s="92"/>
      <c r="AK10" s="623"/>
      <c r="AL10" s="623"/>
      <c r="AM10" s="201">
        <f t="shared" si="0"/>
        <v>30</v>
      </c>
      <c r="AO10" s="615"/>
      <c r="AP10" s="615">
        <v>30</v>
      </c>
      <c r="AQ10" s="616">
        <f t="shared" si="1"/>
        <v>30</v>
      </c>
    </row>
    <row r="11" spans="2:62" ht="20.100000000000001" customHeight="1" x14ac:dyDescent="0.15">
      <c r="B11" s="132" t="s">
        <v>378</v>
      </c>
      <c r="C11" s="644">
        <v>20</v>
      </c>
      <c r="D11" s="645">
        <v>20</v>
      </c>
      <c r="E11" s="645"/>
      <c r="F11" s="644"/>
      <c r="G11" s="645">
        <v>5</v>
      </c>
      <c r="H11" s="645"/>
      <c r="I11" s="644"/>
      <c r="J11" s="645">
        <v>5</v>
      </c>
      <c r="K11" s="645">
        <v>5</v>
      </c>
      <c r="L11" s="644">
        <v>5</v>
      </c>
      <c r="M11" s="645">
        <v>5</v>
      </c>
      <c r="N11" s="645"/>
      <c r="O11" s="644">
        <v>5</v>
      </c>
      <c r="P11" s="645"/>
      <c r="Q11" s="645">
        <v>5</v>
      </c>
      <c r="R11" s="644"/>
      <c r="S11" s="645">
        <v>5</v>
      </c>
      <c r="T11" s="645"/>
      <c r="U11" s="644">
        <v>5</v>
      </c>
      <c r="V11" s="645"/>
      <c r="W11" s="645"/>
      <c r="X11" s="644"/>
      <c r="Y11" s="645"/>
      <c r="Z11" s="645">
        <v>5</v>
      </c>
      <c r="AA11" s="644"/>
      <c r="AB11" s="645"/>
      <c r="AC11" s="645">
        <v>5</v>
      </c>
      <c r="AD11" s="644"/>
      <c r="AE11" s="645"/>
      <c r="AF11" s="645"/>
      <c r="AG11" s="644"/>
      <c r="AH11" s="645"/>
      <c r="AI11" s="645"/>
      <c r="AJ11" s="644"/>
      <c r="AK11" s="645"/>
      <c r="AL11" s="645"/>
      <c r="AM11" s="646">
        <f t="shared" si="0"/>
        <v>95</v>
      </c>
      <c r="AO11" s="615">
        <v>100</v>
      </c>
      <c r="AP11" s="615"/>
      <c r="AQ11" s="616">
        <f t="shared" si="1"/>
        <v>100</v>
      </c>
    </row>
    <row r="12" spans="2:62" ht="20.100000000000001" customHeight="1" x14ac:dyDescent="0.15">
      <c r="B12" s="132" t="s">
        <v>379</v>
      </c>
      <c r="C12" s="92"/>
      <c r="D12" s="623"/>
      <c r="E12" s="623"/>
      <c r="F12" s="92"/>
      <c r="G12" s="623"/>
      <c r="H12" s="623"/>
      <c r="I12" s="92"/>
      <c r="J12" s="623"/>
      <c r="K12" s="623"/>
      <c r="L12" s="92"/>
      <c r="M12" s="623"/>
      <c r="N12" s="648">
        <v>120</v>
      </c>
      <c r="O12" s="647">
        <v>120</v>
      </c>
      <c r="P12" s="648">
        <v>120</v>
      </c>
      <c r="Q12" s="648">
        <v>300</v>
      </c>
      <c r="R12" s="647">
        <v>240</v>
      </c>
      <c r="S12" s="648">
        <v>60</v>
      </c>
      <c r="T12" s="623"/>
      <c r="U12" s="92"/>
      <c r="V12" s="623"/>
      <c r="W12" s="623"/>
      <c r="X12" s="92"/>
      <c r="Y12" s="623"/>
      <c r="Z12" s="623"/>
      <c r="AA12" s="92"/>
      <c r="AB12" s="623"/>
      <c r="AC12" s="623"/>
      <c r="AD12" s="92"/>
      <c r="AE12" s="623"/>
      <c r="AF12" s="623"/>
      <c r="AG12" s="92"/>
      <c r="AH12" s="623"/>
      <c r="AI12" s="623"/>
      <c r="AJ12" s="92"/>
      <c r="AK12" s="623"/>
      <c r="AL12" s="623"/>
      <c r="AM12" s="201">
        <f t="shared" si="0"/>
        <v>960</v>
      </c>
      <c r="AO12" s="615"/>
      <c r="AP12" s="615">
        <v>1350</v>
      </c>
      <c r="AQ12" s="616">
        <f t="shared" si="1"/>
        <v>1350</v>
      </c>
    </row>
    <row r="13" spans="2:62" ht="20.100000000000001" customHeight="1" x14ac:dyDescent="0.15">
      <c r="B13" s="132" t="s">
        <v>380</v>
      </c>
      <c r="C13" s="92"/>
      <c r="D13" s="623"/>
      <c r="E13" s="623"/>
      <c r="F13" s="92"/>
      <c r="G13" s="623"/>
      <c r="H13" s="623"/>
      <c r="I13" s="92"/>
      <c r="J13" s="623"/>
      <c r="K13" s="623"/>
      <c r="L13" s="92"/>
      <c r="M13" s="623"/>
      <c r="N13" s="623"/>
      <c r="O13" s="92"/>
      <c r="P13" s="623"/>
      <c r="Q13" s="623"/>
      <c r="R13" s="92"/>
      <c r="S13" s="623">
        <v>80</v>
      </c>
      <c r="T13" s="623"/>
      <c r="U13" s="92"/>
      <c r="V13" s="623"/>
      <c r="W13" s="623"/>
      <c r="X13" s="92"/>
      <c r="Y13" s="623"/>
      <c r="Z13" s="623"/>
      <c r="AA13" s="92"/>
      <c r="AB13" s="623"/>
      <c r="AC13" s="623"/>
      <c r="AD13" s="92"/>
      <c r="AE13" s="623"/>
      <c r="AF13" s="623"/>
      <c r="AG13" s="92"/>
      <c r="AH13" s="623"/>
      <c r="AI13" s="623"/>
      <c r="AJ13" s="92"/>
      <c r="AK13" s="623"/>
      <c r="AL13" s="623"/>
      <c r="AM13" s="201">
        <f t="shared" si="0"/>
        <v>80</v>
      </c>
      <c r="AO13" s="615"/>
      <c r="AP13" s="615">
        <v>220</v>
      </c>
      <c r="AQ13" s="616">
        <f t="shared" si="1"/>
        <v>220</v>
      </c>
    </row>
    <row r="14" spans="2:62" ht="20.100000000000001" customHeight="1" x14ac:dyDescent="0.15">
      <c r="B14" s="132" t="s">
        <v>381</v>
      </c>
      <c r="C14" s="92"/>
      <c r="D14" s="623"/>
      <c r="E14" s="623"/>
      <c r="F14" s="92"/>
      <c r="G14" s="623"/>
      <c r="H14" s="623"/>
      <c r="I14" s="92"/>
      <c r="J14" s="623"/>
      <c r="K14" s="623">
        <v>5</v>
      </c>
      <c r="L14" s="92"/>
      <c r="M14" s="623"/>
      <c r="N14" s="623"/>
      <c r="O14" s="92">
        <v>10</v>
      </c>
      <c r="P14" s="623"/>
      <c r="Q14" s="623"/>
      <c r="R14" s="92">
        <v>10</v>
      </c>
      <c r="S14" s="623"/>
      <c r="T14" s="623"/>
      <c r="U14" s="92">
        <v>10</v>
      </c>
      <c r="V14" s="623"/>
      <c r="W14" s="623"/>
      <c r="X14" s="92"/>
      <c r="Y14" s="623">
        <v>10</v>
      </c>
      <c r="Z14" s="623"/>
      <c r="AA14" s="92"/>
      <c r="AB14" s="623">
        <v>10</v>
      </c>
      <c r="AC14" s="623"/>
      <c r="AD14" s="92"/>
      <c r="AE14" s="623"/>
      <c r="AF14" s="623"/>
      <c r="AG14" s="92"/>
      <c r="AH14" s="623"/>
      <c r="AI14" s="623"/>
      <c r="AJ14" s="92"/>
      <c r="AK14" s="623"/>
      <c r="AL14" s="623"/>
      <c r="AM14" s="201">
        <f t="shared" si="0"/>
        <v>55</v>
      </c>
      <c r="AO14" s="615"/>
      <c r="AP14" s="615">
        <v>25</v>
      </c>
      <c r="AQ14" s="616">
        <f t="shared" si="1"/>
        <v>25</v>
      </c>
    </row>
    <row r="15" spans="2:62" ht="20.100000000000001" customHeight="1" x14ac:dyDescent="0.15">
      <c r="B15" s="132" t="s">
        <v>382</v>
      </c>
      <c r="C15" s="92"/>
      <c r="D15" s="623"/>
      <c r="E15" s="623"/>
      <c r="F15" s="92"/>
      <c r="G15" s="623">
        <v>4</v>
      </c>
      <c r="H15" s="623">
        <v>3</v>
      </c>
      <c r="I15" s="92">
        <v>2</v>
      </c>
      <c r="J15" s="623">
        <v>2</v>
      </c>
      <c r="K15" s="623">
        <v>2</v>
      </c>
      <c r="L15" s="92">
        <v>2</v>
      </c>
      <c r="M15" s="623">
        <v>2</v>
      </c>
      <c r="N15" s="623">
        <v>2</v>
      </c>
      <c r="O15" s="92">
        <v>2</v>
      </c>
      <c r="P15" s="623">
        <v>2</v>
      </c>
      <c r="Q15" s="623">
        <v>2</v>
      </c>
      <c r="R15" s="92">
        <v>2</v>
      </c>
      <c r="S15" s="623">
        <v>2</v>
      </c>
      <c r="T15" s="623">
        <v>2</v>
      </c>
      <c r="U15" s="92">
        <v>2</v>
      </c>
      <c r="V15" s="623">
        <v>2</v>
      </c>
      <c r="W15" s="623">
        <v>2</v>
      </c>
      <c r="X15" s="92">
        <v>2</v>
      </c>
      <c r="Y15" s="623">
        <v>2</v>
      </c>
      <c r="Z15" s="623">
        <v>2</v>
      </c>
      <c r="AA15" s="92"/>
      <c r="AB15" s="623">
        <v>2</v>
      </c>
      <c r="AC15" s="623"/>
      <c r="AD15" s="92"/>
      <c r="AE15" s="623">
        <v>2</v>
      </c>
      <c r="AF15" s="623"/>
      <c r="AG15" s="92"/>
      <c r="AH15" s="623"/>
      <c r="AI15" s="623"/>
      <c r="AJ15" s="92"/>
      <c r="AK15" s="623"/>
      <c r="AL15" s="623"/>
      <c r="AM15" s="201">
        <f t="shared" si="0"/>
        <v>47</v>
      </c>
      <c r="AO15" s="615"/>
      <c r="AP15" s="615">
        <v>40</v>
      </c>
      <c r="AQ15" s="616">
        <f t="shared" si="1"/>
        <v>40</v>
      </c>
    </row>
    <row r="16" spans="2:62" ht="20.100000000000001" customHeight="1" x14ac:dyDescent="0.15">
      <c r="B16" s="132" t="s">
        <v>383</v>
      </c>
      <c r="C16" s="92"/>
      <c r="D16" s="623"/>
      <c r="E16" s="623"/>
      <c r="F16" s="92"/>
      <c r="G16" s="623"/>
      <c r="H16" s="623"/>
      <c r="I16" s="92"/>
      <c r="J16" s="623"/>
      <c r="K16" s="623"/>
      <c r="L16" s="92"/>
      <c r="M16" s="623"/>
      <c r="N16" s="623"/>
      <c r="O16" s="92"/>
      <c r="P16" s="623"/>
      <c r="Q16" s="623"/>
      <c r="R16" s="92"/>
      <c r="S16" s="623"/>
      <c r="T16" s="623"/>
      <c r="U16" s="92"/>
      <c r="V16" s="623"/>
      <c r="W16" s="648">
        <v>360</v>
      </c>
      <c r="X16" s="647">
        <v>390</v>
      </c>
      <c r="Y16" s="648">
        <v>330</v>
      </c>
      <c r="Z16" s="623"/>
      <c r="AA16" s="92"/>
      <c r="AB16" s="623"/>
      <c r="AC16" s="623"/>
      <c r="AD16" s="92"/>
      <c r="AE16" s="623"/>
      <c r="AF16" s="623"/>
      <c r="AG16" s="92"/>
      <c r="AH16" s="623"/>
      <c r="AI16" s="623"/>
      <c r="AJ16" s="92"/>
      <c r="AK16" s="623"/>
      <c r="AL16" s="623"/>
      <c r="AM16" s="201">
        <f t="shared" si="0"/>
        <v>1080</v>
      </c>
      <c r="AO16" s="615"/>
      <c r="AP16" s="615">
        <v>1800</v>
      </c>
      <c r="AQ16" s="616">
        <f t="shared" si="1"/>
        <v>1800</v>
      </c>
    </row>
    <row r="17" spans="2:43" ht="20.100000000000001" customHeight="1" x14ac:dyDescent="0.15">
      <c r="B17" s="132" t="s">
        <v>384</v>
      </c>
      <c r="C17" s="92"/>
      <c r="D17" s="623"/>
      <c r="E17" s="623"/>
      <c r="F17" s="92"/>
      <c r="G17" s="623"/>
      <c r="H17" s="623"/>
      <c r="I17" s="92"/>
      <c r="J17" s="623"/>
      <c r="K17" s="623"/>
      <c r="L17" s="92"/>
      <c r="M17" s="623"/>
      <c r="N17" s="623"/>
      <c r="O17" s="92"/>
      <c r="P17" s="623"/>
      <c r="Q17" s="623"/>
      <c r="R17" s="92"/>
      <c r="S17" s="623"/>
      <c r="T17" s="623"/>
      <c r="U17" s="92"/>
      <c r="V17" s="623"/>
      <c r="W17" s="623"/>
      <c r="X17" s="92"/>
      <c r="Y17" s="623"/>
      <c r="Z17" s="623"/>
      <c r="AA17" s="92"/>
      <c r="AB17" s="623"/>
      <c r="AC17" s="623"/>
      <c r="AD17" s="92"/>
      <c r="AE17" s="623"/>
      <c r="AF17" s="623">
        <v>20</v>
      </c>
      <c r="AG17" s="92">
        <v>40</v>
      </c>
      <c r="AH17" s="623">
        <v>40</v>
      </c>
      <c r="AI17" s="623">
        <v>20</v>
      </c>
      <c r="AJ17" s="92"/>
      <c r="AK17" s="623"/>
      <c r="AL17" s="623"/>
      <c r="AM17" s="201">
        <f t="shared" si="0"/>
        <v>120</v>
      </c>
      <c r="AO17" s="615"/>
      <c r="AP17" s="615">
        <v>120</v>
      </c>
      <c r="AQ17" s="616">
        <f t="shared" si="1"/>
        <v>120</v>
      </c>
    </row>
    <row r="18" spans="2:43" ht="20.100000000000001" customHeight="1" x14ac:dyDescent="0.15">
      <c r="B18" s="132" t="s">
        <v>385</v>
      </c>
      <c r="C18" s="92"/>
      <c r="D18" s="623"/>
      <c r="E18" s="623">
        <v>260</v>
      </c>
      <c r="F18" s="92">
        <v>260</v>
      </c>
      <c r="G18" s="623">
        <v>120</v>
      </c>
      <c r="H18" s="623"/>
      <c r="I18" s="92"/>
      <c r="J18" s="623"/>
      <c r="K18" s="623"/>
      <c r="L18" s="92"/>
      <c r="M18" s="623"/>
      <c r="N18" s="623">
        <v>80</v>
      </c>
      <c r="O18" s="92"/>
      <c r="P18" s="623"/>
      <c r="Q18" s="623"/>
      <c r="R18" s="92">
        <v>80</v>
      </c>
      <c r="S18" s="623"/>
      <c r="T18" s="623"/>
      <c r="U18" s="92"/>
      <c r="V18" s="623"/>
      <c r="W18" s="623"/>
      <c r="X18" s="92"/>
      <c r="Y18" s="623"/>
      <c r="Z18" s="623">
        <v>80</v>
      </c>
      <c r="AA18" s="92">
        <v>80</v>
      </c>
      <c r="AB18" s="623"/>
      <c r="AC18" s="623"/>
      <c r="AD18" s="92"/>
      <c r="AE18" s="623"/>
      <c r="AF18" s="623"/>
      <c r="AG18" s="92"/>
      <c r="AH18" s="623"/>
      <c r="AI18" s="623"/>
      <c r="AJ18" s="92"/>
      <c r="AK18" s="623"/>
      <c r="AL18" s="623"/>
      <c r="AM18" s="201">
        <f t="shared" si="0"/>
        <v>960</v>
      </c>
      <c r="AO18" s="615"/>
      <c r="AP18" s="615">
        <v>1150</v>
      </c>
      <c r="AQ18" s="617">
        <f t="shared" si="1"/>
        <v>1150</v>
      </c>
    </row>
    <row r="19" spans="2:43" ht="20.100000000000001" customHeight="1" x14ac:dyDescent="0.15">
      <c r="B19" s="132" t="s">
        <v>386</v>
      </c>
      <c r="C19" s="92"/>
      <c r="D19" s="623"/>
      <c r="E19" s="623"/>
      <c r="F19" s="92"/>
      <c r="G19" s="623">
        <v>40</v>
      </c>
      <c r="H19" s="623">
        <v>40</v>
      </c>
      <c r="I19" s="92"/>
      <c r="J19" s="623"/>
      <c r="K19" s="623"/>
      <c r="L19" s="92"/>
      <c r="M19" s="623"/>
      <c r="N19" s="623"/>
      <c r="O19" s="92"/>
      <c r="P19" s="623"/>
      <c r="Q19" s="623"/>
      <c r="R19" s="92"/>
      <c r="S19" s="623"/>
      <c r="T19" s="623"/>
      <c r="U19" s="92"/>
      <c r="V19" s="623"/>
      <c r="W19" s="623"/>
      <c r="X19" s="92"/>
      <c r="Y19" s="623"/>
      <c r="Z19" s="623"/>
      <c r="AA19" s="92"/>
      <c r="AB19" s="623"/>
      <c r="AC19" s="623"/>
      <c r="AD19" s="92"/>
      <c r="AE19" s="623"/>
      <c r="AF19" s="623"/>
      <c r="AG19" s="92"/>
      <c r="AH19" s="623"/>
      <c r="AI19" s="623"/>
      <c r="AJ19" s="92">
        <v>40</v>
      </c>
      <c r="AK19" s="623"/>
      <c r="AL19" s="623"/>
      <c r="AM19" s="201">
        <f t="shared" si="0"/>
        <v>120</v>
      </c>
      <c r="AO19" s="615"/>
      <c r="AP19" s="615">
        <v>310</v>
      </c>
      <c r="AQ19" s="616">
        <f t="shared" si="1"/>
        <v>310</v>
      </c>
    </row>
    <row r="20" spans="2:43" ht="20.100000000000001" customHeight="1" x14ac:dyDescent="0.15">
      <c r="B20" s="132" t="s">
        <v>622</v>
      </c>
      <c r="C20" s="92"/>
      <c r="D20" s="623"/>
      <c r="E20" s="623"/>
      <c r="F20" s="92"/>
      <c r="G20" s="623">
        <v>30</v>
      </c>
      <c r="H20" s="645">
        <v>30</v>
      </c>
      <c r="I20" s="644">
        <v>30</v>
      </c>
      <c r="J20" s="645">
        <v>30</v>
      </c>
      <c r="K20" s="623">
        <v>30</v>
      </c>
      <c r="L20" s="92">
        <v>30</v>
      </c>
      <c r="M20" s="623">
        <v>30</v>
      </c>
      <c r="N20" s="623">
        <v>30</v>
      </c>
      <c r="O20" s="92">
        <v>30</v>
      </c>
      <c r="P20" s="623">
        <v>30</v>
      </c>
      <c r="Q20" s="623">
        <v>30</v>
      </c>
      <c r="R20" s="92">
        <v>30</v>
      </c>
      <c r="S20" s="623"/>
      <c r="T20" s="623"/>
      <c r="U20" s="92"/>
      <c r="V20" s="623"/>
      <c r="W20" s="623"/>
      <c r="X20" s="92"/>
      <c r="Y20" s="623"/>
      <c r="Z20" s="623"/>
      <c r="AA20" s="92"/>
      <c r="AB20" s="623"/>
      <c r="AC20" s="623"/>
      <c r="AD20" s="92"/>
      <c r="AE20" s="623"/>
      <c r="AF20" s="623"/>
      <c r="AG20" s="92"/>
      <c r="AH20" s="623"/>
      <c r="AI20" s="623"/>
      <c r="AJ20" s="92"/>
      <c r="AK20" s="623"/>
      <c r="AL20" s="623"/>
      <c r="AM20" s="201">
        <f t="shared" si="0"/>
        <v>360</v>
      </c>
      <c r="AO20" s="615"/>
      <c r="AP20" s="615">
        <v>40</v>
      </c>
      <c r="AQ20" s="616">
        <f t="shared" ref="AQ20:AQ33" si="2">SUM(AO20:AP20)</f>
        <v>40</v>
      </c>
    </row>
    <row r="21" spans="2:43" ht="20.100000000000001" customHeight="1" x14ac:dyDescent="0.15">
      <c r="B21" s="132"/>
      <c r="C21" s="92"/>
      <c r="D21" s="623"/>
      <c r="E21" s="623"/>
      <c r="F21" s="92"/>
      <c r="G21" s="623"/>
      <c r="H21" s="623"/>
      <c r="I21" s="92"/>
      <c r="J21" s="623"/>
      <c r="K21" s="623"/>
      <c r="L21" s="92"/>
      <c r="M21" s="623"/>
      <c r="N21" s="623"/>
      <c r="O21" s="92"/>
      <c r="P21" s="623"/>
      <c r="Q21" s="623"/>
      <c r="R21" s="92"/>
      <c r="S21" s="623"/>
      <c r="T21" s="623"/>
      <c r="U21" s="92"/>
      <c r="V21" s="623"/>
      <c r="W21" s="623"/>
      <c r="X21" s="92"/>
      <c r="Y21" s="623"/>
      <c r="Z21" s="623"/>
      <c r="AA21" s="92"/>
      <c r="AB21" s="623"/>
      <c r="AC21" s="623"/>
      <c r="AD21" s="92"/>
      <c r="AE21" s="623"/>
      <c r="AF21" s="623"/>
      <c r="AG21" s="92"/>
      <c r="AH21" s="623"/>
      <c r="AI21" s="623"/>
      <c r="AJ21" s="92"/>
      <c r="AK21" s="623"/>
      <c r="AL21" s="623"/>
      <c r="AM21" s="201">
        <f t="shared" si="0"/>
        <v>0</v>
      </c>
      <c r="AO21" s="616"/>
      <c r="AP21" s="616"/>
      <c r="AQ21" s="616">
        <f t="shared" si="2"/>
        <v>0</v>
      </c>
    </row>
    <row r="22" spans="2:43" ht="20.100000000000001" customHeight="1" x14ac:dyDescent="0.15">
      <c r="B22" s="132"/>
      <c r="C22" s="92"/>
      <c r="D22" s="623"/>
      <c r="E22" s="623"/>
      <c r="F22" s="92"/>
      <c r="G22" s="623"/>
      <c r="H22" s="623"/>
      <c r="I22" s="92"/>
      <c r="J22" s="623"/>
      <c r="K22" s="623"/>
      <c r="L22" s="92"/>
      <c r="M22" s="623"/>
      <c r="N22" s="623"/>
      <c r="O22" s="92"/>
      <c r="P22" s="623"/>
      <c r="Q22" s="623"/>
      <c r="R22" s="92"/>
      <c r="S22" s="623"/>
      <c r="T22" s="623"/>
      <c r="U22" s="92"/>
      <c r="V22" s="623"/>
      <c r="W22" s="623"/>
      <c r="X22" s="92"/>
      <c r="Y22" s="623"/>
      <c r="Z22" s="623"/>
      <c r="AA22" s="92"/>
      <c r="AB22" s="623"/>
      <c r="AC22" s="623"/>
      <c r="AD22" s="92"/>
      <c r="AE22" s="623"/>
      <c r="AF22" s="623"/>
      <c r="AG22" s="92"/>
      <c r="AH22" s="623"/>
      <c r="AI22" s="623"/>
      <c r="AJ22" s="92"/>
      <c r="AK22" s="623"/>
      <c r="AL22" s="623"/>
      <c r="AM22" s="201">
        <f t="shared" si="0"/>
        <v>0</v>
      </c>
      <c r="AO22" s="616"/>
      <c r="AP22" s="616"/>
      <c r="AQ22" s="616">
        <f t="shared" si="2"/>
        <v>0</v>
      </c>
    </row>
    <row r="23" spans="2:43" ht="20.100000000000001" customHeight="1" x14ac:dyDescent="0.15">
      <c r="B23" s="132"/>
      <c r="C23" s="92"/>
      <c r="D23" s="623"/>
      <c r="E23" s="623"/>
      <c r="F23" s="92"/>
      <c r="G23" s="623"/>
      <c r="H23" s="623"/>
      <c r="I23" s="92"/>
      <c r="J23" s="623"/>
      <c r="K23" s="623"/>
      <c r="L23" s="92"/>
      <c r="M23" s="623"/>
      <c r="N23" s="623"/>
      <c r="O23" s="92"/>
      <c r="P23" s="623"/>
      <c r="Q23" s="623"/>
      <c r="R23" s="92"/>
      <c r="S23" s="623"/>
      <c r="T23" s="623"/>
      <c r="U23" s="92"/>
      <c r="V23" s="623"/>
      <c r="W23" s="623"/>
      <c r="X23" s="92"/>
      <c r="Y23" s="623"/>
      <c r="Z23" s="623"/>
      <c r="AA23" s="92"/>
      <c r="AB23" s="623"/>
      <c r="AC23" s="623"/>
      <c r="AD23" s="92"/>
      <c r="AE23" s="623"/>
      <c r="AF23" s="623"/>
      <c r="AG23" s="92"/>
      <c r="AH23" s="623"/>
      <c r="AI23" s="623"/>
      <c r="AJ23" s="92"/>
      <c r="AK23" s="623"/>
      <c r="AL23" s="623"/>
      <c r="AM23" s="201">
        <f t="shared" si="0"/>
        <v>0</v>
      </c>
      <c r="AO23" s="616"/>
      <c r="AP23" s="616"/>
      <c r="AQ23" s="616">
        <f t="shared" si="2"/>
        <v>0</v>
      </c>
    </row>
    <row r="24" spans="2:43" ht="20.100000000000001" customHeight="1" x14ac:dyDescent="0.15">
      <c r="B24" s="132"/>
      <c r="C24" s="92"/>
      <c r="D24" s="623"/>
      <c r="E24" s="623"/>
      <c r="F24" s="92"/>
      <c r="G24" s="623"/>
      <c r="H24" s="623"/>
      <c r="I24" s="92"/>
      <c r="J24" s="623"/>
      <c r="K24" s="623"/>
      <c r="L24" s="92"/>
      <c r="M24" s="623"/>
      <c r="N24" s="623"/>
      <c r="O24" s="92"/>
      <c r="P24" s="623"/>
      <c r="Q24" s="623"/>
      <c r="R24" s="92"/>
      <c r="S24" s="623"/>
      <c r="T24" s="623"/>
      <c r="U24" s="92"/>
      <c r="V24" s="623"/>
      <c r="W24" s="623"/>
      <c r="X24" s="92"/>
      <c r="Y24" s="623"/>
      <c r="Z24" s="623"/>
      <c r="AA24" s="92"/>
      <c r="AB24" s="623"/>
      <c r="AC24" s="623"/>
      <c r="AD24" s="92"/>
      <c r="AE24" s="623"/>
      <c r="AF24" s="623"/>
      <c r="AG24" s="92"/>
      <c r="AH24" s="623"/>
      <c r="AI24" s="623"/>
      <c r="AJ24" s="92"/>
      <c r="AK24" s="623"/>
      <c r="AL24" s="623"/>
      <c r="AM24" s="201">
        <f t="shared" si="0"/>
        <v>0</v>
      </c>
      <c r="AO24" s="616"/>
      <c r="AP24" s="616"/>
      <c r="AQ24" s="616">
        <f t="shared" si="2"/>
        <v>0</v>
      </c>
    </row>
    <row r="25" spans="2:43" ht="20.100000000000001" customHeight="1" x14ac:dyDescent="0.15">
      <c r="B25" s="132"/>
      <c r="C25" s="92"/>
      <c r="D25" s="623"/>
      <c r="E25" s="623"/>
      <c r="F25" s="92"/>
      <c r="G25" s="623"/>
      <c r="H25" s="623"/>
      <c r="I25" s="92"/>
      <c r="J25" s="623"/>
      <c r="K25" s="623"/>
      <c r="L25" s="92"/>
      <c r="M25" s="623"/>
      <c r="N25" s="623"/>
      <c r="O25" s="92"/>
      <c r="P25" s="623"/>
      <c r="Q25" s="623"/>
      <c r="R25" s="92"/>
      <c r="S25" s="623"/>
      <c r="T25" s="623"/>
      <c r="U25" s="92"/>
      <c r="V25" s="623"/>
      <c r="W25" s="623"/>
      <c r="X25" s="92"/>
      <c r="Y25" s="623"/>
      <c r="Z25" s="623"/>
      <c r="AA25" s="92"/>
      <c r="AB25" s="623"/>
      <c r="AC25" s="623"/>
      <c r="AD25" s="92"/>
      <c r="AE25" s="623"/>
      <c r="AF25" s="623"/>
      <c r="AG25" s="92"/>
      <c r="AH25" s="623"/>
      <c r="AI25" s="623"/>
      <c r="AJ25" s="92"/>
      <c r="AK25" s="623"/>
      <c r="AL25" s="623"/>
      <c r="AM25" s="201">
        <f t="shared" si="0"/>
        <v>0</v>
      </c>
      <c r="AO25" s="616"/>
      <c r="AP25" s="616"/>
      <c r="AQ25" s="616">
        <f t="shared" si="2"/>
        <v>0</v>
      </c>
    </row>
    <row r="26" spans="2:43" ht="20.100000000000001" customHeight="1" x14ac:dyDescent="0.15">
      <c r="B26" s="132"/>
      <c r="C26" s="92"/>
      <c r="D26" s="623"/>
      <c r="E26" s="623"/>
      <c r="F26" s="92"/>
      <c r="G26" s="623"/>
      <c r="H26" s="623"/>
      <c r="I26" s="92"/>
      <c r="J26" s="623"/>
      <c r="K26" s="623"/>
      <c r="L26" s="92"/>
      <c r="M26" s="623"/>
      <c r="N26" s="623"/>
      <c r="O26" s="92"/>
      <c r="P26" s="623"/>
      <c r="Q26" s="623"/>
      <c r="R26" s="92"/>
      <c r="S26" s="623"/>
      <c r="T26" s="623"/>
      <c r="U26" s="92"/>
      <c r="V26" s="623"/>
      <c r="W26" s="623"/>
      <c r="X26" s="92"/>
      <c r="Y26" s="623"/>
      <c r="Z26" s="623"/>
      <c r="AA26" s="92"/>
      <c r="AB26" s="623"/>
      <c r="AC26" s="623"/>
      <c r="AD26" s="92"/>
      <c r="AE26" s="623"/>
      <c r="AF26" s="623"/>
      <c r="AG26" s="92"/>
      <c r="AH26" s="623"/>
      <c r="AI26" s="623"/>
      <c r="AJ26" s="92"/>
      <c r="AK26" s="623"/>
      <c r="AL26" s="623"/>
      <c r="AM26" s="201">
        <f t="shared" si="0"/>
        <v>0</v>
      </c>
      <c r="AO26" s="616"/>
      <c r="AP26" s="616"/>
      <c r="AQ26" s="616">
        <f t="shared" si="2"/>
        <v>0</v>
      </c>
    </row>
    <row r="27" spans="2:43" ht="20.100000000000001" customHeight="1" x14ac:dyDescent="0.15">
      <c r="B27" s="132"/>
      <c r="C27" s="92"/>
      <c r="D27" s="623"/>
      <c r="E27" s="623"/>
      <c r="F27" s="92"/>
      <c r="G27" s="623"/>
      <c r="H27" s="623"/>
      <c r="I27" s="92"/>
      <c r="J27" s="623"/>
      <c r="K27" s="623"/>
      <c r="L27" s="92"/>
      <c r="M27" s="623"/>
      <c r="N27" s="623"/>
      <c r="O27" s="92"/>
      <c r="P27" s="623"/>
      <c r="Q27" s="623"/>
      <c r="R27" s="92"/>
      <c r="S27" s="623"/>
      <c r="T27" s="623"/>
      <c r="U27" s="92"/>
      <c r="V27" s="623"/>
      <c r="W27" s="623"/>
      <c r="X27" s="92"/>
      <c r="Y27" s="623"/>
      <c r="Z27" s="623"/>
      <c r="AA27" s="92"/>
      <c r="AB27" s="623"/>
      <c r="AC27" s="623"/>
      <c r="AD27" s="92"/>
      <c r="AE27" s="623"/>
      <c r="AF27" s="623"/>
      <c r="AG27" s="92"/>
      <c r="AH27" s="623"/>
      <c r="AI27" s="623"/>
      <c r="AJ27" s="92"/>
      <c r="AK27" s="623"/>
      <c r="AL27" s="623"/>
      <c r="AM27" s="201">
        <f t="shared" si="0"/>
        <v>0</v>
      </c>
      <c r="AO27" s="616"/>
      <c r="AP27" s="616"/>
      <c r="AQ27" s="616">
        <f t="shared" si="2"/>
        <v>0</v>
      </c>
    </row>
    <row r="28" spans="2:43" ht="20.100000000000001" customHeight="1" x14ac:dyDescent="0.15">
      <c r="B28" s="132"/>
      <c r="C28" s="92"/>
      <c r="D28" s="623"/>
      <c r="E28" s="623"/>
      <c r="F28" s="92"/>
      <c r="G28" s="623"/>
      <c r="H28" s="623"/>
      <c r="I28" s="92"/>
      <c r="J28" s="623"/>
      <c r="K28" s="623"/>
      <c r="L28" s="92"/>
      <c r="M28" s="623"/>
      <c r="N28" s="623"/>
      <c r="O28" s="92"/>
      <c r="P28" s="623"/>
      <c r="Q28" s="623"/>
      <c r="R28" s="92"/>
      <c r="S28" s="623"/>
      <c r="T28" s="623"/>
      <c r="U28" s="92"/>
      <c r="V28" s="623"/>
      <c r="W28" s="623"/>
      <c r="X28" s="92"/>
      <c r="Y28" s="623"/>
      <c r="Z28" s="623"/>
      <c r="AA28" s="92"/>
      <c r="AB28" s="623"/>
      <c r="AC28" s="623"/>
      <c r="AD28" s="92"/>
      <c r="AE28" s="623"/>
      <c r="AF28" s="623"/>
      <c r="AG28" s="92"/>
      <c r="AH28" s="623"/>
      <c r="AI28" s="623"/>
      <c r="AJ28" s="92"/>
      <c r="AK28" s="623"/>
      <c r="AL28" s="623"/>
      <c r="AM28" s="201">
        <f t="shared" si="0"/>
        <v>0</v>
      </c>
      <c r="AO28" s="616"/>
      <c r="AP28" s="616"/>
      <c r="AQ28" s="616">
        <f t="shared" si="2"/>
        <v>0</v>
      </c>
    </row>
    <row r="29" spans="2:43" ht="20.100000000000001" customHeight="1" x14ac:dyDescent="0.15">
      <c r="B29" s="132"/>
      <c r="C29" s="92"/>
      <c r="D29" s="623"/>
      <c r="E29" s="623"/>
      <c r="F29" s="92"/>
      <c r="G29" s="623"/>
      <c r="H29" s="623"/>
      <c r="I29" s="92"/>
      <c r="J29" s="623"/>
      <c r="K29" s="623"/>
      <c r="L29" s="92"/>
      <c r="M29" s="623"/>
      <c r="N29" s="623"/>
      <c r="O29" s="92"/>
      <c r="P29" s="623"/>
      <c r="Q29" s="623"/>
      <c r="R29" s="92"/>
      <c r="S29" s="623"/>
      <c r="T29" s="623"/>
      <c r="U29" s="92"/>
      <c r="V29" s="623"/>
      <c r="W29" s="623"/>
      <c r="X29" s="92"/>
      <c r="Y29" s="623"/>
      <c r="Z29" s="623"/>
      <c r="AA29" s="92"/>
      <c r="AB29" s="623"/>
      <c r="AC29" s="623"/>
      <c r="AD29" s="92"/>
      <c r="AE29" s="623"/>
      <c r="AF29" s="623"/>
      <c r="AG29" s="92"/>
      <c r="AH29" s="623"/>
      <c r="AI29" s="623"/>
      <c r="AJ29" s="92"/>
      <c r="AK29" s="623"/>
      <c r="AL29" s="623"/>
      <c r="AM29" s="201">
        <f t="shared" si="0"/>
        <v>0</v>
      </c>
      <c r="AO29" s="616"/>
      <c r="AP29" s="616"/>
      <c r="AQ29" s="616">
        <f t="shared" si="2"/>
        <v>0</v>
      </c>
    </row>
    <row r="30" spans="2:43" ht="20.100000000000001" customHeight="1" x14ac:dyDescent="0.15">
      <c r="B30" s="132"/>
      <c r="C30" s="92"/>
      <c r="D30" s="623"/>
      <c r="E30" s="623"/>
      <c r="F30" s="92"/>
      <c r="G30" s="623"/>
      <c r="H30" s="623"/>
      <c r="I30" s="92"/>
      <c r="J30" s="623"/>
      <c r="K30" s="623"/>
      <c r="L30" s="92"/>
      <c r="M30" s="623"/>
      <c r="N30" s="623"/>
      <c r="O30" s="92"/>
      <c r="P30" s="623"/>
      <c r="Q30" s="623"/>
      <c r="R30" s="92"/>
      <c r="S30" s="623"/>
      <c r="T30" s="623"/>
      <c r="U30" s="92"/>
      <c r="V30" s="623"/>
      <c r="W30" s="623"/>
      <c r="X30" s="92"/>
      <c r="Y30" s="623"/>
      <c r="Z30" s="623"/>
      <c r="AA30" s="92"/>
      <c r="AB30" s="623"/>
      <c r="AC30" s="623"/>
      <c r="AD30" s="92"/>
      <c r="AE30" s="623"/>
      <c r="AF30" s="623"/>
      <c r="AG30" s="92"/>
      <c r="AH30" s="623"/>
      <c r="AI30" s="623"/>
      <c r="AJ30" s="92"/>
      <c r="AK30" s="623"/>
      <c r="AL30" s="623"/>
      <c r="AM30" s="201">
        <f t="shared" si="0"/>
        <v>0</v>
      </c>
      <c r="AO30" s="616"/>
      <c r="AP30" s="616"/>
      <c r="AQ30" s="616">
        <f t="shared" si="2"/>
        <v>0</v>
      </c>
    </row>
    <row r="31" spans="2:43" ht="20.100000000000001" customHeight="1" x14ac:dyDescent="0.15">
      <c r="B31" s="132"/>
      <c r="C31" s="92"/>
      <c r="D31" s="623"/>
      <c r="E31" s="623"/>
      <c r="F31" s="92"/>
      <c r="G31" s="623"/>
      <c r="H31" s="623"/>
      <c r="I31" s="92"/>
      <c r="J31" s="623"/>
      <c r="K31" s="623"/>
      <c r="L31" s="92"/>
      <c r="M31" s="623"/>
      <c r="N31" s="623"/>
      <c r="O31" s="92"/>
      <c r="P31" s="623"/>
      <c r="Q31" s="623"/>
      <c r="R31" s="92"/>
      <c r="S31" s="623"/>
      <c r="T31" s="623"/>
      <c r="U31" s="92"/>
      <c r="V31" s="623"/>
      <c r="W31" s="623"/>
      <c r="X31" s="92"/>
      <c r="Y31" s="623"/>
      <c r="Z31" s="623"/>
      <c r="AA31" s="92"/>
      <c r="AB31" s="623"/>
      <c r="AC31" s="623"/>
      <c r="AD31" s="92"/>
      <c r="AE31" s="623"/>
      <c r="AF31" s="623"/>
      <c r="AG31" s="92"/>
      <c r="AH31" s="623"/>
      <c r="AI31" s="623"/>
      <c r="AJ31" s="92"/>
      <c r="AK31" s="623"/>
      <c r="AL31" s="623"/>
      <c r="AM31" s="201">
        <f t="shared" si="0"/>
        <v>0</v>
      </c>
      <c r="AO31" s="616"/>
      <c r="AP31" s="616"/>
      <c r="AQ31" s="616">
        <f t="shared" si="2"/>
        <v>0</v>
      </c>
    </row>
    <row r="32" spans="2:43" ht="20.100000000000001" customHeight="1" x14ac:dyDescent="0.15">
      <c r="B32" s="132"/>
      <c r="C32" s="92"/>
      <c r="D32" s="623"/>
      <c r="E32" s="623"/>
      <c r="F32" s="92"/>
      <c r="G32" s="623"/>
      <c r="H32" s="623"/>
      <c r="I32" s="92"/>
      <c r="J32" s="623"/>
      <c r="K32" s="623"/>
      <c r="L32" s="92"/>
      <c r="M32" s="623"/>
      <c r="N32" s="623"/>
      <c r="O32" s="92"/>
      <c r="P32" s="623"/>
      <c r="Q32" s="623"/>
      <c r="R32" s="92"/>
      <c r="S32" s="623"/>
      <c r="T32" s="623"/>
      <c r="U32" s="92"/>
      <c r="V32" s="623"/>
      <c r="W32" s="623"/>
      <c r="X32" s="92"/>
      <c r="Y32" s="623"/>
      <c r="Z32" s="623"/>
      <c r="AA32" s="92"/>
      <c r="AB32" s="623"/>
      <c r="AC32" s="623"/>
      <c r="AD32" s="92"/>
      <c r="AE32" s="623"/>
      <c r="AF32" s="623"/>
      <c r="AG32" s="92"/>
      <c r="AH32" s="623"/>
      <c r="AI32" s="623"/>
      <c r="AJ32" s="92"/>
      <c r="AK32" s="623"/>
      <c r="AL32" s="623"/>
      <c r="AM32" s="201">
        <f t="shared" si="0"/>
        <v>0</v>
      </c>
      <c r="AO32" s="616"/>
      <c r="AP32" s="616"/>
      <c r="AQ32" s="616">
        <f t="shared" si="2"/>
        <v>0</v>
      </c>
    </row>
    <row r="33" spans="2:43" ht="20.100000000000001" customHeight="1" x14ac:dyDescent="0.15">
      <c r="B33" s="136" t="s">
        <v>114</v>
      </c>
      <c r="C33" s="92">
        <f t="shared" ref="C33:AL33" si="3">SUM(C8:C32)</f>
        <v>20</v>
      </c>
      <c r="D33" s="624">
        <f t="shared" si="3"/>
        <v>20</v>
      </c>
      <c r="E33" s="625">
        <f t="shared" si="3"/>
        <v>260</v>
      </c>
      <c r="F33" s="92">
        <f t="shared" si="3"/>
        <v>275</v>
      </c>
      <c r="G33" s="624">
        <f t="shared" si="3"/>
        <v>199</v>
      </c>
      <c r="H33" s="625">
        <f t="shared" si="3"/>
        <v>73</v>
      </c>
      <c r="I33" s="92">
        <f t="shared" si="3"/>
        <v>32</v>
      </c>
      <c r="J33" s="624">
        <f t="shared" si="3"/>
        <v>37</v>
      </c>
      <c r="K33" s="625">
        <f t="shared" si="3"/>
        <v>72</v>
      </c>
      <c r="L33" s="92">
        <f t="shared" si="3"/>
        <v>67</v>
      </c>
      <c r="M33" s="624">
        <f t="shared" si="3"/>
        <v>67</v>
      </c>
      <c r="N33" s="625">
        <f t="shared" si="3"/>
        <v>352</v>
      </c>
      <c r="O33" s="92">
        <f t="shared" si="3"/>
        <v>227</v>
      </c>
      <c r="P33" s="624">
        <f t="shared" si="3"/>
        <v>182</v>
      </c>
      <c r="Q33" s="625">
        <f t="shared" si="3"/>
        <v>337</v>
      </c>
      <c r="R33" s="92">
        <f t="shared" si="3"/>
        <v>362</v>
      </c>
      <c r="S33" s="624">
        <f t="shared" si="3"/>
        <v>177</v>
      </c>
      <c r="T33" s="625">
        <f t="shared" si="3"/>
        <v>2</v>
      </c>
      <c r="U33" s="92">
        <f t="shared" si="3"/>
        <v>17</v>
      </c>
      <c r="V33" s="624">
        <f t="shared" si="3"/>
        <v>2</v>
      </c>
      <c r="W33" s="625">
        <f t="shared" si="3"/>
        <v>362</v>
      </c>
      <c r="X33" s="92">
        <f t="shared" si="3"/>
        <v>392</v>
      </c>
      <c r="Y33" s="624">
        <f t="shared" si="3"/>
        <v>342</v>
      </c>
      <c r="Z33" s="625">
        <f t="shared" si="3"/>
        <v>87</v>
      </c>
      <c r="AA33" s="92">
        <f t="shared" si="3"/>
        <v>80</v>
      </c>
      <c r="AB33" s="624">
        <f t="shared" si="3"/>
        <v>12</v>
      </c>
      <c r="AC33" s="625">
        <f t="shared" si="3"/>
        <v>5</v>
      </c>
      <c r="AD33" s="92">
        <f t="shared" si="3"/>
        <v>15</v>
      </c>
      <c r="AE33" s="624">
        <f t="shared" si="3"/>
        <v>2</v>
      </c>
      <c r="AF33" s="625">
        <f t="shared" si="3"/>
        <v>20</v>
      </c>
      <c r="AG33" s="92">
        <f t="shared" si="3"/>
        <v>40</v>
      </c>
      <c r="AH33" s="624">
        <f t="shared" si="3"/>
        <v>40</v>
      </c>
      <c r="AI33" s="625">
        <f t="shared" si="3"/>
        <v>80</v>
      </c>
      <c r="AJ33" s="92">
        <f t="shared" si="3"/>
        <v>100</v>
      </c>
      <c r="AK33" s="624">
        <f t="shared" si="3"/>
        <v>40</v>
      </c>
      <c r="AL33" s="625">
        <f t="shared" si="3"/>
        <v>0</v>
      </c>
      <c r="AM33" s="201">
        <f t="shared" si="0"/>
        <v>4397</v>
      </c>
      <c r="AO33" s="616"/>
      <c r="AP33" s="616"/>
      <c r="AQ33" s="616">
        <f t="shared" si="2"/>
        <v>0</v>
      </c>
    </row>
    <row r="34" spans="2:43" ht="20.100000000000001" customHeight="1" thickBot="1" x14ac:dyDescent="0.2">
      <c r="B34" s="139" t="s">
        <v>115</v>
      </c>
      <c r="C34" s="382"/>
      <c r="D34" s="626">
        <f>SUM(C33:E33)</f>
        <v>300</v>
      </c>
      <c r="E34" s="626"/>
      <c r="F34" s="382"/>
      <c r="G34" s="626">
        <f>SUM(F33:H33)</f>
        <v>547</v>
      </c>
      <c r="H34" s="626"/>
      <c r="I34" s="382"/>
      <c r="J34" s="626">
        <f>SUM(I33:K33)</f>
        <v>141</v>
      </c>
      <c r="K34" s="626"/>
      <c r="L34" s="382"/>
      <c r="M34" s="626">
        <f>SUM(L33:N33)</f>
        <v>486</v>
      </c>
      <c r="N34" s="626"/>
      <c r="O34" s="382"/>
      <c r="P34" s="626">
        <f>SUM(O33:Q33)</f>
        <v>746</v>
      </c>
      <c r="Q34" s="626"/>
      <c r="R34" s="382"/>
      <c r="S34" s="626">
        <f>SUM(R33:T33)</f>
        <v>541</v>
      </c>
      <c r="T34" s="626"/>
      <c r="U34" s="382"/>
      <c r="V34" s="626">
        <f>SUM(U33:W33)</f>
        <v>381</v>
      </c>
      <c r="W34" s="626"/>
      <c r="X34" s="382"/>
      <c r="Y34" s="626">
        <f>SUM(X33:Z33)</f>
        <v>821</v>
      </c>
      <c r="Z34" s="626"/>
      <c r="AA34" s="382"/>
      <c r="AB34" s="626">
        <f>SUM(AA33:AC33)</f>
        <v>97</v>
      </c>
      <c r="AC34" s="626"/>
      <c r="AD34" s="382"/>
      <c r="AE34" s="626">
        <f>SUM(AD33:AF33)</f>
        <v>37</v>
      </c>
      <c r="AF34" s="626"/>
      <c r="AG34" s="382"/>
      <c r="AH34" s="626">
        <f>SUM(AG33:AI33)</f>
        <v>160</v>
      </c>
      <c r="AI34" s="626"/>
      <c r="AJ34" s="382"/>
      <c r="AK34" s="626">
        <f>SUM(AJ33:AL33)</f>
        <v>140</v>
      </c>
      <c r="AL34" s="626"/>
      <c r="AM34" s="383">
        <f>SUM(AM8:AM32)</f>
        <v>4397</v>
      </c>
      <c r="AO34" s="616">
        <f>SUM(AO8:AO32)</f>
        <v>100</v>
      </c>
      <c r="AP34" s="616">
        <f t="shared" ref="AP34" si="4">SUM(AP8:AP32)</f>
        <v>6005</v>
      </c>
      <c r="AQ34" s="616">
        <f>SUM(AQ8:AQ33)</f>
        <v>6105</v>
      </c>
    </row>
    <row r="37" spans="2:43" ht="14.25" thickBot="1" x14ac:dyDescent="0.2"/>
    <row r="38" spans="2:43" ht="14.25" thickBot="1" x14ac:dyDescent="0.2">
      <c r="B38" s="1" t="s">
        <v>648</v>
      </c>
      <c r="C38" s="635">
        <f>'４　経営収支'!G4</f>
        <v>0</v>
      </c>
      <c r="D38" s="1" t="s">
        <v>651</v>
      </c>
    </row>
    <row r="39" spans="2:43" ht="14.25" thickBot="1" x14ac:dyDescent="0.2"/>
    <row r="40" spans="2:43" x14ac:dyDescent="0.15">
      <c r="B40" s="636" t="s">
        <v>649</v>
      </c>
      <c r="C40" s="982">
        <v>1</v>
      </c>
      <c r="D40" s="983"/>
      <c r="E40" s="984"/>
      <c r="F40" s="982">
        <v>2</v>
      </c>
      <c r="G40" s="983"/>
      <c r="H40" s="984"/>
      <c r="I40" s="982">
        <v>3</v>
      </c>
      <c r="J40" s="983"/>
      <c r="K40" s="984"/>
      <c r="L40" s="982">
        <v>4</v>
      </c>
      <c r="M40" s="983"/>
      <c r="N40" s="984"/>
      <c r="O40" s="982">
        <v>5</v>
      </c>
      <c r="P40" s="983"/>
      <c r="Q40" s="984"/>
      <c r="R40" s="982">
        <v>6</v>
      </c>
      <c r="S40" s="983"/>
      <c r="T40" s="984"/>
      <c r="U40" s="982">
        <v>7</v>
      </c>
      <c r="V40" s="983"/>
      <c r="W40" s="984"/>
      <c r="X40" s="982">
        <v>8</v>
      </c>
      <c r="Y40" s="983"/>
      <c r="Z40" s="984"/>
      <c r="AA40" s="982">
        <v>9</v>
      </c>
      <c r="AB40" s="983"/>
      <c r="AC40" s="984"/>
      <c r="AD40" s="982">
        <v>10</v>
      </c>
      <c r="AE40" s="983"/>
      <c r="AF40" s="984"/>
      <c r="AG40" s="982">
        <v>11</v>
      </c>
      <c r="AH40" s="983"/>
      <c r="AI40" s="984"/>
      <c r="AJ40" s="982">
        <v>12</v>
      </c>
      <c r="AK40" s="983"/>
      <c r="AL40" s="984"/>
      <c r="AM40" s="985" t="s">
        <v>33</v>
      </c>
    </row>
    <row r="41" spans="2:43" x14ac:dyDescent="0.15">
      <c r="B41" s="637"/>
      <c r="C41" s="628" t="s">
        <v>34</v>
      </c>
      <c r="D41" s="124" t="s">
        <v>35</v>
      </c>
      <c r="E41" s="125" t="s">
        <v>36</v>
      </c>
      <c r="F41" s="628" t="s">
        <v>34</v>
      </c>
      <c r="G41" s="125" t="s">
        <v>35</v>
      </c>
      <c r="H41" s="125" t="s">
        <v>36</v>
      </c>
      <c r="I41" s="628" t="s">
        <v>34</v>
      </c>
      <c r="J41" s="125" t="s">
        <v>35</v>
      </c>
      <c r="K41" s="125" t="s">
        <v>36</v>
      </c>
      <c r="L41" s="628" t="s">
        <v>34</v>
      </c>
      <c r="M41" s="125" t="s">
        <v>35</v>
      </c>
      <c r="N41" s="125" t="s">
        <v>36</v>
      </c>
      <c r="O41" s="628" t="s">
        <v>34</v>
      </c>
      <c r="P41" s="125" t="s">
        <v>35</v>
      </c>
      <c r="Q41" s="125" t="s">
        <v>36</v>
      </c>
      <c r="R41" s="628" t="s">
        <v>34</v>
      </c>
      <c r="S41" s="629" t="s">
        <v>35</v>
      </c>
      <c r="T41" s="629" t="s">
        <v>36</v>
      </c>
      <c r="U41" s="628" t="s">
        <v>34</v>
      </c>
      <c r="V41" s="125" t="s">
        <v>35</v>
      </c>
      <c r="W41" s="125" t="s">
        <v>36</v>
      </c>
      <c r="X41" s="628" t="s">
        <v>34</v>
      </c>
      <c r="Y41" s="125" t="s">
        <v>35</v>
      </c>
      <c r="Z41" s="125" t="s">
        <v>36</v>
      </c>
      <c r="AA41" s="628" t="s">
        <v>34</v>
      </c>
      <c r="AB41" s="125" t="s">
        <v>35</v>
      </c>
      <c r="AC41" s="125" t="s">
        <v>36</v>
      </c>
      <c r="AD41" s="628" t="s">
        <v>34</v>
      </c>
      <c r="AE41" s="125" t="s">
        <v>35</v>
      </c>
      <c r="AF41" s="125" t="s">
        <v>36</v>
      </c>
      <c r="AG41" s="628" t="s">
        <v>34</v>
      </c>
      <c r="AH41" s="125" t="s">
        <v>35</v>
      </c>
      <c r="AI41" s="125" t="s">
        <v>36</v>
      </c>
      <c r="AJ41" s="628" t="s">
        <v>34</v>
      </c>
      <c r="AK41" s="125" t="s">
        <v>35</v>
      </c>
      <c r="AL41" s="125" t="s">
        <v>36</v>
      </c>
      <c r="AM41" s="986"/>
    </row>
    <row r="42" spans="2:43" x14ac:dyDescent="0.15">
      <c r="B42" s="638" t="s">
        <v>650</v>
      </c>
      <c r="C42" s="630">
        <f>C33*$C$38</f>
        <v>0</v>
      </c>
      <c r="D42" s="630">
        <f t="shared" ref="D42:AL42" si="5">D33*$C$38</f>
        <v>0</v>
      </c>
      <c r="E42" s="630">
        <f t="shared" si="5"/>
        <v>0</v>
      </c>
      <c r="F42" s="630">
        <f t="shared" si="5"/>
        <v>0</v>
      </c>
      <c r="G42" s="630">
        <f t="shared" si="5"/>
        <v>0</v>
      </c>
      <c r="H42" s="630">
        <f t="shared" si="5"/>
        <v>0</v>
      </c>
      <c r="I42" s="630">
        <f t="shared" si="5"/>
        <v>0</v>
      </c>
      <c r="J42" s="630">
        <f t="shared" si="5"/>
        <v>0</v>
      </c>
      <c r="K42" s="630">
        <f t="shared" si="5"/>
        <v>0</v>
      </c>
      <c r="L42" s="630">
        <f t="shared" si="5"/>
        <v>0</v>
      </c>
      <c r="M42" s="630">
        <f t="shared" si="5"/>
        <v>0</v>
      </c>
      <c r="N42" s="630">
        <f t="shared" si="5"/>
        <v>0</v>
      </c>
      <c r="O42" s="630">
        <f t="shared" si="5"/>
        <v>0</v>
      </c>
      <c r="P42" s="630">
        <f t="shared" si="5"/>
        <v>0</v>
      </c>
      <c r="Q42" s="630">
        <f t="shared" si="5"/>
        <v>0</v>
      </c>
      <c r="R42" s="630">
        <f t="shared" si="5"/>
        <v>0</v>
      </c>
      <c r="S42" s="630">
        <f t="shared" si="5"/>
        <v>0</v>
      </c>
      <c r="T42" s="630">
        <f t="shared" si="5"/>
        <v>0</v>
      </c>
      <c r="U42" s="630">
        <f t="shared" si="5"/>
        <v>0</v>
      </c>
      <c r="V42" s="630">
        <f t="shared" si="5"/>
        <v>0</v>
      </c>
      <c r="W42" s="630">
        <f t="shared" si="5"/>
        <v>0</v>
      </c>
      <c r="X42" s="630">
        <f t="shared" si="5"/>
        <v>0</v>
      </c>
      <c r="Y42" s="630">
        <f t="shared" si="5"/>
        <v>0</v>
      </c>
      <c r="Z42" s="630">
        <f t="shared" si="5"/>
        <v>0</v>
      </c>
      <c r="AA42" s="630">
        <f t="shared" si="5"/>
        <v>0</v>
      </c>
      <c r="AB42" s="630">
        <f t="shared" si="5"/>
        <v>0</v>
      </c>
      <c r="AC42" s="630">
        <f t="shared" si="5"/>
        <v>0</v>
      </c>
      <c r="AD42" s="630">
        <f t="shared" si="5"/>
        <v>0</v>
      </c>
      <c r="AE42" s="630">
        <f t="shared" si="5"/>
        <v>0</v>
      </c>
      <c r="AF42" s="630">
        <f t="shared" si="5"/>
        <v>0</v>
      </c>
      <c r="AG42" s="630">
        <f t="shared" si="5"/>
        <v>0</v>
      </c>
      <c r="AH42" s="630">
        <f t="shared" si="5"/>
        <v>0</v>
      </c>
      <c r="AI42" s="630">
        <f t="shared" si="5"/>
        <v>0</v>
      </c>
      <c r="AJ42" s="630">
        <f t="shared" si="5"/>
        <v>0</v>
      </c>
      <c r="AK42" s="630">
        <f t="shared" si="5"/>
        <v>0</v>
      </c>
      <c r="AL42" s="630">
        <f t="shared" si="5"/>
        <v>0</v>
      </c>
      <c r="AM42" s="631">
        <f t="shared" ref="AM42" si="6">SUM(C42:AL42)</f>
        <v>0</v>
      </c>
    </row>
    <row r="43" spans="2:43" x14ac:dyDescent="0.15">
      <c r="B43" s="639"/>
      <c r="C43" s="632"/>
      <c r="D43" s="633"/>
      <c r="E43" s="633"/>
      <c r="F43" s="632"/>
      <c r="G43" s="633"/>
      <c r="H43" s="633"/>
      <c r="I43" s="632"/>
      <c r="J43" s="633"/>
      <c r="K43" s="633"/>
      <c r="L43" s="632"/>
      <c r="M43" s="633"/>
      <c r="N43" s="633"/>
      <c r="O43" s="632"/>
      <c r="P43" s="633"/>
      <c r="Q43" s="633"/>
      <c r="R43" s="632"/>
      <c r="S43" s="633"/>
      <c r="T43" s="633"/>
      <c r="U43" s="632"/>
      <c r="V43" s="633"/>
      <c r="W43" s="633"/>
      <c r="X43" s="632"/>
      <c r="Y43" s="633"/>
      <c r="Z43" s="633"/>
      <c r="AA43" s="632"/>
      <c r="AB43" s="633"/>
      <c r="AC43" s="633"/>
      <c r="AD43" s="632"/>
      <c r="AE43" s="633"/>
      <c r="AF43" s="633"/>
      <c r="AG43" s="632"/>
      <c r="AH43" s="633"/>
      <c r="AI43" s="633"/>
      <c r="AJ43" s="632"/>
      <c r="AK43" s="633"/>
      <c r="AL43" s="633"/>
      <c r="AM43" s="634"/>
    </row>
  </sheetData>
  <mergeCells count="28">
    <mergeCell ref="C40:E40"/>
    <mergeCell ref="F40:H40"/>
    <mergeCell ref="I40:K40"/>
    <mergeCell ref="L40:N40"/>
    <mergeCell ref="AM40:AM41"/>
    <mergeCell ref="AD40:AF40"/>
    <mergeCell ref="AG40:AI40"/>
    <mergeCell ref="AJ40:AL40"/>
    <mergeCell ref="O40:Q40"/>
    <mergeCell ref="R40:T40"/>
    <mergeCell ref="U40:W40"/>
    <mergeCell ref="X40:Z40"/>
    <mergeCell ref="AA40:AC40"/>
    <mergeCell ref="AJ3:AL3"/>
    <mergeCell ref="AM3:AM4"/>
    <mergeCell ref="B5:B7"/>
    <mergeCell ref="R3:T3"/>
    <mergeCell ref="U3:W3"/>
    <mergeCell ref="X3:Z3"/>
    <mergeCell ref="AA3:AC3"/>
    <mergeCell ref="AD3:AF3"/>
    <mergeCell ref="AG3:AI3"/>
    <mergeCell ref="B3:B4"/>
    <mergeCell ref="C3:E3"/>
    <mergeCell ref="F3:H3"/>
    <mergeCell ref="I3:K3"/>
    <mergeCell ref="L3:N3"/>
    <mergeCell ref="O3:Q3"/>
  </mergeCells>
  <phoneticPr fontId="5"/>
  <pageMargins left="0.78740157480314965" right="0.78740157480314965" top="0.78740157480314965" bottom="0.78740157480314965" header="0.39370078740157483" footer="0.39370078740157483"/>
  <pageSetup paperSize="9" scale="52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29</vt:i4>
      </vt:variant>
    </vt:vector>
  </HeadingPairs>
  <TitlesOfParts>
    <vt:vector size="62" baseType="lpstr">
      <vt:lpstr>１　対象経営の概要，２　前提条件</vt:lpstr>
      <vt:lpstr>３－１　ピオーネ（加温）標準技術</vt:lpstr>
      <vt:lpstr>３－1　ピオーネ（トンネル）標準技術</vt:lpstr>
      <vt:lpstr>３－２　シャイン（加温）標準技術</vt:lpstr>
      <vt:lpstr>３－３　シャイン（トンネル）標準技術 </vt:lpstr>
      <vt:lpstr>３－５　サニールージュ標準技術 </vt:lpstr>
      <vt:lpstr>４　経営収支</vt:lpstr>
      <vt:lpstr>作業時間まとめ</vt:lpstr>
      <vt:lpstr>５－１　ピオーネ(加温)作業時間</vt:lpstr>
      <vt:lpstr>５－１　ピオーネ（トンネル）作業時間</vt:lpstr>
      <vt:lpstr>５－２　シャイン（加温）作業時間</vt:lpstr>
      <vt:lpstr>５－３　シャイン（トンネル）作業時間</vt:lpstr>
      <vt:lpstr>５－５　サニールージュ作業時間</vt:lpstr>
      <vt:lpstr>６　固定資本装備と減価償却費</vt:lpstr>
      <vt:lpstr>（参考）ピオーネハウス資本装備</vt:lpstr>
      <vt:lpstr>６-１　ピオーネトンネル被覆資本装備</vt:lpstr>
      <vt:lpstr>６-２　シャイントハウス資本装備</vt:lpstr>
      <vt:lpstr>６-３　シャイントンネル被覆資本装備</vt:lpstr>
      <vt:lpstr>（参考）サニールージュトンネル被覆資本装備</vt:lpstr>
      <vt:lpstr>７－１　ピオーネ（加温）部門収支</vt:lpstr>
      <vt:lpstr>７－１　ピオーネ（トンネル）部門収支</vt:lpstr>
      <vt:lpstr>７－２　シャイン（加温）部門収支</vt:lpstr>
      <vt:lpstr>７－３　シャイン（トンネル）部門収支</vt:lpstr>
      <vt:lpstr>７－５　サニールージュ部門収支</vt:lpstr>
      <vt:lpstr>８－１　ピオーネ（加温）算出基礎</vt:lpstr>
      <vt:lpstr>８－１　ピオーネ（トンネル）算出基礎</vt:lpstr>
      <vt:lpstr>８－２　シャイン（加温）算出基礎 </vt:lpstr>
      <vt:lpstr>８－３　シャイン（トンネル）算出基礎 </vt:lpstr>
      <vt:lpstr>９－１　ピオーネ単価算出基礎</vt:lpstr>
      <vt:lpstr>9-２　シャインマスカット単価算出基礎</vt:lpstr>
      <vt:lpstr>８－５　サニールージュ算出基礎</vt:lpstr>
      <vt:lpstr>肥料算出基礎</vt:lpstr>
      <vt:lpstr>農薬算出基礎</vt:lpstr>
      <vt:lpstr>'（参考）サニールージュトンネル被覆資本装備'!Print_Area</vt:lpstr>
      <vt:lpstr>'（参考）ピオーネハウス資本装備'!Print_Area</vt:lpstr>
      <vt:lpstr>'１　対象経営の概要，２　前提条件'!Print_Area</vt:lpstr>
      <vt:lpstr>'３－1　ピオーネ（トンネル）標準技術'!Print_Area</vt:lpstr>
      <vt:lpstr>'３－１　ピオーネ（加温）標準技術'!Print_Area</vt:lpstr>
      <vt:lpstr>'３－２　シャイン（加温）標準技術'!Print_Area</vt:lpstr>
      <vt:lpstr>'３－３　シャイン（トンネル）標準技術 '!Print_Area</vt:lpstr>
      <vt:lpstr>'３－５　サニールージュ標準技術 '!Print_Area</vt:lpstr>
      <vt:lpstr>'４　経営収支'!Print_Area</vt:lpstr>
      <vt:lpstr>'５－１　ピオーネ（トンネル）作業時間'!Print_Area</vt:lpstr>
      <vt:lpstr>'５－１　ピオーネ(加温)作業時間'!Print_Area</vt:lpstr>
      <vt:lpstr>'５－２　シャイン（加温）作業時間'!Print_Area</vt:lpstr>
      <vt:lpstr>'５－３　シャイン（トンネル）作業時間'!Print_Area</vt:lpstr>
      <vt:lpstr>'５－５　サニールージュ作業時間'!Print_Area</vt:lpstr>
      <vt:lpstr>'６　固定資本装備と減価償却費'!Print_Area</vt:lpstr>
      <vt:lpstr>'６-１　ピオーネトンネル被覆資本装備'!Print_Area</vt:lpstr>
      <vt:lpstr>'６-２　シャイントハウス資本装備'!Print_Area</vt:lpstr>
      <vt:lpstr>'６-３　シャイントンネル被覆資本装備'!Print_Area</vt:lpstr>
      <vt:lpstr>'７－１　ピオーネ（トンネル）部門収支'!Print_Area</vt:lpstr>
      <vt:lpstr>'７－１　ピオーネ（加温）部門収支'!Print_Area</vt:lpstr>
      <vt:lpstr>'７－２　シャイン（加温）部門収支'!Print_Area</vt:lpstr>
      <vt:lpstr>'７－３　シャイン（トンネル）部門収支'!Print_Area</vt:lpstr>
      <vt:lpstr>'７－５　サニールージュ部門収支'!Print_Area</vt:lpstr>
      <vt:lpstr>'８－１　ピオーネ（トンネル）算出基礎'!Print_Area</vt:lpstr>
      <vt:lpstr>'８－１　ピオーネ（加温）算出基礎'!Print_Area</vt:lpstr>
      <vt:lpstr>'８－２　シャイン（加温）算出基礎 '!Print_Area</vt:lpstr>
      <vt:lpstr>'８－３　シャイン（トンネル）算出基礎 '!Print_Area</vt:lpstr>
      <vt:lpstr>'８－５　サニールージュ算出基礎'!Print_Area</vt:lpstr>
      <vt:lpstr>作業時間まとめ!Print_Area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金谷新作</dc:creator>
  <cp:lastModifiedBy>広島県</cp:lastModifiedBy>
  <cp:lastPrinted>2015-03-03T08:06:52Z</cp:lastPrinted>
  <dcterms:created xsi:type="dcterms:W3CDTF">2005-02-26T02:20:11Z</dcterms:created>
  <dcterms:modified xsi:type="dcterms:W3CDTF">2015-03-24T10:26:44Z</dcterms:modified>
</cp:coreProperties>
</file>