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80" windowWidth="20730" windowHeight="5025" activeTab="0"/>
  </bookViews>
  <sheets>
    <sheet name="１　対象経営の概要，２　前提条件" sheetId="1" r:id="rId1"/>
    <sheet name="３　水稲（食用米，加工用米）標準技術" sheetId="2" r:id="rId2"/>
    <sheet name="４　経営収支" sheetId="3" r:id="rId3"/>
    <sheet name="５　水稲（食用米，加工用米）作業時間" sheetId="4" r:id="rId4"/>
    <sheet name="６　資本装備と減価償却" sheetId="5" r:id="rId5"/>
    <sheet name="７－１　水稲部門（コシヒカリ）収支" sheetId="6" r:id="rId6"/>
    <sheet name="７－２　水稲部門（こいもみじ）収支 " sheetId="7" r:id="rId7"/>
    <sheet name="７－３　水稲部門（加工用米）収支" sheetId="8" r:id="rId8"/>
    <sheet name="８－１　水稲算出基礎（コシヒカリ）" sheetId="9" r:id="rId9"/>
    <sheet name="８－２　水稲算出基礎（こいもみじ） " sheetId="10" r:id="rId10"/>
    <sheet name="８－３　水稲算出基礎（加工用米）" sheetId="11" r:id="rId11"/>
    <sheet name="Sheet1" sheetId="12" r:id="rId12"/>
  </sheets>
  <definedNames>
    <definedName name="_1__123Graph_Aｸﾞﾗﾌ_1" localSheetId="9" hidden="1">#REF!</definedName>
    <definedName name="_1__123Graph_Aｸﾞﾗﾌ_1" localSheetId="10" hidden="1">#REF!</definedName>
    <definedName name="_1__123Graph_Aｸﾞﾗﾌ_1" hidden="1">#REF!</definedName>
    <definedName name="_2__123Graph_Bｸﾞﾗﾌ_1" localSheetId="9" hidden="1">#REF!</definedName>
    <definedName name="_2__123Graph_Bｸﾞﾗﾌ_1" localSheetId="10" hidden="1">#REF!</definedName>
    <definedName name="_2__123Graph_Bｸﾞﾗﾌ_1" hidden="1">#REF!</definedName>
    <definedName name="_3__123Graph_Cｸﾞﾗﾌ_1" localSheetId="9" hidden="1">#REF!</definedName>
    <definedName name="_3__123Graph_Cｸﾞﾗﾌ_1" localSheetId="10" hidden="1">#REF!</definedName>
    <definedName name="_3__123Graph_Cｸﾞﾗﾌ_1" hidden="1">#REF!</definedName>
    <definedName name="_4__123Graph_Dｸﾞﾗﾌ_1" localSheetId="9" hidden="1">#REF!</definedName>
    <definedName name="_4__123Graph_Dｸﾞﾗﾌ_1" localSheetId="10" hidden="1">#REF!</definedName>
    <definedName name="_4__123Graph_Dｸﾞﾗﾌ_1" hidden="1">#REF!</definedName>
    <definedName name="_5__123Graph_Eｸﾞﾗﾌ_1" localSheetId="9" hidden="1">#REF!</definedName>
    <definedName name="_5__123Graph_Eｸﾞﾗﾌ_1" localSheetId="10" hidden="1">#REF!</definedName>
    <definedName name="_5__123Graph_Eｸﾞﾗﾌ_1" hidden="1">#REF!</definedName>
    <definedName name="_6__123Graph_Fｸﾞﾗﾌ_1" localSheetId="9" hidden="1">#REF!</definedName>
    <definedName name="_6__123Graph_Fｸﾞﾗﾌ_1" localSheetId="10" hidden="1">#REF!</definedName>
    <definedName name="_6__123Graph_Fｸﾞﾗﾌ_1" hidden="1">#REF!</definedName>
    <definedName name="_a1" localSheetId="6" hidden="1">#REF!</definedName>
    <definedName name="_a1" localSheetId="9" hidden="1">#REF!</definedName>
    <definedName name="_a1" localSheetId="10" hidden="1">#REF!</definedName>
    <definedName name="_a1" hidden="1">#REF!</definedName>
    <definedName name="_a2" localSheetId="6" hidden="1">#REF!</definedName>
    <definedName name="_a2" localSheetId="9" hidden="1">#REF!</definedName>
    <definedName name="_a2" localSheetId="10" hidden="1">#REF!</definedName>
    <definedName name="_a2" hidden="1">#REF!</definedName>
    <definedName name="_a3" localSheetId="6" hidden="1">#REF!</definedName>
    <definedName name="_a3" localSheetId="9" hidden="1">#REF!</definedName>
    <definedName name="_a3" localSheetId="10" hidden="1">#REF!</definedName>
    <definedName name="_a3" hidden="1">#REF!</definedName>
    <definedName name="_a4" localSheetId="6" hidden="1">#REF!</definedName>
    <definedName name="_a4" localSheetId="9" hidden="1">#REF!</definedName>
    <definedName name="_a4" localSheetId="10" hidden="1">#REF!</definedName>
    <definedName name="_a4" hidden="1">#REF!</definedName>
    <definedName name="_a5" localSheetId="6" hidden="1">#REF!</definedName>
    <definedName name="_a5" localSheetId="9" hidden="1">#REF!</definedName>
    <definedName name="_a5" localSheetId="10" hidden="1">#REF!</definedName>
    <definedName name="_a5" hidden="1">#REF!</definedName>
    <definedName name="_a6" localSheetId="6" hidden="1">#REF!</definedName>
    <definedName name="_a6" localSheetId="9" hidden="1">#REF!</definedName>
    <definedName name="_a6" localSheetId="10" hidden="1">#REF!</definedName>
    <definedName name="_a6" hidden="1">#REF!</definedName>
    <definedName name="_a7" localSheetId="6" hidden="1">#REF!</definedName>
    <definedName name="_a7" localSheetId="9" hidden="1">#REF!</definedName>
    <definedName name="_a7" localSheetId="10" hidden="1">#REF!</definedName>
    <definedName name="_a7" hidden="1">#REF!</definedName>
    <definedName name="aaa" localSheetId="6" hidden="1">#REF!</definedName>
    <definedName name="aaa" localSheetId="9" hidden="1">#REF!</definedName>
    <definedName name="aaa" localSheetId="10" hidden="1">#REF!</definedName>
    <definedName name="aaa" hidden="1">#REF!</definedName>
    <definedName name="bbb" localSheetId="6" hidden="1">#REF!</definedName>
    <definedName name="bbb" localSheetId="9" hidden="1">#REF!</definedName>
    <definedName name="bbb" localSheetId="10" hidden="1">#REF!</definedName>
    <definedName name="bbb" hidden="1">#REF!</definedName>
    <definedName name="ccc" localSheetId="6" hidden="1">#REF!</definedName>
    <definedName name="ccc" localSheetId="9" hidden="1">#REF!</definedName>
    <definedName name="ccc" localSheetId="10" hidden="1">#REF!</definedName>
    <definedName name="ccc" hidden="1">#REF!</definedName>
    <definedName name="ddd" localSheetId="6" hidden="1">#REF!</definedName>
    <definedName name="ddd" localSheetId="9" hidden="1">#REF!</definedName>
    <definedName name="ddd" localSheetId="10" hidden="1">#REF!</definedName>
    <definedName name="ddd" hidden="1">#REF!</definedName>
    <definedName name="eee" localSheetId="6" hidden="1">#REF!</definedName>
    <definedName name="eee" localSheetId="9" hidden="1">#REF!</definedName>
    <definedName name="eee" localSheetId="10" hidden="1">#REF!</definedName>
    <definedName name="eee" hidden="1">#REF!</definedName>
    <definedName name="fff" localSheetId="6" hidden="1">#REF!</definedName>
    <definedName name="fff" localSheetId="9" hidden="1">#REF!</definedName>
    <definedName name="fff" localSheetId="10" hidden="1">#REF!</definedName>
    <definedName name="fff" hidden="1">#REF!</definedName>
    <definedName name="ggg" localSheetId="6" hidden="1">#REF!</definedName>
    <definedName name="ggg" localSheetId="9" hidden="1">#REF!</definedName>
    <definedName name="ggg" localSheetId="10" hidden="1">#REF!</definedName>
    <definedName name="ggg" hidden="1">#REF!</definedName>
    <definedName name="hhh" localSheetId="6" hidden="1">#REF!</definedName>
    <definedName name="hhh" localSheetId="9" hidden="1">#REF!</definedName>
    <definedName name="hhh" localSheetId="10" hidden="1">#REF!</definedName>
    <definedName name="hhh" hidden="1">#REF!</definedName>
    <definedName name="_xlnm.Print_Area" localSheetId="3">'５　水稲（食用米，加工用米）作業時間'!$A$1:$AM$34</definedName>
    <definedName name="_xlnm.Print_Area" localSheetId="4">'６　資本装備と減価償却'!$A$1:$P$54</definedName>
    <definedName name="_xlnm.Print_Area" localSheetId="5">'７－１　水稲部門（コシヒカリ）収支'!$A$1:$S$45</definedName>
    <definedName name="_xlnm.Print_Area" localSheetId="6">'７－２　水稲部門（こいもみじ）収支 '!$A$1:$S$45</definedName>
    <definedName name="_xlnm.Print_Area" localSheetId="7">'７－３　水稲部門（加工用米）収支'!$A$1:$S$45</definedName>
    <definedName name="simizu" localSheetId="6" hidden="1">#REF!</definedName>
    <definedName name="simizu" localSheetId="9" hidden="1">#REF!</definedName>
    <definedName name="simizu" localSheetId="10" hidden="1">#REF!</definedName>
    <definedName name="simizu" hidden="1">#REF!</definedName>
    <definedName name="新" localSheetId="9" hidden="1">#REF!</definedName>
    <definedName name="新" localSheetId="10" hidden="1">#REF!</definedName>
    <definedName name="新" hidden="1">#REF!</definedName>
  </definedNames>
  <calcPr fullCalcOnLoad="1"/>
</workbook>
</file>

<file path=xl/sharedStrings.xml><?xml version="1.0" encoding="utf-8"?>
<sst xmlns="http://schemas.openxmlformats.org/spreadsheetml/2006/main" count="1254" uniqueCount="453">
  <si>
    <t>交際費等 雑費</t>
  </si>
  <si>
    <t>雑損失</t>
  </si>
  <si>
    <t>固定資産税</t>
  </si>
  <si>
    <t>出荷資材費</t>
  </si>
  <si>
    <t>運賃</t>
  </si>
  <si>
    <t>内容</t>
  </si>
  <si>
    <t>小農具費</t>
  </si>
  <si>
    <t>賃料料金</t>
  </si>
  <si>
    <t>販売手数料</t>
  </si>
  <si>
    <t>（単位）</t>
  </si>
  <si>
    <t>水稲</t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</si>
  <si>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</si>
  <si>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</si>
  <si>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</si>
  <si>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</si>
  <si>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</si>
  <si>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</si>
  <si>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</si>
  <si>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</si>
  <si>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</si>
  <si>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</si>
  <si>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</si>
  <si>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</si>
  <si>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</si>
  <si>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</si>
  <si>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</si>
  <si>
    <t>数　　量</t>
  </si>
  <si>
    <t>金　額</t>
  </si>
  <si>
    <t>備　考</t>
  </si>
  <si>
    <t>　計</t>
  </si>
  <si>
    <t>殺菌剤</t>
  </si>
  <si>
    <t>殺虫剤</t>
  </si>
  <si>
    <t>除草剤</t>
  </si>
  <si>
    <t>燃料費の</t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</si>
  <si>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</si>
  <si>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</si>
  <si>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</si>
  <si>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</si>
  <si>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</si>
  <si>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</si>
  <si>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</si>
  <si>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</si>
  <si>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</si>
  <si>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</si>
  <si>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</si>
  <si>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</si>
  <si>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</si>
  <si>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鉄パイプ</t>
  </si>
  <si>
    <t>ガソリン</t>
  </si>
  <si>
    <t>軽油</t>
  </si>
  <si>
    <t>潤滑油</t>
  </si>
  <si>
    <t>混合</t>
  </si>
  <si>
    <t>灯油</t>
  </si>
  <si>
    <t>電気</t>
  </si>
  <si>
    <t>トラクター</t>
  </si>
  <si>
    <t>ドライブハロー</t>
  </si>
  <si>
    <t>コンバイン</t>
  </si>
  <si>
    <t>品種</t>
  </si>
  <si>
    <t>売上高</t>
  </si>
  <si>
    <t>種苗費</t>
  </si>
  <si>
    <t>肥料費</t>
  </si>
  <si>
    <t>農薬費</t>
  </si>
  <si>
    <t>諸材料費</t>
  </si>
  <si>
    <t>修繕費</t>
  </si>
  <si>
    <t>大動植物</t>
  </si>
  <si>
    <t>管理
委託料</t>
  </si>
  <si>
    <t>水管理</t>
  </si>
  <si>
    <t>支払地代</t>
  </si>
  <si>
    <t>販売費</t>
  </si>
  <si>
    <t>役員報酬</t>
  </si>
  <si>
    <t>会議費・旅費・研修費</t>
  </si>
  <si>
    <t>租税公課</t>
  </si>
  <si>
    <t>雑収入</t>
  </si>
  <si>
    <t>営業外
収益</t>
  </si>
  <si>
    <t>経営類型</t>
  </si>
  <si>
    <t>作型</t>
  </si>
  <si>
    <t>対象地域</t>
  </si>
  <si>
    <t>作　   物　   別　   作  　付   　規　   模</t>
  </si>
  <si>
    <t>経　営　耕　地　面　積</t>
  </si>
  <si>
    <t>対 象 作 目</t>
  </si>
  <si>
    <t>面    積</t>
  </si>
  <si>
    <t>そ の 他 の 作 物</t>
  </si>
  <si>
    <t>面   積</t>
  </si>
  <si>
    <t>田</t>
  </si>
  <si>
    <t>畑</t>
  </si>
  <si>
    <t>樹園地</t>
  </si>
  <si>
    <t>草  地</t>
  </si>
  <si>
    <t>（うち施設）</t>
  </si>
  <si>
    <t>凡例</t>
  </si>
  <si>
    <t>区分</t>
  </si>
  <si>
    <t>営業損益</t>
  </si>
  <si>
    <t>作業受託収入</t>
  </si>
  <si>
    <t>動力光熱費</t>
  </si>
  <si>
    <t>減価
償却費</t>
  </si>
  <si>
    <t>畦畔管理</t>
  </si>
  <si>
    <t>事務通信費</t>
  </si>
  <si>
    <t>土地改良費・水利費</t>
  </si>
  <si>
    <t>営業外損益</t>
  </si>
  <si>
    <t>営業外損益　計</t>
  </si>
  <si>
    <t>負担根拠</t>
  </si>
  <si>
    <t>本作目
負担割合</t>
  </si>
  <si>
    <t>（数値）</t>
  </si>
  <si>
    <t>　　合　　計</t>
  </si>
  <si>
    <t>台</t>
  </si>
  <si>
    <t>鉄骨　スレート</t>
  </si>
  <si>
    <t>㎡</t>
  </si>
  <si>
    <t>○：播種　△：仮植　×：定植</t>
  </si>
  <si>
    <t>４　経営収支</t>
  </si>
  <si>
    <t>７－１　経営収支（水稲部門，1ha当たり）</t>
  </si>
  <si>
    <t>栽培様式</t>
  </si>
  <si>
    <t>技術内容</t>
  </si>
  <si>
    <t>作業時期</t>
  </si>
  <si>
    <t>技術上の
留意事項</t>
  </si>
  <si>
    <t>組作業人員(人）</t>
  </si>
  <si>
    <t>使用施設・機械</t>
  </si>
  <si>
    <t>作業・項目</t>
  </si>
  <si>
    <t>土地利用体系</t>
  </si>
  <si>
    <t>面　積</t>
  </si>
  <si>
    <t>１　対象経営の概要</t>
  </si>
  <si>
    <t>保有労働力</t>
  </si>
  <si>
    <t>作     　目</t>
  </si>
  <si>
    <t>収穫 ：</t>
  </si>
  <si>
    <t>２　前提条件</t>
  </si>
  <si>
    <t>オペレーター賃金</t>
  </si>
  <si>
    <t>補助労務賃金</t>
  </si>
  <si>
    <t>法定福利費　等</t>
  </si>
  <si>
    <t>法定福利費　等</t>
  </si>
  <si>
    <t>給料手当</t>
  </si>
  <si>
    <t>価格補てん金</t>
  </si>
  <si>
    <t>助成金・補助金・交付金</t>
  </si>
  <si>
    <t>共済掛金　等</t>
  </si>
  <si>
    <t>作　業　別</t>
  </si>
  <si>
    <t>作　　　型</t>
  </si>
  <si>
    <t>旬　別　計</t>
  </si>
  <si>
    <t>月　  　計</t>
  </si>
  <si>
    <t>５－１　作業別・旬別作業時間（水稲，1ha当たり）</t>
  </si>
  <si>
    <t>形式・構造　等</t>
  </si>
  <si>
    <t>区分</t>
  </si>
  <si>
    <t>取得価格</t>
  </si>
  <si>
    <t>補助率</t>
  </si>
  <si>
    <t>②（％）</t>
  </si>
  <si>
    <t>①（円）</t>
  </si>
  <si>
    <t>④ （％）</t>
  </si>
  <si>
    <t>残存割合</t>
  </si>
  <si>
    <t>⑥（％）</t>
  </si>
  <si>
    <t>⑧（年）</t>
  </si>
  <si>
    <t>大動植物</t>
  </si>
  <si>
    <t>③=①×（100-②）（円）</t>
  </si>
  <si>
    <t>⑤=③×④（円/ha）</t>
  </si>
  <si>
    <t>⑦＝⑤×⑥（円/ha）</t>
  </si>
  <si>
    <t>⑨＝（⑤－⑦）÷⑧（円/ha）</t>
  </si>
  <si>
    <t>コシヒカリ</t>
  </si>
  <si>
    <t>農薬名</t>
  </si>
  <si>
    <t>使用量</t>
  </si>
  <si>
    <t>単位</t>
  </si>
  <si>
    <t>金額</t>
  </si>
  <si>
    <t xml:space="preserve"> 燃料消費量</t>
  </si>
  <si>
    <t>利用時間</t>
  </si>
  <si>
    <t>　小　計</t>
  </si>
  <si>
    <t>小　計</t>
  </si>
  <si>
    <t>小計</t>
  </si>
  <si>
    <t>コシヒカリ</t>
  </si>
  <si>
    <t>（kg）</t>
  </si>
  <si>
    <t>軽油</t>
  </si>
  <si>
    <t>ガソリン</t>
  </si>
  <si>
    <t>燃料費の</t>
  </si>
  <si>
    <t>潤滑油</t>
  </si>
  <si>
    <t>混合</t>
  </si>
  <si>
    <t>灯油</t>
  </si>
  <si>
    <t>電気</t>
  </si>
  <si>
    <t>（ア）種苗名</t>
  </si>
  <si>
    <t>（イ）肥料名</t>
  </si>
  <si>
    <t>（ウ）農薬名</t>
  </si>
  <si>
    <t>（エ）燃料名</t>
  </si>
  <si>
    <t>生産雑費</t>
  </si>
  <si>
    <t>土づくり資材</t>
  </si>
  <si>
    <t>化成肥料</t>
  </si>
  <si>
    <t>有機物資材</t>
  </si>
  <si>
    <t>液肥</t>
  </si>
  <si>
    <t>その他</t>
  </si>
  <si>
    <t>殺虫剤</t>
  </si>
  <si>
    <t>肥料名</t>
  </si>
  <si>
    <t>1ha機械</t>
  </si>
  <si>
    <t>電気</t>
  </si>
  <si>
    <t>軽油</t>
  </si>
  <si>
    <t>作業名（使用機械）</t>
  </si>
  <si>
    <t>混合</t>
  </si>
  <si>
    <t>灯油</t>
  </si>
  <si>
    <t>資材名</t>
  </si>
  <si>
    <t>使用量</t>
  </si>
  <si>
    <t>単位</t>
  </si>
  <si>
    <t>単価</t>
  </si>
  <si>
    <t>使用期間（年）</t>
  </si>
  <si>
    <t>金額（1年あたり）</t>
  </si>
  <si>
    <t>農具名</t>
  </si>
  <si>
    <t>負担面積（ha）</t>
  </si>
  <si>
    <t>建物・施設</t>
  </si>
  <si>
    <t>機械・器具</t>
  </si>
  <si>
    <t>建物・施設</t>
  </si>
  <si>
    <t>機械・器具</t>
  </si>
  <si>
    <t>右表（粗収益の算出基礎）</t>
  </si>
  <si>
    <t>右表（ア）</t>
  </si>
  <si>
    <t>負担価格の</t>
  </si>
  <si>
    <t>販売費・
一般管理費</t>
  </si>
  <si>
    <t>※６　資本装備・償却費シート参照</t>
  </si>
  <si>
    <t>売上高　計　①</t>
  </si>
  <si>
    <t>売上総利益　③=①-②</t>
  </si>
  <si>
    <t>販売費・一般管理費　計　④</t>
  </si>
  <si>
    <t>売上原価</t>
  </si>
  <si>
    <t>売上原価　計　②</t>
  </si>
  <si>
    <t>営業利益　⑤=③-④　</t>
  </si>
  <si>
    <t>営業外収益　⑥</t>
  </si>
  <si>
    <t>営業外費用　⑦</t>
  </si>
  <si>
    <t>営業外損益　計　⑧=⑥-⑦</t>
  </si>
  <si>
    <t>経常利益　⑨=⑤+⑧</t>
  </si>
  <si>
    <t>販売費・一般管理費　計</t>
  </si>
  <si>
    <t>売上原価　計</t>
  </si>
  <si>
    <t>販売収入</t>
  </si>
  <si>
    <t>営業外
費用</t>
  </si>
  <si>
    <t>営業外</t>
  </si>
  <si>
    <t>（１）肥料費</t>
  </si>
  <si>
    <t>（３）動力光熱費</t>
  </si>
  <si>
    <t>農　　　　業　　　　経　　　　営　　　　費</t>
  </si>
  <si>
    <t>費　　　　用　　　　の　　　　算　　　　出</t>
  </si>
  <si>
    <t>粗　　　収　　　益　　　の　　　算　　　出</t>
  </si>
  <si>
    <t>売上原価の</t>
  </si>
  <si>
    <t>水稲共済</t>
  </si>
  <si>
    <t>区　分</t>
  </si>
  <si>
    <t>区分</t>
  </si>
  <si>
    <t>取得価格・評価額・負担額</t>
  </si>
  <si>
    <t>自動車重量税</t>
  </si>
  <si>
    <t>自動車税</t>
  </si>
  <si>
    <t>軽自動車税</t>
  </si>
  <si>
    <t>合　　計</t>
  </si>
  <si>
    <t>（７）共済掛金　等</t>
  </si>
  <si>
    <t>内　容</t>
  </si>
  <si>
    <t>共済掛金</t>
  </si>
  <si>
    <t>負担率</t>
  </si>
  <si>
    <t>評価額・負担額</t>
  </si>
  <si>
    <t>小計</t>
  </si>
  <si>
    <t>（４）租税公課</t>
  </si>
  <si>
    <t>（５）諸材料費（使用可能期間を想定して算出）</t>
  </si>
  <si>
    <t>（６）小農具費（使用可能期間を想定して算出）</t>
  </si>
  <si>
    <t>軽トラック</t>
  </si>
  <si>
    <t>保険料</t>
  </si>
  <si>
    <t>本</t>
  </si>
  <si>
    <t>小　計</t>
  </si>
  <si>
    <t>ガソリン</t>
  </si>
  <si>
    <t>小　計</t>
  </si>
  <si>
    <t>単価</t>
  </si>
  <si>
    <t>（２）農薬費</t>
  </si>
  <si>
    <t>小　計</t>
  </si>
  <si>
    <t>金額</t>
  </si>
  <si>
    <t>普通トラック</t>
  </si>
  <si>
    <t>普通トラック</t>
  </si>
  <si>
    <t>自賠責保険</t>
  </si>
  <si>
    <t>普通トラック</t>
  </si>
  <si>
    <t>任意保険</t>
  </si>
  <si>
    <t>毎年更新</t>
  </si>
  <si>
    <t>作目：</t>
  </si>
  <si>
    <t>作型：</t>
  </si>
  <si>
    <t>水稲</t>
  </si>
  <si>
    <t>普通</t>
  </si>
  <si>
    <t>数量</t>
  </si>
  <si>
    <t>販売量</t>
  </si>
  <si>
    <t>販売量</t>
  </si>
  <si>
    <t>重油</t>
  </si>
  <si>
    <t>重油</t>
  </si>
  <si>
    <t>労務費Ⅰ</t>
  </si>
  <si>
    <t>労務費Ⅱ</t>
  </si>
  <si>
    <t>営業外費用Ⅰ</t>
  </si>
  <si>
    <t>備　　　　　　　　　　　　　　　　　　　　考</t>
  </si>
  <si>
    <t>区　　　　　　　　　　　　　　　　　　　　分</t>
  </si>
  <si>
    <t>合　　　　計</t>
  </si>
  <si>
    <t>水稲(加工用米）</t>
  </si>
  <si>
    <t>水稲(食用米）</t>
  </si>
  <si>
    <t>育苗ハウス</t>
  </si>
  <si>
    <t>台</t>
  </si>
  <si>
    <t>乗用田植機</t>
  </si>
  <si>
    <r>
      <t>2.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m幅</t>
    </r>
  </si>
  <si>
    <r>
      <t>2.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m幅</t>
    </r>
  </si>
  <si>
    <t>１種類</t>
  </si>
  <si>
    <t>フレコン</t>
  </si>
  <si>
    <t>トラクター</t>
  </si>
  <si>
    <t>台</t>
  </si>
  <si>
    <t>乗用管理機</t>
  </si>
  <si>
    <t>㎏</t>
  </si>
  <si>
    <t>催芽機</t>
  </si>
  <si>
    <t>播種覆土一連機械</t>
  </si>
  <si>
    <t>育苗器</t>
  </si>
  <si>
    <t>育苗箱洗浄機</t>
  </si>
  <si>
    <t>代かき</t>
  </si>
  <si>
    <t>散布巾10ｍ</t>
  </si>
  <si>
    <t>ｍｌ</t>
  </si>
  <si>
    <t>㎏</t>
  </si>
  <si>
    <t>㎏</t>
  </si>
  <si>
    <t>㎏</t>
  </si>
  <si>
    <t>耕起作業（トラクター）</t>
  </si>
  <si>
    <t>代かき作業（トラクター）</t>
  </si>
  <si>
    <t>田植作業（田植機）</t>
  </si>
  <si>
    <t>ℓ・kw／時</t>
  </si>
  <si>
    <t>収穫作業（コンバイン）</t>
  </si>
  <si>
    <t>乾燥作業（乾燥機）</t>
  </si>
  <si>
    <t>防除作業（管理ビーグル）</t>
  </si>
  <si>
    <t>調製作業（籾摺機）</t>
  </si>
  <si>
    <t>育苗作業（育苗関連機器）</t>
  </si>
  <si>
    <t>改良資材散布（トラクター，ｺﾝﾎﾟｷｬｽﾀｰ）</t>
  </si>
  <si>
    <t>ｍｌ</t>
  </si>
  <si>
    <t>ﾊﾞｯｸﾎｰ</t>
  </si>
  <si>
    <t>乾燥調製施設</t>
  </si>
  <si>
    <t>農機具庫</t>
  </si>
  <si>
    <t>鎌</t>
  </si>
  <si>
    <t>鍬</t>
  </si>
  <si>
    <t>鎌，鍬</t>
  </si>
  <si>
    <t>種子予措</t>
  </si>
  <si>
    <t>育苗管理</t>
  </si>
  <si>
    <t>耕起</t>
  </si>
  <si>
    <t>田植</t>
  </si>
  <si>
    <t>除草</t>
  </si>
  <si>
    <t>追肥</t>
  </si>
  <si>
    <t>防除</t>
  </si>
  <si>
    <t>刈取，脱穀</t>
  </si>
  <si>
    <t>乾燥調製出荷</t>
  </si>
  <si>
    <t>改良資材散布</t>
  </si>
  <si>
    <t>46psキャビン付（ﾛｰﾀﾘｰ）</t>
  </si>
  <si>
    <t>32ｐｓ（ﾛｰﾀﾘｰ）</t>
  </si>
  <si>
    <t>１種類</t>
  </si>
  <si>
    <t>混合剤</t>
  </si>
  <si>
    <t>3種類</t>
  </si>
  <si>
    <t>殺虫剤</t>
  </si>
  <si>
    <t>2種類</t>
  </si>
  <si>
    <t>6作業</t>
  </si>
  <si>
    <t>1作業</t>
  </si>
  <si>
    <t>3作業</t>
  </si>
  <si>
    <t>ha</t>
  </si>
  <si>
    <t>ha</t>
  </si>
  <si>
    <t>水稲（食用米）</t>
  </si>
  <si>
    <t>水稲（加工用米）</t>
  </si>
  <si>
    <t>円/10a</t>
  </si>
  <si>
    <t>オペ労賃</t>
  </si>
  <si>
    <t>補助労務賃金</t>
  </si>
  <si>
    <t>オペ</t>
  </si>
  <si>
    <t>補助</t>
  </si>
  <si>
    <t>合計</t>
  </si>
  <si>
    <t>食用米（普通コシヒカリ）</t>
  </si>
  <si>
    <t>米袋</t>
  </si>
  <si>
    <t>検査手数料</t>
  </si>
  <si>
    <t>部門面積</t>
  </si>
  <si>
    <t>倒伏しやすい品種</t>
  </si>
  <si>
    <t>倒伏しにくい品種</t>
  </si>
  <si>
    <t>加工多収</t>
  </si>
  <si>
    <t>米粉飼料</t>
  </si>
  <si>
    <t>ＷＣＳ</t>
  </si>
  <si>
    <t>大豆</t>
  </si>
  <si>
    <t>麦</t>
  </si>
  <si>
    <t>○○</t>
  </si>
  <si>
    <t>１ha当り償却額</t>
  </si>
  <si>
    <t>全品種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</si>
  <si>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</si>
  <si>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一式</t>
  </si>
  <si>
    <t>4条刈</t>
  </si>
  <si>
    <t>対象</t>
  </si>
  <si>
    <t>集落法人</t>
  </si>
  <si>
    <t>北部</t>
  </si>
  <si>
    <t>30ha（借地30ha）</t>
  </si>
  <si>
    <t>組織経営体構成員　</t>
  </si>
  <si>
    <t>ほ場整備完了水田　平均30ａ規模</t>
  </si>
  <si>
    <t>食用米（こいもみじ）</t>
  </si>
  <si>
    <t>こいもみじ</t>
  </si>
  <si>
    <t>処理量200㎏</t>
  </si>
  <si>
    <t>750枚</t>
  </si>
  <si>
    <t>高圧洗車機</t>
  </si>
  <si>
    <t>式</t>
  </si>
  <si>
    <t>乾燥調製プラント</t>
  </si>
  <si>
    <t>こいもみじ</t>
  </si>
  <si>
    <t>○</t>
  </si>
  <si>
    <t>○</t>
  </si>
  <si>
    <t>×</t>
  </si>
  <si>
    <t>×</t>
  </si>
  <si>
    <r>
      <t>水稲20</t>
    </r>
    <r>
      <rPr>
        <sz val="11"/>
        <color indexed="8"/>
        <rFont val="ＭＳ Ｐゴシック"/>
        <family val="3"/>
      </rPr>
      <t>ha＋加工用米</t>
    </r>
    <r>
      <rPr>
        <sz val="11"/>
        <color indexed="8"/>
        <rFont val="ＭＳ Ｐゴシック"/>
        <family val="3"/>
      </rPr>
      <t>10</t>
    </r>
    <r>
      <rPr>
        <sz val="11"/>
        <color indexed="8"/>
        <rFont val="ＭＳ Ｐゴシック"/>
        <family val="3"/>
      </rPr>
      <t>ha</t>
    </r>
  </si>
  <si>
    <t>フォークリフトを108,000円×3ヶ月リース</t>
  </si>
  <si>
    <t>普通　　（北部）</t>
  </si>
  <si>
    <t>育苗</t>
  </si>
  <si>
    <t>収穫・調製</t>
  </si>
  <si>
    <t>塩水選-種子消毒-浸種-催芽（鳩胸）
土入れ（床土）-は種-床土の消毒-覆土-育苗器で加温
出芽-緑化-硬化</t>
  </si>
  <si>
    <t>活着するまで深水管理
初期生育期から最高分げつ期まで間断かんがい
無効分げつ期頃中干し
幼穂形成期以降間断かんがい
出穂後２５日から３０日頃落水</t>
  </si>
  <si>
    <t>いもち病
紋枯病
セジロウンカ
トビイロウンカ
カメムシ類
等病害虫防除</t>
  </si>
  <si>
    <t>コンバインによる収穫
乾燥機による生籾乾燥
籾摺り、石抜き、色彩選別機による調製</t>
  </si>
  <si>
    <t>5月上旬～5月下旬</t>
  </si>
  <si>
    <t>6月下旬～8月下旬</t>
  </si>
  <si>
    <t>田植機（肥料、箱施用剤、除草剤散布機付）</t>
  </si>
  <si>
    <t>コンバイン
乾燥機
籾摺り
石抜き
色彩選別機</t>
  </si>
  <si>
    <t>土づくり肥料</t>
  </si>
  <si>
    <t>殺虫剤，殺菌剤
　または殺虫殺菌剤（混合剤）</t>
  </si>
  <si>
    <t>土づくり・本田準備</t>
  </si>
  <si>
    <t>3月下旬～5月中旬</t>
  </si>
  <si>
    <t>3月下旬～5月下旬</t>
  </si>
  <si>
    <t>9月中旬～10月上旬</t>
  </si>
  <si>
    <t>フォークリフトは3ヵ月間リースする。</t>
  </si>
  <si>
    <t>稚苗疎植移植体系</t>
  </si>
  <si>
    <t>大型機械化体系（主要機械は他法人と共同利用）
畦畔管理作業，水管理作業は，構成員へ委託する</t>
  </si>
  <si>
    <t>その他</t>
  </si>
  <si>
    <t>8条側条施肥機付き</t>
  </si>
  <si>
    <t>水稲（コシヒカリ）</t>
  </si>
  <si>
    <t>７－２　経営収支（水稲部門，1ha当たり）</t>
  </si>
  <si>
    <t>水稲（こいもみじ）</t>
  </si>
  <si>
    <t>７－３　経営収支（水稲部門，1ha当たり）</t>
  </si>
  <si>
    <t>８－１　経費の算出基礎（水稲（コシヒカリ），1ha当たり）</t>
  </si>
  <si>
    <t>８－２　経費の算出基礎（水稲（こいもみじ），1ha当たり）</t>
  </si>
  <si>
    <t>８－３　経費の算出基礎（水稲（加工用米），1ha当たり）</t>
  </si>
  <si>
    <t>トラクター，田植機，コンバインは他法人と共同利用する。</t>
  </si>
  <si>
    <t>2ｔﾄﾗｯｸ・中古</t>
  </si>
  <si>
    <t>全期間</t>
  </si>
  <si>
    <t>シート他</t>
  </si>
  <si>
    <t>3年間</t>
  </si>
  <si>
    <t>加工用米（こいもみじ）</t>
  </si>
  <si>
    <t>こいもみじ</t>
  </si>
  <si>
    <t>普通</t>
  </si>
  <si>
    <t>塩水選、種子消毒の実施
適正な温度管理
は種量の適正化</t>
  </si>
  <si>
    <t>適期田植
適正な栽植密度</t>
  </si>
  <si>
    <t>適正な水管理
使用薬量を均一に散布</t>
  </si>
  <si>
    <t>間断かんがい、中干しの実施
適期落水の実施</t>
  </si>
  <si>
    <t>適期防除</t>
  </si>
  <si>
    <t>適期刈取
適正な乾燥調製</t>
  </si>
  <si>
    <t>土づくり肥料を散布して耕起
入水後代かき</t>
  </si>
  <si>
    <t>田植機（肥料、箱施用剤、除草剤散布機付）で移植</t>
  </si>
  <si>
    <t>雑草が多い場合は、水稲生育期に除草剤を散布</t>
  </si>
  <si>
    <t>機械時間（1ha当たり）</t>
  </si>
  <si>
    <t>人力時間（1ha当たり）</t>
  </si>
  <si>
    <t>使用資材
（1ha当たり）</t>
  </si>
  <si>
    <t>種籾　　　30ｋｇ
種子消毒剤
土壌消毒剤
育苗培土</t>
  </si>
  <si>
    <t>土づくりの実施
田面の均平化</t>
  </si>
  <si>
    <t>品種の組み合わせで，機械の効率的利用を図る</t>
  </si>
  <si>
    <t>肥料
　基肥一発型緩効性肥料　350kg～500kg
箱施用剤
除草剤</t>
  </si>
  <si>
    <t>ブロードキャスター</t>
  </si>
  <si>
    <t>トラクター
ブロードキャスター</t>
  </si>
  <si>
    <t>３　標準技術（水稲）</t>
  </si>
  <si>
    <t>右表（イ）　</t>
  </si>
  <si>
    <t>右表（ウ）　</t>
  </si>
  <si>
    <t>右表（エ）　</t>
  </si>
  <si>
    <t>水稲：系統利用（一部構成員へ販売）
加工用米：系統利用（複数年契約）</t>
  </si>
  <si>
    <t>水稲（食用米，加工用米）</t>
  </si>
  <si>
    <t>水田利用の直接支払交付金</t>
  </si>
  <si>
    <t>水田利用の直接支払交付金</t>
  </si>
  <si>
    <t>緩効性肥料</t>
  </si>
  <si>
    <t>育苗培土</t>
  </si>
  <si>
    <t>種子消毒剤（殺菌剤）</t>
  </si>
  <si>
    <t>育苗用殺菌剤</t>
  </si>
  <si>
    <t>種子消毒剤（殺虫剤）</t>
  </si>
  <si>
    <t>初中期一発剤</t>
  </si>
  <si>
    <t>箱施用剤</t>
  </si>
  <si>
    <t>殺虫殺菌剤</t>
  </si>
  <si>
    <t>６　固定資本装備と減価償却費（水稲，1ha当たり・1年当たり）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</si>
</sst>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0&quot;ha&quot;"/>
    <numFmt numFmtId="185" formatCode="m/d"/>
    <numFmt numFmtId="186" formatCode="0_);[Red]\(0\)"/>
    <numFmt numFmtId="187" formatCode="0.0"/>
    <numFmt numFmtId="188" formatCode="0.00_ "/>
    <numFmt numFmtId="189" formatCode="#,##0.00_ "/>
    <numFmt numFmtId="190" formatCode="0.000"/>
    <numFmt numFmtId="191" formatCode="#,##0_ "/>
    <numFmt numFmtId="192" formatCode="#,##0.0_ "/>
    <numFmt numFmtId="193" formatCode="0_ "/>
    <numFmt numFmtId="194" formatCode="m/d;@"/>
    <numFmt numFmtId="195" formatCode="0.0000"/>
    <numFmt numFmtId="196" formatCode="0.0_ "/>
    <numFmt numFmtId="197" formatCode="0&quot;台&quot;"/>
    <numFmt numFmtId="198" formatCode="#,##0.00_);[Red]\(#,##0.00\)"/>
    <numFmt numFmtId="199" formatCode="&quot;水&quot;&quot;稲&quot;#,##0.0&quot;ha&quot;"/>
    <numFmt numFmtId="200" formatCode="&quot;大豆&quot;#,##0.0&quot;ha&quot;"/>
    <numFmt numFmtId="201" formatCode="&quot;麦&quot;#,##0.0&quot;ha&quot;"/>
    <numFmt numFmtId="202" formatCode="0&quot;円/時&quot;"/>
    <numFmt numFmtId="203" formatCode="0&quot;円/袋&quot;"/>
    <numFmt numFmtId="204" formatCode="0&quot;円/10a&quot;"/>
    <numFmt numFmtId="205" formatCode="&quot;大&quot;&quot;豆&quot;#,##0.0&quot;ha&quot;"/>
    <numFmt numFmtId="206" formatCode="0.0_);\(0.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tted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dotted">
        <color indexed="8"/>
      </right>
      <top/>
      <bottom/>
    </border>
    <border>
      <left style="dotted">
        <color indexed="8"/>
      </left>
      <right/>
      <top/>
      <bottom/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 style="thin">
        <color indexed="8"/>
      </top>
      <bottom style="medium"/>
    </border>
    <border>
      <left/>
      <right style="medium">
        <color indexed="8"/>
      </right>
      <top style="thin"/>
      <bottom style="thin"/>
    </border>
    <border>
      <left/>
      <right style="medium">
        <color indexed="8"/>
      </right>
      <top style="thin"/>
      <bottom style="medium"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/>
    </border>
    <border>
      <left style="thin"/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/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/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>
        <color indexed="8"/>
      </right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/>
      <right/>
      <top style="medium"/>
      <bottom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dotted">
        <color indexed="8"/>
      </left>
      <right/>
      <top style="medium">
        <color indexed="8"/>
      </top>
      <bottom style="thin">
        <color indexed="8"/>
      </bottom>
    </border>
    <border>
      <left/>
      <right style="dotted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/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>
        <color indexed="63"/>
      </right>
      <top style="medium"/>
      <bottom style="thin"/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/>
      <top/>
      <bottom style="medium"/>
    </border>
    <border>
      <left style="thin"/>
      <right style="thin"/>
      <top style="double"/>
      <bottom/>
    </border>
    <border>
      <left style="medium"/>
      <right style="thin"/>
      <top style="double"/>
      <bottom/>
    </border>
    <border>
      <left style="medium"/>
      <right style="thin"/>
      <top/>
      <bottom style="thin">
        <color indexed="8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/>
      <top style="thin"/>
      <bottom/>
    </border>
    <border>
      <left style="medium"/>
      <right/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medium"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medium"/>
      <right style="thin">
        <color indexed="8"/>
      </right>
      <top style="double">
        <color indexed="8"/>
      </top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double">
        <color indexed="8"/>
      </bottom>
    </border>
    <border>
      <left style="medium"/>
      <right style="thin"/>
      <top/>
      <bottom style="double"/>
    </border>
    <border>
      <left style="medium"/>
      <right style="thin">
        <color indexed="8"/>
      </right>
      <top/>
      <bottom style="medium"/>
    </border>
  </borders>
  <cellStyleXfs count="7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37" fontId="1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15" fillId="0" borderId="0" applyNumberFormat="0" applyFill="0" applyBorder="0" applyAlignment="0" applyProtection="0"/>
    <xf numFmtId="0" fontId="9" fillId="0" borderId="0">
      <alignment/>
      <protection/>
    </xf>
    <xf numFmtId="0" fontId="46" fillId="32" borderId="0" applyNumberFormat="0" applyBorder="0" applyAlignment="0" applyProtection="0"/>
  </cellStyleXfs>
  <cellXfs count="79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/>
    </xf>
    <xf numFmtId="176" fontId="0" fillId="0" borderId="10" xfId="0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9" fontId="0" fillId="0" borderId="13" xfId="0" applyNumberFormat="1" applyFont="1" applyBorder="1" applyAlignment="1">
      <alignment horizontal="center"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9" fontId="4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9" fontId="0" fillId="0" borderId="10" xfId="0" applyNumberFormat="1" applyFont="1" applyBorder="1" applyAlignment="1">
      <alignment vertical="center" shrinkToFit="1"/>
    </xf>
    <xf numFmtId="176" fontId="0" fillId="33" borderId="10" xfId="0" applyNumberFormat="1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vertical="center" shrinkToFit="1"/>
    </xf>
    <xf numFmtId="176" fontId="0" fillId="33" borderId="10" xfId="0" applyNumberFormat="1" applyFont="1" applyFill="1" applyBorder="1" applyAlignment="1">
      <alignment horizontal="left" vertical="center" shrinkToFit="1"/>
    </xf>
    <xf numFmtId="179" fontId="0" fillId="33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33" borderId="15" xfId="0" applyNumberFormat="1" applyFont="1" applyFill="1" applyBorder="1" applyAlignment="1">
      <alignment vertical="center" shrinkToFit="1"/>
    </xf>
    <xf numFmtId="176" fontId="0" fillId="0" borderId="16" xfId="0" applyNumberFormat="1" applyFont="1" applyBorder="1" applyAlignment="1">
      <alignment horizontal="center" vertical="center" shrinkToFit="1"/>
    </xf>
    <xf numFmtId="176" fontId="0" fillId="0" borderId="17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18" xfId="0" applyNumberFormat="1" applyFont="1" applyFill="1" applyBorder="1" applyAlignment="1">
      <alignment horizontal="left" vertical="center" shrinkToFit="1"/>
    </xf>
    <xf numFmtId="179" fontId="0" fillId="0" borderId="18" xfId="0" applyNumberFormat="1" applyFont="1" applyFill="1" applyBorder="1" applyAlignment="1">
      <alignment vertical="center" shrinkToFit="1"/>
    </xf>
    <xf numFmtId="9" fontId="0" fillId="0" borderId="10" xfId="0" applyNumberFormat="1" applyFont="1" applyFill="1" applyBorder="1" applyAlignment="1">
      <alignment vertical="center" shrinkToFit="1"/>
    </xf>
    <xf numFmtId="9" fontId="0" fillId="0" borderId="10" xfId="42" applyFont="1" applyBorder="1" applyAlignment="1">
      <alignment vertical="center" shrinkToFit="1"/>
    </xf>
    <xf numFmtId="182" fontId="0" fillId="0" borderId="10" xfId="42" applyNumberFormat="1" applyFont="1" applyBorder="1" applyAlignment="1">
      <alignment vertical="center" shrinkToFit="1"/>
    </xf>
    <xf numFmtId="176" fontId="0" fillId="0" borderId="14" xfId="0" applyNumberFormat="1" applyFont="1" applyBorder="1" applyAlignment="1">
      <alignment vertical="center" shrinkToFit="1"/>
    </xf>
    <xf numFmtId="9" fontId="0" fillId="0" borderId="14" xfId="0" applyNumberFormat="1" applyFont="1" applyBorder="1" applyAlignment="1">
      <alignment vertical="center" shrinkToFit="1"/>
    </xf>
    <xf numFmtId="182" fontId="0" fillId="0" borderId="14" xfId="42" applyNumberFormat="1" applyFont="1" applyBorder="1" applyAlignment="1">
      <alignment vertical="center" shrinkToFit="1"/>
    </xf>
    <xf numFmtId="176" fontId="0" fillId="0" borderId="14" xfId="0" applyNumberFormat="1" applyBorder="1" applyAlignment="1">
      <alignment vertical="center" shrinkToFit="1"/>
    </xf>
    <xf numFmtId="176" fontId="0" fillId="0" borderId="14" xfId="0" applyNumberFormat="1" applyFont="1" applyBorder="1" applyAlignment="1">
      <alignment horizontal="right" vertical="center" shrinkToFit="1"/>
    </xf>
    <xf numFmtId="176" fontId="0" fillId="0" borderId="14" xfId="0" applyNumberFormat="1" applyFont="1" applyBorder="1" applyAlignment="1">
      <alignment horizontal="left" vertical="center" shrinkToFit="1"/>
    </xf>
    <xf numFmtId="176" fontId="0" fillId="33" borderId="14" xfId="0" applyNumberFormat="1" applyFont="1" applyFill="1" applyBorder="1" applyAlignment="1">
      <alignment vertical="center" shrinkToFit="1"/>
    </xf>
    <xf numFmtId="176" fontId="0" fillId="33" borderId="14" xfId="0" applyNumberFormat="1" applyFont="1" applyFill="1" applyBorder="1" applyAlignment="1">
      <alignment horizontal="left" vertical="center" shrinkToFit="1"/>
    </xf>
    <xf numFmtId="179" fontId="0" fillId="33" borderId="14" xfId="0" applyNumberFormat="1" applyFont="1" applyFill="1" applyBorder="1" applyAlignment="1">
      <alignment vertical="center" shrinkToFit="1"/>
    </xf>
    <xf numFmtId="9" fontId="0" fillId="0" borderId="14" xfId="42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0" fillId="0" borderId="0" xfId="5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181" fontId="0" fillId="0" borderId="22" xfId="0" applyNumberFormat="1" applyFont="1" applyBorder="1" applyAlignment="1">
      <alignment horizontal="right" vertical="center"/>
    </xf>
    <xf numFmtId="38" fontId="0" fillId="0" borderId="23" xfId="50" applyFont="1" applyBorder="1" applyAlignment="1">
      <alignment vertical="center" shrinkToFi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81" fontId="0" fillId="0" borderId="25" xfId="0" applyNumberFormat="1" applyFont="1" applyBorder="1" applyAlignment="1">
      <alignment horizontal="right" vertical="center"/>
    </xf>
    <xf numFmtId="38" fontId="0" fillId="0" borderId="26" xfId="50" applyFont="1" applyBorder="1" applyAlignment="1">
      <alignment vertical="center" shrinkToFit="1"/>
    </xf>
    <xf numFmtId="181" fontId="0" fillId="34" borderId="25" xfId="0" applyNumberFormat="1" applyFont="1" applyFill="1" applyBorder="1" applyAlignment="1">
      <alignment horizontal="right" vertical="center"/>
    </xf>
    <xf numFmtId="181" fontId="0" fillId="34" borderId="27" xfId="0" applyNumberFormat="1" applyFont="1" applyFill="1" applyBorder="1" applyAlignment="1">
      <alignment horizontal="right" vertical="center"/>
    </xf>
    <xf numFmtId="181" fontId="0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181" fontId="0" fillId="35" borderId="25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0" fontId="0" fillId="0" borderId="28" xfId="0" applyFont="1" applyFill="1" applyBorder="1" applyAlignment="1">
      <alignment vertical="center"/>
    </xf>
    <xf numFmtId="0" fontId="13" fillId="0" borderId="25" xfId="0" applyFont="1" applyBorder="1" applyAlignment="1">
      <alignment vertical="center"/>
    </xf>
    <xf numFmtId="181" fontId="0" fillId="35" borderId="29" xfId="0" applyNumberFormat="1" applyFont="1" applyFill="1" applyBorder="1" applyAlignment="1">
      <alignment horizontal="right" vertical="center"/>
    </xf>
    <xf numFmtId="38" fontId="0" fillId="0" borderId="30" xfId="50" applyFont="1" applyBorder="1" applyAlignment="1">
      <alignment vertical="center" shrinkToFit="1"/>
    </xf>
    <xf numFmtId="181" fontId="0" fillId="34" borderId="31" xfId="50" applyNumberFormat="1" applyFont="1" applyFill="1" applyBorder="1" applyAlignment="1">
      <alignment horizontal="right" vertical="center"/>
    </xf>
    <xf numFmtId="38" fontId="0" fillId="0" borderId="32" xfId="50" applyFont="1" applyBorder="1" applyAlignment="1">
      <alignment vertical="center" shrinkToFi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81" fontId="0" fillId="0" borderId="19" xfId="50" applyNumberFormat="1" applyFont="1" applyBorder="1" applyAlignment="1">
      <alignment horizontal="right" vertical="center"/>
    </xf>
    <xf numFmtId="181" fontId="0" fillId="0" borderId="28" xfId="50" applyNumberFormat="1" applyFont="1" applyBorder="1" applyAlignment="1">
      <alignment horizontal="right" vertical="center"/>
    </xf>
    <xf numFmtId="38" fontId="0" fillId="0" borderId="35" xfId="50" applyFont="1" applyBorder="1" applyAlignment="1">
      <alignment vertical="center" shrinkToFit="1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81" fontId="0" fillId="0" borderId="37" xfId="50" applyNumberFormat="1" applyFont="1" applyBorder="1" applyAlignment="1">
      <alignment horizontal="right" vertical="center"/>
    </xf>
    <xf numFmtId="38" fontId="0" fillId="0" borderId="38" xfId="50" applyFont="1" applyBorder="1" applyAlignment="1">
      <alignment vertical="center" shrinkToFit="1"/>
    </xf>
    <xf numFmtId="181" fontId="0" fillId="35" borderId="39" xfId="50" applyNumberFormat="1" applyFont="1" applyFill="1" applyBorder="1" applyAlignment="1">
      <alignment horizontal="right" vertical="center"/>
    </xf>
    <xf numFmtId="181" fontId="0" fillId="34" borderId="40" xfId="50" applyNumberFormat="1" applyFont="1" applyFill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Font="1" applyFill="1" applyBorder="1" applyAlignment="1">
      <alignment vertical="center" shrinkToFi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6" fontId="0" fillId="0" borderId="42" xfId="0" applyNumberFormat="1" applyFont="1" applyBorder="1" applyAlignment="1">
      <alignment horizontal="center" vertical="center"/>
    </xf>
    <xf numFmtId="176" fontId="0" fillId="0" borderId="43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176" fontId="0" fillId="0" borderId="44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43" xfId="0" applyNumberFormat="1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176" fontId="0" fillId="0" borderId="46" xfId="0" applyNumberFormat="1" applyFont="1" applyBorder="1" applyAlignment="1">
      <alignment horizontal="left" vertical="center" indent="1"/>
    </xf>
    <xf numFmtId="179" fontId="0" fillId="0" borderId="10" xfId="0" applyNumberFormat="1" applyFont="1" applyBorder="1" applyAlignment="1">
      <alignment vertical="center" shrinkToFit="1"/>
    </xf>
    <xf numFmtId="179" fontId="0" fillId="0" borderId="42" xfId="0" applyNumberFormat="1" applyFont="1" applyBorder="1" applyAlignment="1">
      <alignment vertical="center" shrinkToFit="1"/>
    </xf>
    <xf numFmtId="179" fontId="0" fillId="0" borderId="47" xfId="0" applyNumberFormat="1" applyFont="1" applyBorder="1" applyAlignment="1">
      <alignment vertical="center" shrinkToFit="1"/>
    </xf>
    <xf numFmtId="176" fontId="0" fillId="0" borderId="46" xfId="0" applyNumberFormat="1" applyFont="1" applyBorder="1" applyAlignment="1">
      <alignment horizontal="center" vertical="center"/>
    </xf>
    <xf numFmtId="179" fontId="0" fillId="0" borderId="41" xfId="0" applyNumberFormat="1" applyFont="1" applyBorder="1" applyAlignment="1">
      <alignment vertical="center" shrinkToFit="1"/>
    </xf>
    <xf numFmtId="179" fontId="0" fillId="0" borderId="43" xfId="0" applyNumberFormat="1" applyFont="1" applyBorder="1" applyAlignment="1">
      <alignment vertical="center" shrinkToFit="1"/>
    </xf>
    <xf numFmtId="176" fontId="0" fillId="0" borderId="48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49" xfId="0" applyNumberFormat="1" applyFont="1" applyBorder="1" applyAlignment="1">
      <alignment vertical="center" shrinkToFit="1"/>
    </xf>
    <xf numFmtId="0" fontId="0" fillId="0" borderId="0" xfId="66" applyFont="1" applyBorder="1" applyAlignment="1">
      <alignment vertical="center"/>
      <protection/>
    </xf>
    <xf numFmtId="0" fontId="0" fillId="0" borderId="0" xfId="66" applyFont="1" applyAlignment="1">
      <alignment vertical="center"/>
      <protection/>
    </xf>
    <xf numFmtId="0" fontId="1" fillId="0" borderId="50" xfId="66" applyFont="1" applyBorder="1" applyAlignment="1">
      <alignment horizontal="center" vertical="center" wrapText="1"/>
      <protection/>
    </xf>
    <xf numFmtId="0" fontId="8" fillId="0" borderId="0" xfId="66" applyFont="1" applyAlignment="1">
      <alignment horizontal="justify" vertical="center"/>
      <protection/>
    </xf>
    <xf numFmtId="0" fontId="0" fillId="0" borderId="0" xfId="0" applyFont="1" applyAlignment="1">
      <alignment vertical="center"/>
    </xf>
    <xf numFmtId="0" fontId="1" fillId="0" borderId="51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1" fillId="0" borderId="0" xfId="66" applyFont="1" applyAlignment="1">
      <alignment horizontal="justify" vertical="center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0" fillId="0" borderId="53" xfId="66" applyFont="1" applyBorder="1" applyAlignment="1">
      <alignment horizontal="center" vertical="center" wrapText="1"/>
      <protection/>
    </xf>
    <xf numFmtId="0" fontId="0" fillId="0" borderId="54" xfId="66" applyFont="1" applyBorder="1" applyAlignment="1">
      <alignment horizontal="center" vertical="center" wrapText="1"/>
      <protection/>
    </xf>
    <xf numFmtId="0" fontId="0" fillId="0" borderId="55" xfId="66" applyFont="1" applyBorder="1" applyAlignment="1">
      <alignment horizontal="center" vertical="center" wrapText="1"/>
      <protection/>
    </xf>
    <xf numFmtId="0" fontId="0" fillId="0" borderId="56" xfId="66" applyFont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center" vertical="center" wrapText="1"/>
      <protection/>
    </xf>
    <xf numFmtId="0" fontId="0" fillId="0" borderId="57" xfId="66" applyFont="1" applyBorder="1" applyAlignment="1">
      <alignment horizontal="center" vertical="center" wrapText="1"/>
      <protection/>
    </xf>
    <xf numFmtId="0" fontId="0" fillId="0" borderId="58" xfId="66" applyFont="1" applyBorder="1" applyAlignment="1">
      <alignment horizontal="center" vertical="center" wrapText="1"/>
      <protection/>
    </xf>
    <xf numFmtId="0" fontId="0" fillId="0" borderId="59" xfId="66" applyFont="1" applyBorder="1" applyAlignment="1">
      <alignment horizontal="center" vertical="center" wrapText="1"/>
      <protection/>
    </xf>
    <xf numFmtId="0" fontId="0" fillId="0" borderId="60" xfId="66" applyFont="1" applyBorder="1" applyAlignment="1">
      <alignment horizontal="center" vertical="center" wrapText="1"/>
      <protection/>
    </xf>
    <xf numFmtId="0" fontId="0" fillId="0" borderId="61" xfId="66" applyFont="1" applyBorder="1" applyAlignment="1">
      <alignment horizontal="center" vertical="center" wrapText="1"/>
      <protection/>
    </xf>
    <xf numFmtId="0" fontId="0" fillId="0" borderId="15" xfId="66" applyFont="1" applyBorder="1" applyAlignment="1">
      <alignment horizontal="center" vertical="center" wrapText="1"/>
      <protection/>
    </xf>
    <xf numFmtId="0" fontId="0" fillId="0" borderId="0" xfId="66" applyFont="1" applyBorder="1" applyAlignment="1">
      <alignment horizontal="center" vertical="center" wrapText="1"/>
      <protection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43" xfId="66" applyFont="1" applyBorder="1" applyAlignment="1">
      <alignment horizontal="center" vertical="center" wrapText="1"/>
      <protection/>
    </xf>
    <xf numFmtId="0" fontId="0" fillId="0" borderId="62" xfId="66" applyFont="1" applyBorder="1" applyAlignment="1">
      <alignment horizontal="center" vertical="center" wrapText="1"/>
      <protection/>
    </xf>
    <xf numFmtId="0" fontId="0" fillId="0" borderId="63" xfId="66" applyFont="1" applyBorder="1" applyAlignment="1">
      <alignment horizontal="center" vertical="center" wrapText="1"/>
      <protection/>
    </xf>
    <xf numFmtId="0" fontId="0" fillId="0" borderId="64" xfId="66" applyFont="1" applyBorder="1" applyAlignment="1">
      <alignment horizontal="center" vertical="center" wrapText="1"/>
      <protection/>
    </xf>
    <xf numFmtId="0" fontId="0" fillId="0" borderId="45" xfId="66" applyFont="1" applyBorder="1" applyAlignment="1">
      <alignment horizontal="center" vertical="center" wrapText="1"/>
      <protection/>
    </xf>
    <xf numFmtId="0" fontId="1" fillId="0" borderId="0" xfId="66" applyFont="1" applyBorder="1" applyAlignment="1">
      <alignment vertical="center" wrapText="1"/>
      <protection/>
    </xf>
    <xf numFmtId="0" fontId="1" fillId="0" borderId="44" xfId="66" applyFont="1" applyBorder="1" applyAlignment="1">
      <alignment vertical="center" wrapText="1"/>
      <protection/>
    </xf>
    <xf numFmtId="0" fontId="0" fillId="0" borderId="0" xfId="66" applyFont="1" applyAlignment="1">
      <alignment vertical="center" wrapText="1"/>
      <protection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65" xfId="0" applyNumberFormat="1" applyFont="1" applyBorder="1" applyAlignment="1">
      <alignment vertical="center"/>
    </xf>
    <xf numFmtId="177" fontId="0" fillId="0" borderId="66" xfId="0" applyNumberFormat="1" applyFont="1" applyBorder="1" applyAlignment="1">
      <alignment vertical="center"/>
    </xf>
    <xf numFmtId="177" fontId="0" fillId="0" borderId="65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vertical="center" shrinkToFit="1"/>
    </xf>
    <xf numFmtId="177" fontId="0" fillId="0" borderId="15" xfId="0" applyNumberFormat="1" applyFont="1" applyBorder="1" applyAlignment="1">
      <alignment vertical="center" shrinkToFit="1"/>
    </xf>
    <xf numFmtId="177" fontId="0" fillId="33" borderId="15" xfId="0" applyNumberFormat="1" applyFont="1" applyFill="1" applyBorder="1" applyAlignment="1">
      <alignment horizontal="center" vertical="center" shrinkToFit="1"/>
    </xf>
    <xf numFmtId="177" fontId="0" fillId="33" borderId="67" xfId="0" applyNumberFormat="1" applyFont="1" applyFill="1" applyBorder="1" applyAlignment="1">
      <alignment vertical="center" shrinkToFit="1"/>
    </xf>
    <xf numFmtId="178" fontId="0" fillId="33" borderId="67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177" fontId="0" fillId="33" borderId="68" xfId="0" applyNumberFormat="1" applyFont="1" applyFill="1" applyBorder="1" applyAlignment="1">
      <alignment vertical="center"/>
    </xf>
    <xf numFmtId="177" fontId="0" fillId="33" borderId="69" xfId="0" applyNumberFormat="1" applyFont="1" applyFill="1" applyBorder="1" applyAlignment="1">
      <alignment vertical="center"/>
    </xf>
    <xf numFmtId="177" fontId="0" fillId="0" borderId="57" xfId="0" applyNumberFormat="1" applyFont="1" applyFill="1" applyBorder="1" applyAlignment="1">
      <alignment vertical="center"/>
    </xf>
    <xf numFmtId="177" fontId="0" fillId="0" borderId="61" xfId="0" applyNumberFormat="1" applyFont="1" applyFill="1" applyBorder="1" applyAlignment="1">
      <alignment horizontal="left" vertical="center"/>
    </xf>
    <xf numFmtId="177" fontId="0" fillId="0" borderId="0" xfId="67" applyNumberFormat="1" applyFont="1" applyAlignment="1">
      <alignment vertical="center"/>
      <protection/>
    </xf>
    <xf numFmtId="177" fontId="0" fillId="0" borderId="0" xfId="67" applyNumberFormat="1" applyFont="1" applyBorder="1" applyAlignment="1">
      <alignment vertical="center"/>
      <protection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33" borderId="11" xfId="0" applyNumberFormat="1" applyFont="1" applyFill="1" applyBorder="1" applyAlignment="1">
      <alignment vertical="center"/>
    </xf>
    <xf numFmtId="177" fontId="0" fillId="33" borderId="18" xfId="0" applyNumberFormat="1" applyFont="1" applyFill="1" applyBorder="1" applyAlignment="1">
      <alignment vertical="center"/>
    </xf>
    <xf numFmtId="177" fontId="0" fillId="0" borderId="70" xfId="67" applyNumberFormat="1" applyFont="1" applyBorder="1" applyAlignment="1">
      <alignment vertical="center"/>
      <protection/>
    </xf>
    <xf numFmtId="181" fontId="0" fillId="0" borderId="71" xfId="50" applyNumberFormat="1" applyFont="1" applyBorder="1" applyAlignment="1">
      <alignment vertical="center"/>
    </xf>
    <xf numFmtId="177" fontId="0" fillId="0" borderId="72" xfId="67" applyNumberFormat="1" applyFont="1" applyBorder="1" applyAlignment="1">
      <alignment vertical="center"/>
      <protection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66" xfId="0" applyNumberFormat="1" applyFont="1" applyBorder="1" applyAlignment="1">
      <alignment horizontal="center" vertical="center" shrinkToFit="1"/>
    </xf>
    <xf numFmtId="177" fontId="0" fillId="33" borderId="10" xfId="0" applyNumberFormat="1" applyFont="1" applyFill="1" applyBorder="1" applyAlignment="1">
      <alignment vertical="center" shrinkToFit="1"/>
    </xf>
    <xf numFmtId="177" fontId="0" fillId="0" borderId="10" xfId="67" applyNumberFormat="1" applyFont="1" applyBorder="1" applyAlignment="1">
      <alignment vertical="center" shrinkToFit="1"/>
      <protection/>
    </xf>
    <xf numFmtId="177" fontId="0" fillId="0" borderId="14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 shrinkToFit="1"/>
    </xf>
    <xf numFmtId="177" fontId="0" fillId="0" borderId="12" xfId="0" applyNumberFormat="1" applyFont="1" applyBorder="1" applyAlignment="1">
      <alignment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176" fontId="0" fillId="0" borderId="74" xfId="0" applyNumberFormat="1" applyFont="1" applyBorder="1" applyAlignment="1">
      <alignment vertical="center" shrinkToFit="1"/>
    </xf>
    <xf numFmtId="176" fontId="0" fillId="0" borderId="47" xfId="0" applyNumberFormat="1" applyFont="1" applyBorder="1" applyAlignment="1">
      <alignment vertical="center" shrinkToFit="1"/>
    </xf>
    <xf numFmtId="176" fontId="0" fillId="33" borderId="67" xfId="0" applyNumberFormat="1" applyFont="1" applyFill="1" applyBorder="1" applyAlignment="1">
      <alignment vertical="center" shrinkToFit="1"/>
    </xf>
    <xf numFmtId="176" fontId="0" fillId="33" borderId="75" xfId="0" applyNumberFormat="1" applyFont="1" applyFill="1" applyBorder="1" applyAlignment="1">
      <alignment vertical="center" shrinkToFit="1"/>
    </xf>
    <xf numFmtId="176" fontId="0" fillId="33" borderId="69" xfId="0" applyNumberFormat="1" applyFont="1" applyFill="1" applyBorder="1" applyAlignment="1">
      <alignment horizontal="center" vertical="center" shrinkToFit="1"/>
    </xf>
    <xf numFmtId="176" fontId="0" fillId="33" borderId="69" xfId="0" applyNumberFormat="1" applyFont="1" applyFill="1" applyBorder="1" applyAlignment="1">
      <alignment vertical="center" shrinkToFit="1"/>
    </xf>
    <xf numFmtId="176" fontId="0" fillId="33" borderId="76" xfId="0" applyNumberFormat="1" applyFont="1" applyFill="1" applyBorder="1" applyAlignment="1">
      <alignment vertical="center" shrinkToFit="1"/>
    </xf>
    <xf numFmtId="176" fontId="0" fillId="33" borderId="18" xfId="0" applyNumberFormat="1" applyFont="1" applyFill="1" applyBorder="1" applyAlignment="1">
      <alignment horizontal="center" vertical="center" shrinkToFit="1"/>
    </xf>
    <xf numFmtId="176" fontId="0" fillId="33" borderId="18" xfId="0" applyNumberFormat="1" applyFont="1" applyFill="1" applyBorder="1" applyAlignment="1">
      <alignment vertical="center" shrinkToFit="1"/>
    </xf>
    <xf numFmtId="176" fontId="0" fillId="33" borderId="49" xfId="0" applyNumberFormat="1" applyFont="1" applyFill="1" applyBorder="1" applyAlignment="1">
      <alignment vertical="center" shrinkToFit="1"/>
    </xf>
    <xf numFmtId="176" fontId="0" fillId="0" borderId="28" xfId="0" applyNumberFormat="1" applyFont="1" applyBorder="1" applyAlignment="1">
      <alignment vertical="center" shrinkToFit="1"/>
    </xf>
    <xf numFmtId="176" fontId="0" fillId="0" borderId="50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9" fontId="0" fillId="0" borderId="19" xfId="0" applyNumberFormat="1" applyFont="1" applyBorder="1" applyAlignment="1">
      <alignment horizontal="center" vertical="center" shrinkToFit="1"/>
    </xf>
    <xf numFmtId="176" fontId="0" fillId="33" borderId="77" xfId="0" applyNumberFormat="1" applyFont="1" applyFill="1" applyBorder="1" applyAlignment="1">
      <alignment vertical="center" shrinkToFit="1"/>
    </xf>
    <xf numFmtId="179" fontId="0" fillId="0" borderId="40" xfId="0" applyNumberFormat="1" applyFont="1" applyBorder="1" applyAlignment="1">
      <alignment horizontal="center" vertical="center" shrinkToFit="1"/>
    </xf>
    <xf numFmtId="183" fontId="0" fillId="0" borderId="10" xfId="0" applyNumberFormat="1" applyFont="1" applyBorder="1" applyAlignment="1">
      <alignment vertical="center" shrinkToFit="1"/>
    </xf>
    <xf numFmtId="183" fontId="0" fillId="33" borderId="67" xfId="0" applyNumberFormat="1" applyFont="1" applyFill="1" applyBorder="1" applyAlignment="1">
      <alignment vertical="center" shrinkToFit="1"/>
    </xf>
    <xf numFmtId="183" fontId="0" fillId="33" borderId="78" xfId="0" applyNumberFormat="1" applyFont="1" applyFill="1" applyBorder="1" applyAlignment="1">
      <alignment vertical="center" shrinkToFit="1"/>
    </xf>
    <xf numFmtId="183" fontId="0" fillId="33" borderId="79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4" xfId="0" applyNumberFormat="1" applyFont="1" applyBorder="1" applyAlignment="1">
      <alignment vertical="center" shrinkToFit="1"/>
    </xf>
    <xf numFmtId="177" fontId="0" fillId="33" borderId="80" xfId="0" applyNumberFormat="1" applyFont="1" applyFill="1" applyBorder="1" applyAlignment="1">
      <alignment vertical="center" shrinkToFit="1"/>
    </xf>
    <xf numFmtId="177" fontId="0" fillId="33" borderId="81" xfId="0" applyNumberFormat="1" applyFont="1" applyFill="1" applyBorder="1" applyAlignment="1">
      <alignment vertical="center" shrinkToFit="1"/>
    </xf>
    <xf numFmtId="177" fontId="0" fillId="33" borderId="77" xfId="0" applyNumberFormat="1" applyFont="1" applyFill="1" applyBorder="1" applyAlignment="1">
      <alignment vertical="center" shrinkToFit="1"/>
    </xf>
    <xf numFmtId="177" fontId="0" fillId="33" borderId="82" xfId="0" applyNumberFormat="1" applyFont="1" applyFill="1" applyBorder="1" applyAlignment="1">
      <alignment vertical="center" shrinkToFit="1"/>
    </xf>
    <xf numFmtId="177" fontId="0" fillId="0" borderId="14" xfId="0" applyNumberFormat="1" applyFont="1" applyBorder="1" applyAlignment="1">
      <alignment horizontal="center" vertical="center" shrinkToFit="1"/>
    </xf>
    <xf numFmtId="181" fontId="0" fillId="0" borderId="24" xfId="50" applyNumberFormat="1" applyFont="1" applyFill="1" applyBorder="1" applyAlignment="1">
      <alignment vertical="center"/>
    </xf>
    <xf numFmtId="181" fontId="0" fillId="33" borderId="39" xfId="5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0" fillId="0" borderId="84" xfId="0" applyFont="1" applyBorder="1" applyAlignment="1">
      <alignment vertical="center"/>
    </xf>
    <xf numFmtId="181" fontId="0" fillId="0" borderId="85" xfId="50" applyNumberFormat="1" applyFont="1" applyFill="1" applyBorder="1" applyAlignment="1">
      <alignment vertical="center"/>
    </xf>
    <xf numFmtId="177" fontId="0" fillId="0" borderId="86" xfId="67" applyNumberFormat="1" applyFont="1" applyBorder="1" applyAlignment="1">
      <alignment vertical="center"/>
      <protection/>
    </xf>
    <xf numFmtId="177" fontId="0" fillId="33" borderId="87" xfId="0" applyNumberFormat="1" applyFont="1" applyFill="1" applyBorder="1" applyAlignment="1">
      <alignment vertical="center" shrinkToFit="1"/>
    </xf>
    <xf numFmtId="177" fontId="0" fillId="0" borderId="87" xfId="67" applyNumberFormat="1" applyFont="1" applyBorder="1" applyAlignment="1">
      <alignment vertical="center"/>
      <protection/>
    </xf>
    <xf numFmtId="177" fontId="0" fillId="0" borderId="88" xfId="67" applyNumberFormat="1" applyFont="1" applyBorder="1" applyAlignment="1">
      <alignment horizontal="right" vertical="center"/>
      <protection/>
    </xf>
    <xf numFmtId="177" fontId="0" fillId="0" borderId="88" xfId="67" applyNumberFormat="1" applyFont="1" applyBorder="1" applyAlignment="1">
      <alignment horizontal="left" vertical="center" shrinkToFit="1"/>
      <protection/>
    </xf>
    <xf numFmtId="177" fontId="0" fillId="0" borderId="89" xfId="0" applyNumberFormat="1" applyFont="1" applyBorder="1" applyAlignment="1">
      <alignment vertical="center"/>
    </xf>
    <xf numFmtId="178" fontId="0" fillId="0" borderId="61" xfId="0" applyNumberFormat="1" applyFont="1" applyBorder="1" applyAlignment="1">
      <alignment horizontal="left" vertical="center"/>
    </xf>
    <xf numFmtId="178" fontId="0" fillId="0" borderId="43" xfId="0" applyNumberFormat="1" applyFont="1" applyBorder="1" applyAlignment="1">
      <alignment horizontal="left" vertical="center"/>
    </xf>
    <xf numFmtId="177" fontId="0" fillId="0" borderId="43" xfId="67" applyNumberFormat="1" applyFont="1" applyBorder="1" applyAlignment="1">
      <alignment vertical="center" shrinkToFit="1"/>
      <protection/>
    </xf>
    <xf numFmtId="177" fontId="0" fillId="0" borderId="90" xfId="67" applyNumberFormat="1" applyFont="1" applyBorder="1" applyAlignment="1">
      <alignment vertical="center"/>
      <protection/>
    </xf>
    <xf numFmtId="177" fontId="0" fillId="0" borderId="91" xfId="67" applyNumberFormat="1" applyFont="1" applyBorder="1" applyAlignment="1">
      <alignment vertical="center"/>
      <protection/>
    </xf>
    <xf numFmtId="177" fontId="0" fillId="0" borderId="43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43" xfId="0" applyNumberForma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vertical="center"/>
    </xf>
    <xf numFmtId="9" fontId="0" fillId="0" borderId="57" xfId="0" applyNumberFormat="1" applyFont="1" applyFill="1" applyBorder="1" applyAlignment="1">
      <alignment vertical="center"/>
    </xf>
    <xf numFmtId="177" fontId="0" fillId="0" borderId="92" xfId="0" applyNumberFormat="1" applyFill="1" applyBorder="1" applyAlignment="1">
      <alignment vertical="center"/>
    </xf>
    <xf numFmtId="177" fontId="0" fillId="0" borderId="93" xfId="0" applyNumberFormat="1" applyFont="1" applyFill="1" applyBorder="1" applyAlignment="1">
      <alignment vertical="center"/>
    </xf>
    <xf numFmtId="177" fontId="0" fillId="0" borderId="92" xfId="0" applyNumberFormat="1" applyFont="1" applyFill="1" applyBorder="1" applyAlignment="1">
      <alignment horizontal="center" vertical="center"/>
    </xf>
    <xf numFmtId="177" fontId="0" fillId="0" borderId="94" xfId="0" applyNumberFormat="1" applyFon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vertical="center"/>
    </xf>
    <xf numFmtId="177" fontId="0" fillId="0" borderId="58" xfId="0" applyNumberFormat="1" applyFont="1" applyFill="1" applyBorder="1" applyAlignment="1">
      <alignment vertical="center"/>
    </xf>
    <xf numFmtId="177" fontId="0" fillId="0" borderId="95" xfId="0" applyNumberFormat="1" applyFill="1" applyBorder="1" applyAlignment="1">
      <alignment vertical="center" shrinkToFit="1"/>
    </xf>
    <xf numFmtId="177" fontId="0" fillId="0" borderId="95" xfId="0" applyNumberFormat="1" applyFont="1" applyFill="1" applyBorder="1" applyAlignment="1">
      <alignment horizontal="center" vertical="center" shrinkToFit="1"/>
    </xf>
    <xf numFmtId="177" fontId="0" fillId="0" borderId="9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vertical="center" shrinkToFit="1"/>
    </xf>
    <xf numFmtId="177" fontId="0" fillId="0" borderId="46" xfId="0" applyNumberFormat="1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46" xfId="0" applyNumberFormat="1" applyFont="1" applyFill="1" applyBorder="1" applyAlignment="1">
      <alignment vertical="center" shrinkToFit="1"/>
    </xf>
    <xf numFmtId="177" fontId="0" fillId="0" borderId="10" xfId="0" applyNumberFormat="1" applyFont="1" applyFill="1" applyBorder="1" applyAlignment="1">
      <alignment vertical="center" shrinkToFit="1"/>
    </xf>
    <xf numFmtId="177" fontId="0" fillId="0" borderId="43" xfId="0" applyNumberFormat="1" applyFont="1" applyFill="1" applyBorder="1" applyAlignment="1">
      <alignment vertical="center" shrinkToFit="1"/>
    </xf>
    <xf numFmtId="177" fontId="0" fillId="0" borderId="15" xfId="0" applyNumberFormat="1" applyFont="1" applyFill="1" applyBorder="1" applyAlignment="1">
      <alignment vertical="center" shrinkToFit="1"/>
    </xf>
    <xf numFmtId="177" fontId="0" fillId="0" borderId="96" xfId="0" applyNumberFormat="1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97" xfId="0" applyNumberFormat="1" applyFill="1" applyBorder="1" applyAlignment="1">
      <alignment vertical="center" shrinkToFit="1"/>
    </xf>
    <xf numFmtId="177" fontId="0" fillId="0" borderId="58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/>
    </xf>
    <xf numFmtId="177" fontId="0" fillId="0" borderId="45" xfId="0" applyNumberFormat="1" applyFont="1" applyFill="1" applyBorder="1" applyAlignment="1">
      <alignment vertical="center"/>
    </xf>
    <xf numFmtId="177" fontId="0" fillId="0" borderId="10" xfId="0" applyNumberFormat="1" applyFill="1" applyBorder="1" applyAlignment="1">
      <alignment vertical="center" shrinkToFit="1"/>
    </xf>
    <xf numFmtId="177" fontId="0" fillId="0" borderId="10" xfId="67" applyNumberFormat="1" applyFont="1" applyFill="1" applyBorder="1" applyAlignment="1">
      <alignment vertical="center"/>
      <protection/>
    </xf>
    <xf numFmtId="0" fontId="0" fillId="0" borderId="57" xfId="67" applyFont="1" applyFill="1" applyBorder="1" applyAlignment="1">
      <alignment vertical="center" shrinkToFit="1"/>
      <protection/>
    </xf>
    <xf numFmtId="0" fontId="0" fillId="0" borderId="61" xfId="67" applyFont="1" applyFill="1" applyBorder="1" applyAlignment="1">
      <alignment vertical="center" shrinkToFit="1"/>
      <protection/>
    </xf>
    <xf numFmtId="178" fontId="0" fillId="0" borderId="61" xfId="0" applyNumberFormat="1" applyFont="1" applyFill="1" applyBorder="1" applyAlignment="1">
      <alignment horizontal="left" vertical="center"/>
    </xf>
    <xf numFmtId="0" fontId="0" fillId="0" borderId="57" xfId="67" applyFont="1" applyFill="1" applyBorder="1" applyAlignment="1">
      <alignment vertical="center"/>
      <protection/>
    </xf>
    <xf numFmtId="0" fontId="0" fillId="0" borderId="61" xfId="67" applyFont="1" applyFill="1" applyBorder="1" applyAlignment="1">
      <alignment vertical="center"/>
      <protection/>
    </xf>
    <xf numFmtId="177" fontId="0" fillId="0" borderId="57" xfId="67" applyNumberFormat="1" applyFont="1" applyFill="1" applyBorder="1" applyAlignment="1">
      <alignment vertical="center"/>
      <protection/>
    </xf>
    <xf numFmtId="177" fontId="0" fillId="0" borderId="61" xfId="67" applyNumberFormat="1" applyFont="1" applyFill="1" applyBorder="1" applyAlignment="1">
      <alignment vertical="center"/>
      <protection/>
    </xf>
    <xf numFmtId="178" fontId="0" fillId="0" borderId="57" xfId="0" applyNumberFormat="1" applyFont="1" applyFill="1" applyBorder="1" applyAlignment="1">
      <alignment horizontal="left" vertical="center"/>
    </xf>
    <xf numFmtId="177" fontId="0" fillId="0" borderId="57" xfId="67" applyNumberFormat="1" applyFont="1" applyFill="1" applyBorder="1" applyAlignment="1">
      <alignment vertical="center" shrinkToFit="1"/>
      <protection/>
    </xf>
    <xf numFmtId="178" fontId="0" fillId="0" borderId="43" xfId="0" applyNumberFormat="1" applyFont="1" applyFill="1" applyBorder="1" applyAlignment="1">
      <alignment horizontal="left" vertical="center"/>
    </xf>
    <xf numFmtId="177" fontId="0" fillId="0" borderId="43" xfId="67" applyNumberFormat="1" applyFont="1" applyFill="1" applyBorder="1" applyAlignment="1">
      <alignment vertical="center" shrinkToFit="1"/>
      <protection/>
    </xf>
    <xf numFmtId="178" fontId="0" fillId="0" borderId="45" xfId="0" applyNumberFormat="1" applyFont="1" applyFill="1" applyBorder="1" applyAlignment="1">
      <alignment horizontal="left" vertical="center"/>
    </xf>
    <xf numFmtId="177" fontId="0" fillId="0" borderId="10" xfId="67" applyNumberFormat="1" applyFont="1" applyFill="1" applyBorder="1" applyAlignment="1">
      <alignment vertical="center" shrinkToFit="1"/>
      <protection/>
    </xf>
    <xf numFmtId="182" fontId="0" fillId="0" borderId="57" xfId="0" applyNumberFormat="1" applyFont="1" applyFill="1" applyBorder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98" xfId="67" applyNumberFormat="1" applyFont="1" applyBorder="1" applyAlignment="1">
      <alignment horizontal="center" vertical="center" shrinkToFit="1"/>
      <protection/>
    </xf>
    <xf numFmtId="177" fontId="0" fillId="0" borderId="19" xfId="67" applyNumberFormat="1" applyFont="1" applyBorder="1" applyAlignment="1">
      <alignment horizontal="center" vertical="center" shrinkToFit="1"/>
      <protection/>
    </xf>
    <xf numFmtId="176" fontId="0" fillId="33" borderId="99" xfId="0" applyNumberFormat="1" applyFont="1" applyFill="1" applyBorder="1" applyAlignment="1">
      <alignment horizontal="center" vertical="center" shrinkToFit="1"/>
    </xf>
    <xf numFmtId="177" fontId="0" fillId="33" borderId="99" xfId="0" applyNumberFormat="1" applyFont="1" applyFill="1" applyBorder="1" applyAlignment="1">
      <alignment vertical="center" shrinkToFit="1"/>
    </xf>
    <xf numFmtId="177" fontId="0" fillId="0" borderId="100" xfId="67" applyNumberFormat="1" applyFont="1" applyBorder="1" applyAlignment="1">
      <alignment vertical="center" shrinkToFit="1"/>
      <protection/>
    </xf>
    <xf numFmtId="176" fontId="0" fillId="0" borderId="100" xfId="0" applyNumberFormat="1" applyFont="1" applyBorder="1" applyAlignment="1">
      <alignment vertical="center"/>
    </xf>
    <xf numFmtId="177" fontId="0" fillId="0" borderId="28" xfId="67" applyNumberFormat="1" applyFont="1" applyBorder="1" applyAlignment="1">
      <alignment vertical="center" shrinkToFit="1"/>
      <protection/>
    </xf>
    <xf numFmtId="177" fontId="0" fillId="0" borderId="28" xfId="67" applyNumberFormat="1" applyFont="1" applyFill="1" applyBorder="1" applyAlignment="1">
      <alignment vertical="center" shrinkToFit="1"/>
      <protection/>
    </xf>
    <xf numFmtId="176" fontId="0" fillId="33" borderId="37" xfId="0" applyNumberFormat="1" applyFont="1" applyFill="1" applyBorder="1" applyAlignment="1">
      <alignment horizontal="center" vertical="center" shrinkToFit="1"/>
    </xf>
    <xf numFmtId="177" fontId="0" fillId="33" borderId="37" xfId="0" applyNumberFormat="1" applyFont="1" applyFill="1" applyBorder="1" applyAlignment="1">
      <alignment vertical="center" shrinkToFit="1"/>
    </xf>
    <xf numFmtId="176" fontId="0" fillId="33" borderId="101" xfId="0" applyNumberFormat="1" applyFont="1" applyFill="1" applyBorder="1" applyAlignment="1">
      <alignment vertical="center" shrinkToFit="1"/>
    </xf>
    <xf numFmtId="176" fontId="0" fillId="33" borderId="38" xfId="0" applyNumberFormat="1" applyFont="1" applyFill="1" applyBorder="1" applyAlignment="1">
      <alignment vertical="center" shrinkToFit="1"/>
    </xf>
    <xf numFmtId="177" fontId="0" fillId="0" borderId="22" xfId="67" applyNumberFormat="1" applyFont="1" applyBorder="1" applyAlignment="1">
      <alignment horizontal="center" vertical="center" shrinkToFit="1"/>
      <protection/>
    </xf>
    <xf numFmtId="176" fontId="0" fillId="0" borderId="26" xfId="0" applyNumberFormat="1" applyFont="1" applyBorder="1" applyAlignment="1">
      <alignment vertical="center"/>
    </xf>
    <xf numFmtId="177" fontId="0" fillId="33" borderId="99" xfId="67" applyNumberFormat="1" applyFont="1" applyFill="1" applyBorder="1" applyAlignment="1">
      <alignment horizontal="center" vertical="center" shrinkToFit="1"/>
      <protection/>
    </xf>
    <xf numFmtId="177" fontId="0" fillId="33" borderId="99" xfId="67" applyNumberFormat="1" applyFont="1" applyFill="1" applyBorder="1" applyAlignment="1">
      <alignment vertical="center" shrinkToFit="1"/>
      <protection/>
    </xf>
    <xf numFmtId="176" fontId="0" fillId="33" borderId="101" xfId="0" applyNumberFormat="1" applyFont="1" applyFill="1" applyBorder="1" applyAlignment="1">
      <alignment vertical="center"/>
    </xf>
    <xf numFmtId="176" fontId="0" fillId="0" borderId="28" xfId="67" applyNumberFormat="1" applyFont="1" applyFill="1" applyBorder="1" applyAlignment="1">
      <alignment vertical="center" shrinkToFit="1"/>
      <protection/>
    </xf>
    <xf numFmtId="176" fontId="0" fillId="0" borderId="102" xfId="0" applyNumberFormat="1" applyFont="1" applyBorder="1" applyAlignment="1">
      <alignment vertical="center" shrinkToFit="1"/>
    </xf>
    <xf numFmtId="177" fontId="0" fillId="0" borderId="102" xfId="0" applyNumberFormat="1" applyFont="1" applyBorder="1" applyAlignment="1">
      <alignment horizontal="center" vertical="center" shrinkToFit="1"/>
    </xf>
    <xf numFmtId="177" fontId="0" fillId="0" borderId="50" xfId="0" applyNumberFormat="1" applyFont="1" applyBorder="1" applyAlignment="1">
      <alignment horizontal="center" vertical="center" shrinkToFit="1"/>
    </xf>
    <xf numFmtId="177" fontId="0" fillId="0" borderId="73" xfId="0" applyNumberFormat="1" applyFont="1" applyBorder="1" applyAlignment="1">
      <alignment horizontal="center" vertical="center" shrinkToFit="1"/>
    </xf>
    <xf numFmtId="177" fontId="0" fillId="0" borderId="103" xfId="0" applyNumberFormat="1" applyFont="1" applyBorder="1" applyAlignment="1">
      <alignment vertical="center" shrinkToFit="1"/>
    </xf>
    <xf numFmtId="176" fontId="0" fillId="33" borderId="67" xfId="0" applyNumberFormat="1" applyFont="1" applyFill="1" applyBorder="1" applyAlignment="1">
      <alignment horizontal="center" vertical="center" shrinkToFit="1"/>
    </xf>
    <xf numFmtId="177" fontId="0" fillId="0" borderId="19" xfId="0" applyNumberFormat="1" applyFont="1" applyBorder="1" applyAlignment="1">
      <alignment horizontal="center" vertical="center" shrinkToFit="1"/>
    </xf>
    <xf numFmtId="177" fontId="0" fillId="0" borderId="104" xfId="0" applyNumberFormat="1" applyFont="1" applyBorder="1" applyAlignment="1">
      <alignment horizontal="center" vertical="center" shrinkToFit="1"/>
    </xf>
    <xf numFmtId="177" fontId="0" fillId="33" borderId="80" xfId="0" applyNumberFormat="1" applyFont="1" applyFill="1" applyBorder="1" applyAlignment="1">
      <alignment horizontal="center" vertical="center" shrinkToFit="1"/>
    </xf>
    <xf numFmtId="177" fontId="0" fillId="0" borderId="22" xfId="0" applyNumberFormat="1" applyFont="1" applyBorder="1" applyAlignment="1">
      <alignment horizontal="center" vertical="center" shrinkToFit="1"/>
    </xf>
    <xf numFmtId="177" fontId="0" fillId="0" borderId="23" xfId="0" applyNumberFormat="1" applyFont="1" applyBorder="1" applyAlignment="1">
      <alignment horizontal="center" vertical="center" shrinkToFit="1"/>
    </xf>
    <xf numFmtId="176" fontId="0" fillId="0" borderId="105" xfId="0" applyNumberFormat="1" applyFont="1" applyBorder="1" applyAlignment="1">
      <alignment vertical="center"/>
    </xf>
    <xf numFmtId="176" fontId="0" fillId="0" borderId="106" xfId="0" applyNumberFormat="1" applyFont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9" fontId="0" fillId="0" borderId="28" xfId="67" applyNumberFormat="1" applyFont="1" applyFill="1" applyBorder="1" applyAlignment="1">
      <alignment vertical="center" shrinkToFit="1"/>
      <protection/>
    </xf>
    <xf numFmtId="179" fontId="0" fillId="0" borderId="100" xfId="0" applyNumberFormat="1" applyBorder="1" applyAlignment="1">
      <alignment vertical="center" shrinkToFit="1"/>
    </xf>
    <xf numFmtId="9" fontId="0" fillId="0" borderId="100" xfId="67" applyNumberFormat="1" applyFont="1" applyFill="1" applyBorder="1" applyAlignment="1">
      <alignment vertical="center" shrinkToFit="1"/>
      <protection/>
    </xf>
    <xf numFmtId="3" fontId="0" fillId="0" borderId="28" xfId="68" applyNumberFormat="1" applyFont="1" applyFill="1" applyBorder="1" applyAlignment="1">
      <alignment vertical="center" shrinkToFit="1"/>
      <protection/>
    </xf>
    <xf numFmtId="176" fontId="0" fillId="0" borderId="26" xfId="0" applyNumberFormat="1" applyFont="1" applyBorder="1" applyAlignment="1">
      <alignment vertical="center" shrinkToFit="1"/>
    </xf>
    <xf numFmtId="177" fontId="0" fillId="33" borderId="37" xfId="67" applyNumberFormat="1" applyFont="1" applyFill="1" applyBorder="1" applyAlignment="1">
      <alignment horizontal="center" vertical="center" shrinkToFit="1"/>
      <protection/>
    </xf>
    <xf numFmtId="177" fontId="0" fillId="33" borderId="37" xfId="67" applyNumberFormat="1" applyFont="1" applyFill="1" applyBorder="1" applyAlignment="1">
      <alignment vertical="center" shrinkToFit="1"/>
      <protection/>
    </xf>
    <xf numFmtId="176" fontId="0" fillId="33" borderId="38" xfId="0" applyNumberFormat="1" applyFont="1" applyFill="1" applyBorder="1" applyAlignment="1">
      <alignment vertical="center"/>
    </xf>
    <xf numFmtId="177" fontId="0" fillId="0" borderId="57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81" fontId="0" fillId="0" borderId="40" xfId="0" applyNumberFormat="1" applyFont="1" applyBorder="1" applyAlignment="1">
      <alignment horizontal="right" vertical="center"/>
    </xf>
    <xf numFmtId="181" fontId="0" fillId="34" borderId="107" xfId="50" applyNumberFormat="1" applyFont="1" applyFill="1" applyBorder="1" applyAlignment="1">
      <alignment horizontal="right" vertical="center"/>
    </xf>
    <xf numFmtId="177" fontId="0" fillId="0" borderId="46" xfId="0" applyNumberFormat="1" applyFill="1" applyBorder="1" applyAlignment="1">
      <alignment vertical="center" shrinkToFit="1"/>
    </xf>
    <xf numFmtId="181" fontId="0" fillId="0" borderId="19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 vertical="center"/>
      <protection/>
    </xf>
    <xf numFmtId="177" fontId="0" fillId="0" borderId="10" xfId="0" applyNumberFormat="1" applyFill="1" applyBorder="1" applyAlignment="1">
      <alignment horizontal="center" vertical="center" shrinkToFit="1"/>
    </xf>
    <xf numFmtId="177" fontId="0" fillId="0" borderId="92" xfId="0" applyNumberFormat="1" applyFill="1" applyBorder="1" applyAlignment="1">
      <alignment horizontal="center" vertical="center"/>
    </xf>
    <xf numFmtId="177" fontId="0" fillId="0" borderId="92" xfId="0" applyNumberFormat="1" applyFill="1" applyBorder="1" applyAlignment="1">
      <alignment horizontal="center" vertical="center" shrinkToFit="1"/>
    </xf>
    <xf numFmtId="176" fontId="0" fillId="0" borderId="14" xfId="0" applyNumberFormat="1" applyFont="1" applyBorder="1" applyAlignment="1">
      <alignment vertical="center" shrinkToFit="1"/>
    </xf>
    <xf numFmtId="176" fontId="0" fillId="0" borderId="108" xfId="0" applyNumberFormat="1" applyFont="1" applyBorder="1" applyAlignment="1">
      <alignment horizontal="center" vertical="center" shrinkToFit="1"/>
    </xf>
    <xf numFmtId="176" fontId="4" fillId="0" borderId="47" xfId="0" applyNumberFormat="1" applyFont="1" applyBorder="1" applyAlignment="1">
      <alignment horizontal="center" vertical="center" wrapText="1" shrinkToFit="1"/>
    </xf>
    <xf numFmtId="176" fontId="0" fillId="0" borderId="47" xfId="0" applyNumberFormat="1" applyFont="1" applyBorder="1" applyAlignment="1">
      <alignment vertical="center" shrinkToFit="1"/>
    </xf>
    <xf numFmtId="176" fontId="0" fillId="33" borderId="47" xfId="0" applyNumberFormat="1" applyFont="1" applyFill="1" applyBorder="1" applyAlignment="1">
      <alignment vertical="center" shrinkToFit="1"/>
    </xf>
    <xf numFmtId="176" fontId="0" fillId="0" borderId="49" xfId="0" applyNumberFormat="1" applyFont="1" applyFill="1" applyBorder="1" applyAlignment="1">
      <alignment vertical="center" shrinkToFit="1"/>
    </xf>
    <xf numFmtId="184" fontId="0" fillId="0" borderId="109" xfId="66" applyNumberFormat="1" applyFont="1" applyBorder="1" applyAlignment="1">
      <alignment vertical="center" wrapText="1"/>
      <protection/>
    </xf>
    <xf numFmtId="0" fontId="1" fillId="0" borderId="57" xfId="66" applyFont="1" applyBorder="1" applyAlignment="1">
      <alignment vertical="center" wrapText="1"/>
      <protection/>
    </xf>
    <xf numFmtId="0" fontId="1" fillId="0" borderId="58" xfId="66" applyFont="1" applyBorder="1" applyAlignment="1">
      <alignment vertical="center" wrapText="1"/>
      <protection/>
    </xf>
    <xf numFmtId="0" fontId="0" fillId="0" borderId="57" xfId="66" applyFont="1" applyBorder="1" applyAlignment="1">
      <alignment vertical="center" wrapText="1"/>
      <protection/>
    </xf>
    <xf numFmtId="0" fontId="0" fillId="0" borderId="58" xfId="66" applyFont="1" applyBorder="1" applyAlignment="1">
      <alignment vertical="center" wrapText="1"/>
      <protection/>
    </xf>
    <xf numFmtId="0" fontId="1" fillId="0" borderId="12" xfId="66" applyFont="1" applyBorder="1" applyAlignment="1">
      <alignment horizontal="left" vertical="center"/>
      <protection/>
    </xf>
    <xf numFmtId="0" fontId="1" fillId="0" borderId="12" xfId="66" applyFont="1" applyBorder="1" applyAlignment="1">
      <alignment vertical="center"/>
      <protection/>
    </xf>
    <xf numFmtId="0" fontId="0" fillId="0" borderId="12" xfId="66" applyFont="1" applyBorder="1" applyAlignment="1">
      <alignment vertical="center"/>
      <protection/>
    </xf>
    <xf numFmtId="181" fontId="0" fillId="0" borderId="110" xfId="0" applyNumberFormat="1" applyFont="1" applyBorder="1" applyAlignment="1">
      <alignment horizontal="right" vertical="center"/>
    </xf>
    <xf numFmtId="176" fontId="0" fillId="0" borderId="111" xfId="0" applyNumberFormat="1" applyFont="1" applyBorder="1" applyAlignment="1">
      <alignment vertical="center" shrinkToFit="1"/>
    </xf>
    <xf numFmtId="176" fontId="0" fillId="0" borderId="111" xfId="0" applyNumberFormat="1" applyFont="1" applyBorder="1" applyAlignment="1">
      <alignment vertical="center" shrinkToFit="1"/>
    </xf>
    <xf numFmtId="3" fontId="5" fillId="0" borderId="112" xfId="0" applyNumberFormat="1" applyFont="1" applyFill="1" applyBorder="1" applyAlignment="1">
      <alignment/>
    </xf>
    <xf numFmtId="177" fontId="0" fillId="0" borderId="58" xfId="0" applyNumberFormat="1" applyFont="1" applyBorder="1" applyAlignment="1">
      <alignment horizontal="center" vertical="center" shrinkToFit="1"/>
    </xf>
    <xf numFmtId="183" fontId="0" fillId="33" borderId="69" xfId="0" applyNumberFormat="1" applyFont="1" applyFill="1" applyBorder="1" applyAlignment="1">
      <alignment vertical="center" shrinkToFit="1"/>
    </xf>
    <xf numFmtId="176" fontId="0" fillId="0" borderId="113" xfId="0" applyNumberFormat="1" applyFont="1" applyBorder="1" applyAlignment="1">
      <alignment vertical="center" shrinkToFit="1"/>
    </xf>
    <xf numFmtId="176" fontId="0" fillId="33" borderId="114" xfId="0" applyNumberFormat="1" applyFont="1" applyFill="1" applyBorder="1" applyAlignment="1">
      <alignment vertical="center" shrinkToFit="1"/>
    </xf>
    <xf numFmtId="176" fontId="0" fillId="33" borderId="115" xfId="0" applyNumberFormat="1" applyFont="1" applyFill="1" applyBorder="1" applyAlignment="1">
      <alignment vertical="center" shrinkToFit="1"/>
    </xf>
    <xf numFmtId="176" fontId="0" fillId="33" borderId="116" xfId="0" applyNumberFormat="1" applyFont="1" applyFill="1" applyBorder="1" applyAlignment="1">
      <alignment horizontal="center" vertical="center" shrinkToFit="1"/>
    </xf>
    <xf numFmtId="183" fontId="0" fillId="33" borderId="116" xfId="0" applyNumberFormat="1" applyFont="1" applyFill="1" applyBorder="1" applyAlignment="1">
      <alignment vertical="center" shrinkToFit="1"/>
    </xf>
    <xf numFmtId="183" fontId="0" fillId="33" borderId="117" xfId="0" applyNumberFormat="1" applyFont="1" applyFill="1" applyBorder="1" applyAlignment="1">
      <alignment vertical="center" shrinkToFit="1"/>
    </xf>
    <xf numFmtId="183" fontId="0" fillId="33" borderId="118" xfId="0" applyNumberFormat="1" applyFont="1" applyFill="1" applyBorder="1" applyAlignment="1">
      <alignment vertical="center" shrinkToFit="1"/>
    </xf>
    <xf numFmtId="176" fontId="0" fillId="33" borderId="119" xfId="0" applyNumberFormat="1" applyFont="1" applyFill="1" applyBorder="1" applyAlignment="1">
      <alignment vertical="center" shrinkToFit="1"/>
    </xf>
    <xf numFmtId="176" fontId="0" fillId="0" borderId="120" xfId="0" applyNumberFormat="1" applyFont="1" applyBorder="1" applyAlignment="1">
      <alignment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6" fontId="0" fillId="0" borderId="121" xfId="0" applyNumberFormat="1" applyFont="1" applyBorder="1" applyAlignment="1">
      <alignment vertical="center" shrinkToFit="1"/>
    </xf>
    <xf numFmtId="176" fontId="0" fillId="0" borderId="122" xfId="0" applyNumberFormat="1" applyFont="1" applyBorder="1" applyAlignment="1">
      <alignment vertical="center" shrinkToFit="1"/>
    </xf>
    <xf numFmtId="176" fontId="0" fillId="0" borderId="50" xfId="0" applyNumberFormat="1" applyFont="1" applyFill="1" applyBorder="1" applyAlignment="1">
      <alignment horizontal="center" vertical="center" shrinkToFit="1"/>
    </xf>
    <xf numFmtId="176" fontId="13" fillId="0" borderId="14" xfId="0" applyNumberFormat="1" applyFont="1" applyBorder="1" applyAlignment="1">
      <alignment vertical="center" shrinkToFit="1"/>
    </xf>
    <xf numFmtId="198" fontId="0" fillId="0" borderId="10" xfId="0" applyNumberFormat="1" applyFont="1" applyBorder="1" applyAlignment="1">
      <alignment vertical="center" shrinkToFit="1"/>
    </xf>
    <xf numFmtId="183" fontId="0" fillId="0" borderId="10" xfId="0" applyNumberFormat="1" applyFont="1" applyFill="1" applyBorder="1" applyAlignment="1">
      <alignment vertical="center" shrinkToFit="1"/>
    </xf>
    <xf numFmtId="38" fontId="0" fillId="0" borderId="10" xfId="50" applyFont="1" applyFill="1" applyBorder="1" applyAlignment="1">
      <alignment vertical="center" shrinkToFit="1"/>
    </xf>
    <xf numFmtId="184" fontId="0" fillId="0" borderId="123" xfId="0" applyNumberFormat="1" applyFont="1" applyBorder="1" applyAlignment="1">
      <alignment horizontal="center" vertical="center"/>
    </xf>
    <xf numFmtId="203" fontId="0" fillId="0" borderId="45" xfId="0" applyNumberFormat="1" applyFont="1" applyFill="1" applyBorder="1" applyAlignment="1">
      <alignment vertical="center"/>
    </xf>
    <xf numFmtId="203" fontId="0" fillId="0" borderId="61" xfId="0" applyNumberFormat="1" applyFont="1" applyFill="1" applyBorder="1" applyAlignment="1">
      <alignment vertical="center"/>
    </xf>
    <xf numFmtId="204" fontId="0" fillId="0" borderId="124" xfId="67" applyNumberFormat="1" applyFont="1" applyBorder="1" applyAlignment="1">
      <alignment vertical="center"/>
      <protection/>
    </xf>
    <xf numFmtId="177" fontId="0" fillId="0" borderId="112" xfId="0" applyNumberFormat="1" applyFont="1" applyFill="1" applyBorder="1" applyAlignment="1">
      <alignment vertical="center" shrinkToFit="1"/>
    </xf>
    <xf numFmtId="177" fontId="0" fillId="0" borderId="125" xfId="0" applyNumberFormat="1" applyFont="1" applyFill="1" applyBorder="1" applyAlignment="1">
      <alignment vertical="center" shrinkToFit="1"/>
    </xf>
    <xf numFmtId="177" fontId="0" fillId="0" borderId="126" xfId="0" applyNumberFormat="1" applyFill="1" applyBorder="1" applyAlignment="1">
      <alignment vertical="center" shrinkToFit="1"/>
    </xf>
    <xf numFmtId="184" fontId="1" fillId="0" borderId="111" xfId="66" applyNumberFormat="1" applyFont="1" applyFill="1" applyBorder="1" applyAlignment="1">
      <alignment vertical="center" wrapText="1"/>
      <protection/>
    </xf>
    <xf numFmtId="184" fontId="1" fillId="0" borderId="14" xfId="66" applyNumberFormat="1" applyFont="1" applyFill="1" applyBorder="1" applyAlignment="1">
      <alignment vertical="center" wrapText="1"/>
      <protection/>
    </xf>
    <xf numFmtId="176" fontId="0" fillId="0" borderId="13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center" shrinkToFit="1"/>
    </xf>
    <xf numFmtId="176" fontId="0" fillId="0" borderId="13" xfId="0" applyNumberFormat="1" applyFill="1" applyBorder="1" applyAlignment="1">
      <alignment horizontal="center" vertical="center" shrinkToFit="1"/>
    </xf>
    <xf numFmtId="179" fontId="0" fillId="36" borderId="28" xfId="0" applyNumberFormat="1" applyFont="1" applyFill="1" applyBorder="1" applyAlignment="1">
      <alignment vertical="center"/>
    </xf>
    <xf numFmtId="179" fontId="0" fillId="0" borderId="28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1" fillId="0" borderId="127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0" fillId="0" borderId="10" xfId="66" applyFont="1" applyBorder="1" applyAlignment="1">
      <alignment horizontal="center" vertical="center" wrapText="1"/>
      <protection/>
    </xf>
    <xf numFmtId="0" fontId="0" fillId="0" borderId="60" xfId="66" applyFont="1" applyBorder="1" applyAlignment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82" fontId="0" fillId="0" borderId="14" xfId="42" applyNumberFormat="1" applyFont="1" applyFill="1" applyBorder="1" applyAlignment="1">
      <alignment vertical="center" shrinkToFit="1"/>
    </xf>
    <xf numFmtId="182" fontId="0" fillId="0" borderId="10" xfId="42" applyNumberFormat="1" applyFont="1" applyFill="1" applyBorder="1" applyAlignment="1">
      <alignment vertical="center" shrinkToFit="1"/>
    </xf>
    <xf numFmtId="9" fontId="0" fillId="0" borderId="14" xfId="0" applyNumberFormat="1" applyFont="1" applyFill="1" applyBorder="1" applyAlignment="1">
      <alignment vertical="center" shrinkToFit="1"/>
    </xf>
    <xf numFmtId="199" fontId="0" fillId="0" borderId="10" xfId="0" applyNumberFormat="1" applyFont="1" applyFill="1" applyBorder="1" applyAlignment="1">
      <alignment vertical="center" shrinkToFit="1"/>
    </xf>
    <xf numFmtId="0" fontId="0" fillId="0" borderId="0" xfId="66" applyFont="1" applyAlignment="1">
      <alignment vertical="center"/>
      <protection/>
    </xf>
    <xf numFmtId="0" fontId="1" fillId="0" borderId="50" xfId="66" applyFont="1" applyBorder="1" applyAlignment="1">
      <alignment horizontal="center" vertical="center" wrapText="1"/>
      <protection/>
    </xf>
    <xf numFmtId="0" fontId="1" fillId="0" borderId="73" xfId="66" applyFont="1" applyBorder="1" applyAlignment="1">
      <alignment horizontal="center" vertical="center" wrapText="1"/>
      <protection/>
    </xf>
    <xf numFmtId="0" fontId="0" fillId="0" borderId="14" xfId="66" applyFont="1" applyBorder="1" applyAlignment="1">
      <alignment horizontal="left" vertical="center" wrapText="1"/>
      <protection/>
    </xf>
    <xf numFmtId="0" fontId="0" fillId="0" borderId="14" xfId="66" applyFont="1" applyBorder="1" applyAlignment="1">
      <alignment horizontal="left" vertical="center" wrapText="1"/>
      <protection/>
    </xf>
    <xf numFmtId="0" fontId="11" fillId="0" borderId="14" xfId="66" applyFont="1" applyBorder="1" applyAlignment="1">
      <alignment horizontal="left" vertical="center" wrapText="1"/>
      <protection/>
    </xf>
    <xf numFmtId="0" fontId="0" fillId="0" borderId="74" xfId="66" applyFont="1" applyBorder="1" applyAlignment="1">
      <alignment horizontal="left" vertical="center" wrapText="1"/>
      <protection/>
    </xf>
    <xf numFmtId="0" fontId="0" fillId="0" borderId="81" xfId="66" applyFont="1" applyBorder="1" applyAlignment="1">
      <alignment horizontal="left" vertical="center" wrapText="1"/>
      <protection/>
    </xf>
    <xf numFmtId="0" fontId="0" fillId="0" borderId="81" xfId="66" applyFont="1" applyBorder="1" applyAlignment="1">
      <alignment horizontal="left" vertical="center" wrapText="1"/>
      <protection/>
    </xf>
    <xf numFmtId="0" fontId="0" fillId="0" borderId="77" xfId="66" applyFont="1" applyBorder="1" applyAlignment="1">
      <alignment horizontal="left" vertical="center" wrapText="1"/>
      <protection/>
    </xf>
    <xf numFmtId="0" fontId="1" fillId="0" borderId="14" xfId="66" applyFont="1" applyFill="1" applyBorder="1" applyAlignment="1">
      <alignment horizontal="center" vertical="center" wrapText="1"/>
      <protection/>
    </xf>
    <xf numFmtId="0" fontId="1" fillId="0" borderId="74" xfId="66" applyFont="1" applyFill="1" applyBorder="1" applyAlignment="1">
      <alignment horizontal="center" vertical="center" wrapText="1"/>
      <protection/>
    </xf>
    <xf numFmtId="177" fontId="0" fillId="0" borderId="14" xfId="0" applyNumberFormat="1" applyFill="1" applyBorder="1" applyAlignment="1">
      <alignment vertical="center"/>
    </xf>
    <xf numFmtId="0" fontId="1" fillId="0" borderId="50" xfId="66" applyFont="1" applyBorder="1" applyAlignment="1">
      <alignment horizontal="center" vertical="center" shrinkToFit="1"/>
      <protection/>
    </xf>
    <xf numFmtId="176" fontId="0" fillId="0" borderId="113" xfId="0" applyNumberFormat="1" applyFont="1" applyFill="1" applyBorder="1" applyAlignment="1">
      <alignment vertical="center" shrinkToFit="1"/>
    </xf>
    <xf numFmtId="176" fontId="0" fillId="0" borderId="128" xfId="0" applyNumberFormat="1" applyFont="1" applyFill="1" applyBorder="1" applyAlignment="1">
      <alignment vertical="center" shrinkToFit="1"/>
    </xf>
    <xf numFmtId="183" fontId="0" fillId="0" borderId="128" xfId="0" applyNumberFormat="1" applyFont="1" applyFill="1" applyBorder="1" applyAlignment="1">
      <alignment vertical="center" shrinkToFit="1"/>
    </xf>
    <xf numFmtId="176" fontId="0" fillId="0" borderId="120" xfId="0" applyNumberFormat="1" applyFont="1" applyFill="1" applyBorder="1" applyAlignment="1">
      <alignment vertical="center" shrinkToFit="1"/>
    </xf>
    <xf numFmtId="176" fontId="0" fillId="0" borderId="129" xfId="0" applyNumberFormat="1" applyFont="1" applyFill="1" applyBorder="1" applyAlignment="1">
      <alignment vertical="center" shrinkToFit="1"/>
    </xf>
    <xf numFmtId="183" fontId="0" fillId="0" borderId="129" xfId="0" applyNumberFormat="1" applyFont="1" applyFill="1" applyBorder="1" applyAlignment="1">
      <alignment vertical="center" shrinkToFit="1"/>
    </xf>
    <xf numFmtId="176" fontId="0" fillId="0" borderId="121" xfId="0" applyNumberFormat="1" applyFont="1" applyFill="1" applyBorder="1" applyAlignment="1">
      <alignment vertical="center" shrinkToFit="1"/>
    </xf>
    <xf numFmtId="176" fontId="0" fillId="0" borderId="130" xfId="0" applyNumberFormat="1" applyFont="1" applyFill="1" applyBorder="1" applyAlignment="1">
      <alignment vertical="center" shrinkToFit="1"/>
    </xf>
    <xf numFmtId="183" fontId="0" fillId="0" borderId="130" xfId="0" applyNumberFormat="1" applyFont="1" applyFill="1" applyBorder="1" applyAlignment="1">
      <alignment vertical="center" shrinkToFit="1"/>
    </xf>
    <xf numFmtId="176" fontId="0" fillId="0" borderId="122" xfId="0" applyNumberFormat="1" applyFont="1" applyFill="1" applyBorder="1" applyAlignment="1">
      <alignment vertical="center" shrinkToFit="1"/>
    </xf>
    <xf numFmtId="177" fontId="0" fillId="0" borderId="74" xfId="0" applyNumberFormat="1" applyFont="1" applyFill="1" applyBorder="1" applyAlignment="1">
      <alignment vertical="center" shrinkToFit="1"/>
    </xf>
    <xf numFmtId="177" fontId="0" fillId="0" borderId="28" xfId="67" applyNumberFormat="1" applyFont="1" applyFill="1" applyBorder="1" applyAlignment="1">
      <alignment vertical="center" shrinkToFit="1"/>
      <protection/>
    </xf>
    <xf numFmtId="177" fontId="0" fillId="0" borderId="100" xfId="67" applyNumberFormat="1" applyFont="1" applyFill="1" applyBorder="1" applyAlignment="1">
      <alignment vertical="center" shrinkToFit="1"/>
      <protection/>
    </xf>
    <xf numFmtId="176" fontId="0" fillId="0" borderId="100" xfId="0" applyNumberFormat="1" applyFont="1" applyFill="1" applyBorder="1" applyAlignment="1">
      <alignment vertical="center"/>
    </xf>
    <xf numFmtId="176" fontId="0" fillId="0" borderId="10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28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 shrinkToFit="1"/>
    </xf>
    <xf numFmtId="3" fontId="5" fillId="0" borderId="131" xfId="0" applyNumberFormat="1" applyFont="1" applyFill="1" applyBorder="1" applyAlignment="1">
      <alignment/>
    </xf>
    <xf numFmtId="182" fontId="0" fillId="0" borderId="43" xfId="0" applyNumberFormat="1" applyFont="1" applyFill="1" applyBorder="1" applyAlignment="1">
      <alignment vertical="center"/>
    </xf>
    <xf numFmtId="202" fontId="0" fillId="0" borderId="45" xfId="0" applyNumberFormat="1" applyFont="1" applyFill="1" applyBorder="1" applyAlignment="1">
      <alignment vertical="center"/>
    </xf>
    <xf numFmtId="177" fontId="0" fillId="0" borderId="57" xfId="0" applyNumberFormat="1" applyFill="1" applyBorder="1" applyAlignment="1">
      <alignment vertical="center"/>
    </xf>
    <xf numFmtId="177" fontId="0" fillId="0" borderId="61" xfId="0" applyNumberFormat="1" applyFill="1" applyBorder="1" applyAlignment="1">
      <alignment vertical="center"/>
    </xf>
    <xf numFmtId="177" fontId="0" fillId="0" borderId="87" xfId="67" applyNumberFormat="1" applyFont="1" applyFill="1" applyBorder="1" applyAlignment="1">
      <alignment vertical="center"/>
      <protection/>
    </xf>
    <xf numFmtId="177" fontId="0" fillId="0" borderId="88" xfId="67" applyNumberFormat="1" applyFont="1" applyFill="1" applyBorder="1" applyAlignment="1">
      <alignment horizontal="right" vertical="center"/>
      <protection/>
    </xf>
    <xf numFmtId="177" fontId="0" fillId="0" borderId="88" xfId="67" applyNumberFormat="1" applyFont="1" applyFill="1" applyBorder="1" applyAlignment="1">
      <alignment horizontal="left" vertical="center" shrinkToFit="1"/>
      <protection/>
    </xf>
    <xf numFmtId="177" fontId="0" fillId="0" borderId="89" xfId="0" applyNumberFormat="1" applyFont="1" applyFill="1" applyBorder="1" applyAlignment="1">
      <alignment vertical="center"/>
    </xf>
    <xf numFmtId="204" fontId="0" fillId="0" borderId="124" xfId="67" applyNumberFormat="1" applyFont="1" applyFill="1" applyBorder="1" applyAlignment="1">
      <alignment vertical="center"/>
      <protection/>
    </xf>
    <xf numFmtId="177" fontId="0" fillId="0" borderId="70" xfId="67" applyNumberFormat="1" applyFont="1" applyFill="1" applyBorder="1" applyAlignment="1">
      <alignment vertical="center"/>
      <protection/>
    </xf>
    <xf numFmtId="177" fontId="0" fillId="0" borderId="90" xfId="67" applyNumberFormat="1" applyFont="1" applyFill="1" applyBorder="1" applyAlignment="1">
      <alignment vertical="center"/>
      <protection/>
    </xf>
    <xf numFmtId="0" fontId="0" fillId="0" borderId="132" xfId="66" applyFont="1" applyFill="1" applyBorder="1" applyAlignment="1">
      <alignment vertical="center" wrapText="1"/>
      <protection/>
    </xf>
    <xf numFmtId="0" fontId="0" fillId="0" borderId="0" xfId="66" applyFont="1" applyFill="1" applyBorder="1" applyAlignment="1">
      <alignment vertical="center" wrapText="1"/>
      <protection/>
    </xf>
    <xf numFmtId="0" fontId="0" fillId="0" borderId="86" xfId="66" applyFont="1" applyFill="1" applyBorder="1" applyAlignment="1">
      <alignment vertical="center" wrapText="1"/>
      <protection/>
    </xf>
    <xf numFmtId="0" fontId="47" fillId="0" borderId="50" xfId="66" applyFont="1" applyBorder="1" applyAlignment="1">
      <alignment horizontal="center" vertical="center" wrapText="1"/>
      <protection/>
    </xf>
    <xf numFmtId="0" fontId="47" fillId="0" borderId="14" xfId="66" applyFont="1" applyBorder="1" applyAlignment="1">
      <alignment horizontal="center" vertical="center" wrapText="1"/>
      <protection/>
    </xf>
    <xf numFmtId="0" fontId="47" fillId="0" borderId="14" xfId="66" applyFont="1" applyBorder="1" applyAlignment="1">
      <alignment vertical="center" wrapText="1"/>
      <protection/>
    </xf>
    <xf numFmtId="0" fontId="47" fillId="0" borderId="74" xfId="66" applyFont="1" applyBorder="1" applyAlignment="1">
      <alignment vertical="center" wrapText="1"/>
      <protection/>
    </xf>
    <xf numFmtId="0" fontId="47" fillId="0" borderId="14" xfId="66" applyFont="1" applyFill="1" applyBorder="1" applyAlignment="1">
      <alignment horizontal="center" vertical="center"/>
      <protection/>
    </xf>
    <xf numFmtId="0" fontId="47" fillId="0" borderId="14" xfId="66" applyFont="1" applyFill="1" applyBorder="1" applyAlignment="1">
      <alignment horizontal="center" vertical="center" wrapText="1"/>
      <protection/>
    </xf>
    <xf numFmtId="206" fontId="47" fillId="0" borderId="14" xfId="66" applyNumberFormat="1" applyFont="1" applyFill="1" applyBorder="1" applyAlignment="1">
      <alignment horizontal="center" vertical="center" wrapText="1"/>
      <protection/>
    </xf>
    <xf numFmtId="0" fontId="47" fillId="0" borderId="81" xfId="66" applyFont="1" applyBorder="1" applyAlignment="1">
      <alignment horizontal="left" vertical="center" wrapText="1"/>
      <protection/>
    </xf>
    <xf numFmtId="181" fontId="0" fillId="0" borderId="25" xfId="0" applyNumberFormat="1" applyFont="1" applyFill="1" applyBorder="1" applyAlignment="1">
      <alignment horizontal="right" vertical="center"/>
    </xf>
    <xf numFmtId="38" fontId="0" fillId="0" borderId="26" xfId="50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right"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176" fontId="0" fillId="0" borderId="111" xfId="0" applyNumberFormat="1" applyFont="1" applyFill="1" applyBorder="1" applyAlignment="1">
      <alignment vertical="center" shrinkToFit="1"/>
    </xf>
    <xf numFmtId="0" fontId="0" fillId="0" borderId="28" xfId="66" applyFont="1" applyBorder="1" applyAlignment="1">
      <alignment vertical="center" wrapText="1"/>
      <protection/>
    </xf>
    <xf numFmtId="0" fontId="0" fillId="0" borderId="28" xfId="66" applyFont="1" applyBorder="1" applyAlignment="1">
      <alignment vertical="center" wrapText="1"/>
      <protection/>
    </xf>
    <xf numFmtId="0" fontId="0" fillId="0" borderId="26" xfId="66" applyFont="1" applyBorder="1" applyAlignment="1">
      <alignment vertical="center" wrapText="1"/>
      <protection/>
    </xf>
    <xf numFmtId="0" fontId="0" fillId="0" borderId="133" xfId="66" applyFont="1" applyBorder="1" applyAlignment="1">
      <alignment horizontal="center" vertical="center"/>
      <protection/>
    </xf>
    <xf numFmtId="0" fontId="0" fillId="0" borderId="28" xfId="66" applyFont="1" applyBorder="1" applyAlignment="1">
      <alignment horizontal="center" vertical="center"/>
      <protection/>
    </xf>
    <xf numFmtId="0" fontId="0" fillId="0" borderId="25" xfId="66" applyFont="1" applyBorder="1" applyAlignment="1">
      <alignment horizontal="center" vertical="center"/>
      <protection/>
    </xf>
    <xf numFmtId="0" fontId="0" fillId="0" borderId="29" xfId="66" applyFont="1" applyBorder="1" applyAlignment="1">
      <alignment horizontal="center" vertical="center"/>
      <protection/>
    </xf>
    <xf numFmtId="0" fontId="0" fillId="0" borderId="39" xfId="66" applyFont="1" applyBorder="1" applyAlignment="1">
      <alignment horizontal="center" vertical="center"/>
      <protection/>
    </xf>
    <xf numFmtId="0" fontId="0" fillId="0" borderId="36" xfId="66" applyFont="1" applyBorder="1" applyAlignment="1">
      <alignment vertical="center" wrapText="1"/>
      <protection/>
    </xf>
    <xf numFmtId="0" fontId="0" fillId="0" borderId="134" xfId="66" applyFont="1" applyBorder="1" applyAlignment="1">
      <alignment vertical="center" wrapText="1"/>
      <protection/>
    </xf>
    <xf numFmtId="0" fontId="0" fillId="0" borderId="135" xfId="66" applyFont="1" applyBorder="1" applyAlignment="1">
      <alignment vertical="center" wrapText="1"/>
      <protection/>
    </xf>
    <xf numFmtId="0" fontId="0" fillId="0" borderId="136" xfId="66" applyFont="1" applyBorder="1" applyAlignment="1">
      <alignment vertical="center" wrapText="1"/>
      <protection/>
    </xf>
    <xf numFmtId="0" fontId="0" fillId="0" borderId="88" xfId="66" applyFont="1" applyBorder="1" applyAlignment="1">
      <alignment vertical="center" wrapText="1"/>
      <protection/>
    </xf>
    <xf numFmtId="0" fontId="0" fillId="0" borderId="137" xfId="66" applyFont="1" applyBorder="1" applyAlignment="1">
      <alignment vertical="center" wrapText="1"/>
      <protection/>
    </xf>
    <xf numFmtId="0" fontId="0" fillId="0" borderId="138" xfId="66" applyFont="1" applyBorder="1" applyAlignment="1">
      <alignment horizontal="center" vertical="center"/>
      <protection/>
    </xf>
    <xf numFmtId="0" fontId="0" fillId="0" borderId="39" xfId="66" applyFont="1" applyBorder="1" applyAlignment="1">
      <alignment vertical="center" wrapText="1"/>
      <protection/>
    </xf>
    <xf numFmtId="0" fontId="0" fillId="0" borderId="39" xfId="66" applyFont="1" applyBorder="1" applyAlignment="1">
      <alignment vertical="center" wrapText="1"/>
      <protection/>
    </xf>
    <xf numFmtId="0" fontId="0" fillId="0" borderId="30" xfId="66" applyFont="1" applyBorder="1" applyAlignment="1">
      <alignment vertical="center" wrapText="1"/>
      <protection/>
    </xf>
    <xf numFmtId="0" fontId="0" fillId="0" borderId="139" xfId="66" applyFont="1" applyBorder="1" applyAlignment="1">
      <alignment horizontal="center" vertical="center"/>
      <protection/>
    </xf>
    <xf numFmtId="0" fontId="0" fillId="0" borderId="132" xfId="66" applyFont="1" applyBorder="1" applyAlignment="1">
      <alignment horizontal="center" vertical="center"/>
      <protection/>
    </xf>
    <xf numFmtId="0" fontId="0" fillId="0" borderId="34" xfId="66" applyFont="1" applyBorder="1" applyAlignment="1">
      <alignment horizontal="center" vertical="center"/>
      <protection/>
    </xf>
    <xf numFmtId="0" fontId="0" fillId="0" borderId="140" xfId="66" applyFont="1" applyBorder="1" applyAlignment="1">
      <alignment horizontal="center" vertical="center"/>
      <protection/>
    </xf>
    <xf numFmtId="0" fontId="0" fillId="0" borderId="0" xfId="66" applyFont="1" applyBorder="1" applyAlignment="1">
      <alignment horizontal="center" vertical="center"/>
      <protection/>
    </xf>
    <xf numFmtId="0" fontId="0" fillId="0" borderId="84" xfId="66" applyFont="1" applyBorder="1" applyAlignment="1">
      <alignment horizontal="center" vertical="center"/>
      <protection/>
    </xf>
    <xf numFmtId="0" fontId="0" fillId="0" borderId="141" xfId="66" applyFont="1" applyBorder="1" applyAlignment="1">
      <alignment horizontal="center" vertical="center"/>
      <protection/>
    </xf>
    <xf numFmtId="0" fontId="0" fillId="0" borderId="86" xfId="66" applyFont="1" applyBorder="1" applyAlignment="1">
      <alignment horizontal="center" vertical="center"/>
      <protection/>
    </xf>
    <xf numFmtId="0" fontId="0" fillId="0" borderId="110" xfId="66" applyFont="1" applyBorder="1" applyAlignment="1">
      <alignment horizontal="center" vertical="center"/>
      <protection/>
    </xf>
    <xf numFmtId="0" fontId="0" fillId="0" borderId="33" xfId="66" applyFont="1" applyBorder="1" applyAlignment="1">
      <alignment horizontal="left" vertical="center" wrapText="1"/>
      <protection/>
    </xf>
    <xf numFmtId="0" fontId="0" fillId="0" borderId="132" xfId="66" applyFont="1" applyBorder="1" applyAlignment="1">
      <alignment horizontal="left" vertical="center" wrapText="1"/>
      <protection/>
    </xf>
    <xf numFmtId="0" fontId="0" fillId="0" borderId="142" xfId="66" applyFont="1" applyBorder="1" applyAlignment="1">
      <alignment horizontal="left" vertical="center" wrapText="1"/>
      <protection/>
    </xf>
    <xf numFmtId="0" fontId="0" fillId="0" borderId="83" xfId="66" applyFont="1" applyBorder="1" applyAlignment="1">
      <alignment horizontal="left" vertical="center" wrapText="1"/>
      <protection/>
    </xf>
    <xf numFmtId="0" fontId="0" fillId="0" borderId="0" xfId="66" applyFont="1" applyBorder="1" applyAlignment="1">
      <alignment horizontal="left" vertical="center" wrapText="1"/>
      <protection/>
    </xf>
    <xf numFmtId="0" fontId="0" fillId="0" borderId="143" xfId="66" applyFont="1" applyBorder="1" applyAlignment="1">
      <alignment horizontal="left" vertical="center" wrapText="1"/>
      <protection/>
    </xf>
    <xf numFmtId="0" fontId="0" fillId="0" borderId="85" xfId="66" applyFont="1" applyBorder="1" applyAlignment="1">
      <alignment horizontal="left" vertical="center" wrapText="1"/>
      <protection/>
    </xf>
    <xf numFmtId="0" fontId="0" fillId="0" borderId="86" xfId="66" applyFont="1" applyBorder="1" applyAlignment="1">
      <alignment horizontal="left" vertical="center" wrapText="1"/>
      <protection/>
    </xf>
    <xf numFmtId="0" fontId="0" fillId="0" borderId="144" xfId="66" applyFont="1" applyBorder="1" applyAlignment="1">
      <alignment horizontal="left" vertical="center" wrapText="1"/>
      <protection/>
    </xf>
    <xf numFmtId="0" fontId="0" fillId="0" borderId="86" xfId="66" applyFont="1" applyFill="1" applyBorder="1" applyAlignment="1">
      <alignment horizontal="center" vertical="center" wrapText="1"/>
      <protection/>
    </xf>
    <xf numFmtId="0" fontId="0" fillId="0" borderId="144" xfId="66" applyFont="1" applyFill="1" applyBorder="1" applyAlignment="1">
      <alignment horizontal="center" vertical="center" wrapText="1"/>
      <protection/>
    </xf>
    <xf numFmtId="0" fontId="0" fillId="0" borderId="0" xfId="66" applyFont="1" applyFill="1" applyBorder="1" applyAlignment="1">
      <alignment horizontal="center" vertical="center" wrapText="1"/>
      <protection/>
    </xf>
    <xf numFmtId="0" fontId="0" fillId="0" borderId="143" xfId="66" applyFont="1" applyFill="1" applyBorder="1" applyAlignment="1">
      <alignment horizontal="center" vertical="center" wrapText="1"/>
      <protection/>
    </xf>
    <xf numFmtId="0" fontId="0" fillId="0" borderId="33" xfId="66" applyFont="1" applyFill="1" applyBorder="1" applyAlignment="1">
      <alignment horizontal="left" vertical="center" shrinkToFit="1"/>
      <protection/>
    </xf>
    <xf numFmtId="0" fontId="0" fillId="0" borderId="132" xfId="66" applyFont="1" applyFill="1" applyBorder="1" applyAlignment="1">
      <alignment horizontal="left" vertical="center" shrinkToFit="1"/>
      <protection/>
    </xf>
    <xf numFmtId="0" fontId="0" fillId="0" borderId="83" xfId="66" applyFont="1" applyFill="1" applyBorder="1" applyAlignment="1">
      <alignment horizontal="left" vertical="center" wrapText="1"/>
      <protection/>
    </xf>
    <xf numFmtId="0" fontId="0" fillId="0" borderId="0" xfId="66" applyFont="1" applyFill="1" applyBorder="1" applyAlignment="1">
      <alignment horizontal="left" vertical="center" wrapText="1"/>
      <protection/>
    </xf>
    <xf numFmtId="0" fontId="0" fillId="0" borderId="85" xfId="66" applyFont="1" applyFill="1" applyBorder="1" applyAlignment="1">
      <alignment horizontal="left" vertical="center" wrapText="1"/>
      <protection/>
    </xf>
    <xf numFmtId="0" fontId="0" fillId="0" borderId="86" xfId="66" applyFont="1" applyFill="1" applyBorder="1" applyAlignment="1">
      <alignment horizontal="left" vertical="center" wrapText="1"/>
      <protection/>
    </xf>
    <xf numFmtId="0" fontId="1" fillId="0" borderId="0" xfId="66" applyFont="1" applyBorder="1" applyAlignment="1">
      <alignment vertical="center" wrapText="1"/>
      <protection/>
    </xf>
    <xf numFmtId="0" fontId="1" fillId="0" borderId="18" xfId="66" applyFont="1" applyBorder="1" applyAlignment="1">
      <alignment vertical="center" wrapText="1"/>
      <protection/>
    </xf>
    <xf numFmtId="0" fontId="1" fillId="0" borderId="11" xfId="66" applyFont="1" applyBorder="1" applyAlignment="1">
      <alignment vertical="center" wrapText="1"/>
      <protection/>
    </xf>
    <xf numFmtId="0" fontId="0" fillId="0" borderId="18" xfId="66" applyFont="1" applyBorder="1" applyAlignment="1">
      <alignment horizontal="center" vertical="center" wrapText="1"/>
      <protection/>
    </xf>
    <xf numFmtId="0" fontId="0" fillId="0" borderId="11" xfId="66" applyFont="1" applyBorder="1" applyAlignment="1">
      <alignment horizontal="center" vertical="center" wrapText="1"/>
      <protection/>
    </xf>
    <xf numFmtId="0" fontId="0" fillId="0" borderId="145" xfId="66" applyFont="1" applyBorder="1" applyAlignment="1">
      <alignment horizontal="center" vertical="center" wrapText="1"/>
      <protection/>
    </xf>
    <xf numFmtId="0" fontId="1" fillId="0" borderId="146" xfId="66" applyFont="1" applyBorder="1" applyAlignment="1">
      <alignment horizontal="center" vertical="center" wrapText="1"/>
      <protection/>
    </xf>
    <xf numFmtId="0" fontId="1" fillId="0" borderId="147" xfId="66" applyFont="1" applyBorder="1" applyAlignment="1">
      <alignment horizontal="center" vertical="center" wrapText="1"/>
      <protection/>
    </xf>
    <xf numFmtId="0" fontId="1" fillId="0" borderId="148" xfId="66" applyFont="1" applyBorder="1" applyAlignment="1">
      <alignment horizontal="center" vertical="center" wrapText="1"/>
      <protection/>
    </xf>
    <xf numFmtId="0" fontId="0" fillId="0" borderId="149" xfId="66" applyFont="1" applyBorder="1" applyAlignment="1">
      <alignment horizontal="center" vertical="center"/>
      <protection/>
    </xf>
    <xf numFmtId="0" fontId="0" fillId="0" borderId="107" xfId="66" applyFont="1" applyBorder="1" applyAlignment="1">
      <alignment horizontal="center" vertical="center"/>
      <protection/>
    </xf>
    <xf numFmtId="0" fontId="0" fillId="0" borderId="150" xfId="66" applyFont="1" applyBorder="1" applyAlignment="1">
      <alignment horizontal="center" vertical="center"/>
      <protection/>
    </xf>
    <xf numFmtId="0" fontId="1" fillId="0" borderId="151" xfId="66" applyFont="1" applyBorder="1" applyAlignment="1">
      <alignment horizontal="center" vertical="center" wrapText="1"/>
      <protection/>
    </xf>
    <xf numFmtId="0" fontId="1" fillId="0" borderId="152" xfId="66" applyFont="1" applyBorder="1" applyAlignment="1">
      <alignment horizontal="center" vertical="center" wrapText="1"/>
      <protection/>
    </xf>
    <xf numFmtId="0" fontId="1" fillId="0" borderId="153" xfId="66" applyFont="1" applyBorder="1" applyAlignment="1">
      <alignment horizontal="center" vertical="center" wrapText="1"/>
      <protection/>
    </xf>
    <xf numFmtId="0" fontId="1" fillId="0" borderId="15" xfId="66" applyFont="1" applyBorder="1" applyAlignment="1">
      <alignment horizontal="left" vertical="center" indent="1"/>
      <protection/>
    </xf>
    <xf numFmtId="0" fontId="1" fillId="0" borderId="0" xfId="66" applyFont="1" applyBorder="1" applyAlignment="1">
      <alignment horizontal="left" vertical="center" indent="1"/>
      <protection/>
    </xf>
    <xf numFmtId="0" fontId="1" fillId="0" borderId="65" xfId="66" applyFont="1" applyBorder="1" applyAlignment="1">
      <alignment horizontal="center" vertical="center" wrapText="1"/>
      <protection/>
    </xf>
    <xf numFmtId="0" fontId="1" fillId="0" borderId="154" xfId="66" applyFont="1" applyBorder="1" applyAlignment="1">
      <alignment horizontal="center" vertical="center" wrapText="1"/>
      <protection/>
    </xf>
    <xf numFmtId="0" fontId="1" fillId="0" borderId="66" xfId="66" applyFont="1" applyBorder="1" applyAlignment="1">
      <alignment horizontal="center" vertical="center" wrapText="1"/>
      <protection/>
    </xf>
    <xf numFmtId="0" fontId="1" fillId="0" borderId="155" xfId="66" applyFont="1" applyBorder="1" applyAlignment="1">
      <alignment horizontal="center" vertical="center" wrapText="1"/>
      <protection/>
    </xf>
    <xf numFmtId="0" fontId="1" fillId="0" borderId="156" xfId="66" applyFont="1" applyBorder="1" applyAlignment="1">
      <alignment horizontal="center" vertical="center" wrapText="1"/>
      <protection/>
    </xf>
    <xf numFmtId="0" fontId="1" fillId="0" borderId="157" xfId="66" applyFont="1" applyBorder="1" applyAlignment="1">
      <alignment horizontal="center" vertical="center" wrapText="1"/>
      <protection/>
    </xf>
    <xf numFmtId="0" fontId="0" fillId="0" borderId="52" xfId="66" applyFont="1" applyBorder="1" applyAlignment="1">
      <alignment horizontal="center" vertical="center" wrapText="1"/>
      <protection/>
    </xf>
    <xf numFmtId="0" fontId="0" fillId="0" borderId="53" xfId="66" applyFont="1" applyBorder="1" applyAlignment="1">
      <alignment horizontal="center" vertical="center" wrapText="1"/>
      <protection/>
    </xf>
    <xf numFmtId="0" fontId="0" fillId="0" borderId="56" xfId="66" applyFont="1" applyBorder="1" applyAlignment="1">
      <alignment horizontal="center" vertical="center" wrapText="1"/>
      <protection/>
    </xf>
    <xf numFmtId="0" fontId="1" fillId="0" borderId="158" xfId="66" applyFont="1" applyBorder="1" applyAlignment="1">
      <alignment horizontal="center" vertical="center" textRotation="255" shrinkToFit="1"/>
      <protection/>
    </xf>
    <xf numFmtId="0" fontId="1" fillId="0" borderId="152" xfId="66" applyFont="1" applyBorder="1" applyAlignment="1">
      <alignment horizontal="center" vertical="center" textRotation="255" shrinkToFit="1"/>
      <protection/>
    </xf>
    <xf numFmtId="0" fontId="1" fillId="0" borderId="159" xfId="66" applyFont="1" applyBorder="1" applyAlignment="1">
      <alignment horizontal="center" vertical="center" textRotation="255" shrinkToFit="1"/>
      <protection/>
    </xf>
    <xf numFmtId="0" fontId="0" fillId="0" borderId="18" xfId="66" applyFont="1" applyBorder="1" applyAlignment="1">
      <alignment horizontal="left" vertical="center" wrapText="1"/>
      <protection/>
    </xf>
    <xf numFmtId="0" fontId="0" fillId="0" borderId="11" xfId="66" applyFont="1" applyBorder="1" applyAlignment="1">
      <alignment horizontal="left" vertical="center" wrapText="1"/>
      <protection/>
    </xf>
    <xf numFmtId="0" fontId="0" fillId="0" borderId="160" xfId="66" applyFont="1" applyBorder="1" applyAlignment="1">
      <alignment horizontal="left" vertical="center" wrapText="1"/>
      <protection/>
    </xf>
    <xf numFmtId="184" fontId="1" fillId="0" borderId="11" xfId="66" applyNumberFormat="1" applyFont="1" applyBorder="1" applyAlignment="1">
      <alignment horizontal="center" vertical="center" wrapText="1"/>
      <protection/>
    </xf>
    <xf numFmtId="184" fontId="1" fillId="0" borderId="145" xfId="66" applyNumberFormat="1" applyFont="1" applyBorder="1" applyAlignment="1">
      <alignment horizontal="center" vertical="center" wrapText="1"/>
      <protection/>
    </xf>
    <xf numFmtId="184" fontId="1" fillId="0" borderId="18" xfId="66" applyNumberFormat="1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vertical="center" wrapText="1"/>
      <protection/>
    </xf>
    <xf numFmtId="0" fontId="1" fillId="0" borderId="57" xfId="66" applyFont="1" applyBorder="1" applyAlignment="1">
      <alignment vertical="center" wrapText="1"/>
      <protection/>
    </xf>
    <xf numFmtId="184" fontId="1" fillId="0" borderId="12" xfId="66" applyNumberFormat="1" applyFont="1" applyBorder="1" applyAlignment="1">
      <alignment horizontal="center" vertical="center" wrapText="1"/>
      <protection/>
    </xf>
    <xf numFmtId="184" fontId="1" fillId="0" borderId="57" xfId="66" applyNumberFormat="1" applyFont="1" applyBorder="1" applyAlignment="1">
      <alignment horizontal="center" vertical="center" wrapText="1"/>
      <protection/>
    </xf>
    <xf numFmtId="184" fontId="1" fillId="0" borderId="58" xfId="66" applyNumberFormat="1" applyFont="1" applyBorder="1" applyAlignment="1">
      <alignment horizontal="center" vertical="center" wrapText="1"/>
      <protection/>
    </xf>
    <xf numFmtId="0" fontId="1" fillId="0" borderId="103" xfId="66" applyFont="1" applyBorder="1" applyAlignment="1">
      <alignment horizontal="center" vertical="center" wrapText="1"/>
      <protection/>
    </xf>
    <xf numFmtId="0" fontId="1" fillId="0" borderId="14" xfId="66" applyFont="1" applyBorder="1" applyAlignment="1">
      <alignment horizontal="center" vertical="center" wrapText="1"/>
      <protection/>
    </xf>
    <xf numFmtId="0" fontId="0" fillId="0" borderId="14" xfId="66" applyFont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center" vertical="center" wrapText="1"/>
      <protection/>
    </xf>
    <xf numFmtId="0" fontId="1" fillId="0" borderId="109" xfId="66" applyFont="1" applyBorder="1" applyAlignment="1">
      <alignment horizontal="center" vertical="center" wrapText="1"/>
      <protection/>
    </xf>
    <xf numFmtId="0" fontId="0" fillId="0" borderId="109" xfId="66" applyFont="1" applyBorder="1" applyAlignment="1">
      <alignment horizontal="center" vertical="center" wrapText="1"/>
      <protection/>
    </xf>
    <xf numFmtId="0" fontId="0" fillId="0" borderId="15" xfId="66" applyFont="1" applyBorder="1" applyAlignment="1">
      <alignment horizontal="center" vertical="center" wrapText="1"/>
      <protection/>
    </xf>
    <xf numFmtId="0" fontId="0" fillId="0" borderId="12" xfId="66" applyFont="1" applyBorder="1" applyAlignment="1">
      <alignment horizontal="left" vertical="center" wrapText="1"/>
      <protection/>
    </xf>
    <xf numFmtId="0" fontId="0" fillId="0" borderId="57" xfId="66" applyFont="1" applyBorder="1" applyAlignment="1">
      <alignment horizontal="left" vertical="center" wrapText="1"/>
      <protection/>
    </xf>
    <xf numFmtId="0" fontId="0" fillId="0" borderId="58" xfId="66" applyFont="1" applyBorder="1" applyAlignment="1">
      <alignment horizontal="left" vertical="center" wrapText="1"/>
      <protection/>
    </xf>
    <xf numFmtId="184" fontId="1" fillId="0" borderId="61" xfId="66" applyNumberFormat="1" applyFont="1" applyBorder="1" applyAlignment="1">
      <alignment horizontal="center" vertical="center" wrapText="1"/>
      <protection/>
    </xf>
    <xf numFmtId="0" fontId="1" fillId="0" borderId="12" xfId="66" applyFont="1" applyBorder="1" applyAlignment="1">
      <alignment horizontal="center" vertical="center" wrapText="1"/>
      <protection/>
    </xf>
    <xf numFmtId="0" fontId="1" fillId="0" borderId="57" xfId="66" applyFont="1" applyBorder="1" applyAlignment="1">
      <alignment horizontal="center" vertical="center" wrapText="1"/>
      <protection/>
    </xf>
    <xf numFmtId="0" fontId="1" fillId="0" borderId="58" xfId="66" applyFont="1" applyBorder="1" applyAlignment="1">
      <alignment horizontal="center" vertical="center" wrapText="1"/>
      <protection/>
    </xf>
    <xf numFmtId="0" fontId="1" fillId="0" borderId="15" xfId="66" applyFont="1" applyBorder="1" applyAlignment="1">
      <alignment vertical="center" wrapText="1"/>
      <protection/>
    </xf>
    <xf numFmtId="0" fontId="1" fillId="0" borderId="52" xfId="66" applyFont="1" applyBorder="1" applyAlignment="1">
      <alignment horizontal="center" vertical="center" wrapText="1"/>
      <protection/>
    </xf>
    <xf numFmtId="0" fontId="1" fillId="0" borderId="53" xfId="66" applyFont="1" applyBorder="1" applyAlignment="1">
      <alignment horizontal="center" vertical="center" wrapText="1"/>
      <protection/>
    </xf>
    <xf numFmtId="0" fontId="1" fillId="0" borderId="54" xfId="66" applyFont="1" applyBorder="1" applyAlignment="1">
      <alignment horizontal="center" vertical="center" wrapText="1"/>
      <protection/>
    </xf>
    <xf numFmtId="184" fontId="1" fillId="0" borderId="52" xfId="66" applyNumberFormat="1" applyFont="1" applyBorder="1" applyAlignment="1">
      <alignment horizontal="center" vertical="center" wrapText="1"/>
      <protection/>
    </xf>
    <xf numFmtId="184" fontId="1" fillId="0" borderId="53" xfId="66" applyNumberFormat="1" applyFont="1" applyBorder="1" applyAlignment="1">
      <alignment horizontal="center" vertical="center" wrapText="1"/>
      <protection/>
    </xf>
    <xf numFmtId="184" fontId="1" fillId="0" borderId="54" xfId="66" applyNumberFormat="1" applyFont="1" applyBorder="1" applyAlignment="1">
      <alignment horizontal="center" vertical="center" wrapText="1"/>
      <protection/>
    </xf>
    <xf numFmtId="0" fontId="1" fillId="0" borderId="161" xfId="0" applyFont="1" applyBorder="1" applyAlignment="1" quotePrefix="1">
      <alignment horizontal="center" vertical="center" shrinkToFit="1"/>
    </xf>
    <xf numFmtId="0" fontId="1" fillId="0" borderId="161" xfId="0" applyFont="1" applyBorder="1" applyAlignment="1">
      <alignment horizontal="center" vertical="center" shrinkToFit="1"/>
    </xf>
    <xf numFmtId="0" fontId="1" fillId="0" borderId="162" xfId="0" applyFont="1" applyBorder="1" applyAlignment="1">
      <alignment horizontal="center" vertical="center" shrinkToFit="1"/>
    </xf>
    <xf numFmtId="0" fontId="0" fillId="0" borderId="163" xfId="0" applyFont="1" applyBorder="1" applyAlignment="1">
      <alignment horizontal="center" vertical="center" shrinkToFit="1"/>
    </xf>
    <xf numFmtId="0" fontId="0" fillId="0" borderId="164" xfId="0" applyFont="1" applyBorder="1" applyAlignment="1">
      <alignment horizontal="center" vertical="center" shrinkToFit="1"/>
    </xf>
    <xf numFmtId="0" fontId="0" fillId="0" borderId="165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0" fontId="0" fillId="0" borderId="127" xfId="0" applyFont="1" applyBorder="1" applyAlignment="1">
      <alignment horizontal="center" vertical="center" shrinkToFit="1"/>
    </xf>
    <xf numFmtId="0" fontId="1" fillId="0" borderId="127" xfId="0" applyFont="1" applyBorder="1" applyAlignment="1">
      <alignment horizontal="center" vertical="center" shrinkToFit="1"/>
    </xf>
    <xf numFmtId="0" fontId="1" fillId="0" borderId="15" xfId="66" applyFont="1" applyBorder="1" applyAlignment="1">
      <alignment horizontal="left" vertical="center" wrapText="1"/>
      <protection/>
    </xf>
    <xf numFmtId="0" fontId="1" fillId="0" borderId="0" xfId="66" applyFont="1" applyBorder="1" applyAlignment="1">
      <alignment horizontal="left" vertical="center" wrapText="1"/>
      <protection/>
    </xf>
    <xf numFmtId="0" fontId="1" fillId="0" borderId="166" xfId="66" applyFont="1" applyBorder="1" applyAlignment="1">
      <alignment horizontal="left" vertical="center" wrapText="1"/>
      <protection/>
    </xf>
    <xf numFmtId="184" fontId="1" fillId="0" borderId="0" xfId="66" applyNumberFormat="1" applyFont="1" applyBorder="1" applyAlignment="1">
      <alignment horizontal="center" vertical="center" wrapText="1"/>
      <protection/>
    </xf>
    <xf numFmtId="184" fontId="1" fillId="0" borderId="44" xfId="66" applyNumberFormat="1" applyFont="1" applyBorder="1" applyAlignment="1">
      <alignment horizontal="center" vertical="center" wrapText="1"/>
      <protection/>
    </xf>
    <xf numFmtId="0" fontId="1" fillId="0" borderId="163" xfId="0" applyFont="1" applyBorder="1" applyAlignment="1">
      <alignment horizontal="center" vertical="center" shrinkToFit="1"/>
    </xf>
    <xf numFmtId="0" fontId="1" fillId="0" borderId="165" xfId="0" applyFont="1" applyBorder="1" applyAlignment="1">
      <alignment horizontal="center" vertical="center" shrinkToFit="1"/>
    </xf>
    <xf numFmtId="0" fontId="1" fillId="0" borderId="163" xfId="0" applyFont="1" applyBorder="1" applyAlignment="1">
      <alignment horizontal="center" vertical="center" shrinkToFit="1"/>
    </xf>
    <xf numFmtId="0" fontId="1" fillId="0" borderId="164" xfId="0" applyFont="1" applyBorder="1" applyAlignment="1">
      <alignment horizontal="center" vertical="center" shrinkToFit="1"/>
    </xf>
    <xf numFmtId="0" fontId="1" fillId="0" borderId="61" xfId="66" applyFont="1" applyBorder="1" applyAlignment="1">
      <alignment horizontal="center" vertical="center" wrapText="1"/>
      <protection/>
    </xf>
    <xf numFmtId="0" fontId="1" fillId="0" borderId="167" xfId="66" applyFont="1" applyBorder="1" applyAlignment="1">
      <alignment horizontal="center" vertical="center" wrapText="1"/>
      <protection/>
    </xf>
    <xf numFmtId="0" fontId="1" fillId="0" borderId="66" xfId="66" applyFont="1" applyBorder="1" applyAlignment="1">
      <alignment vertical="center" wrapText="1"/>
      <protection/>
    </xf>
    <xf numFmtId="0" fontId="1" fillId="0" borderId="65" xfId="66" applyFont="1" applyBorder="1" applyAlignment="1">
      <alignment vertical="center" wrapText="1"/>
      <protection/>
    </xf>
    <xf numFmtId="0" fontId="1" fillId="0" borderId="155" xfId="66" applyFont="1" applyBorder="1" applyAlignment="1">
      <alignment vertical="center" wrapText="1"/>
      <protection/>
    </xf>
    <xf numFmtId="0" fontId="0" fillId="0" borderId="0" xfId="66" applyFont="1" applyFill="1" applyBorder="1" applyAlignment="1">
      <alignment horizontal="left" vertical="center" shrinkToFit="1"/>
      <protection/>
    </xf>
    <xf numFmtId="0" fontId="0" fillId="0" borderId="0" xfId="66" applyFont="1" applyFill="1" applyBorder="1" applyAlignment="1">
      <alignment horizontal="left" vertical="center" shrinkToFit="1"/>
      <protection/>
    </xf>
    <xf numFmtId="0" fontId="0" fillId="0" borderId="132" xfId="66" applyFont="1" applyFill="1" applyBorder="1" applyAlignment="1">
      <alignment horizontal="center" vertical="center" wrapText="1"/>
      <protection/>
    </xf>
    <xf numFmtId="0" fontId="0" fillId="0" borderId="132" xfId="66" applyFont="1" applyFill="1" applyBorder="1" applyAlignment="1">
      <alignment horizontal="center" vertical="center" wrapText="1"/>
      <protection/>
    </xf>
    <xf numFmtId="0" fontId="0" fillId="0" borderId="142" xfId="66" applyFont="1" applyFill="1" applyBorder="1" applyAlignment="1">
      <alignment horizontal="center" vertical="center" wrapText="1"/>
      <protection/>
    </xf>
    <xf numFmtId="0" fontId="1" fillId="0" borderId="103" xfId="66" applyFont="1" applyBorder="1" applyAlignment="1">
      <alignment horizontal="center" vertical="center" textRotation="255" wrapText="1"/>
      <protection/>
    </xf>
    <xf numFmtId="0" fontId="1" fillId="0" borderId="102" xfId="66" applyFont="1" applyBorder="1" applyAlignment="1">
      <alignment horizontal="center" vertical="center" wrapText="1"/>
      <protection/>
    </xf>
    <xf numFmtId="0" fontId="1" fillId="0" borderId="50" xfId="66" applyFont="1" applyBorder="1" applyAlignment="1">
      <alignment horizontal="center" vertical="center" wrapText="1"/>
      <protection/>
    </xf>
    <xf numFmtId="0" fontId="47" fillId="0" borderId="16" xfId="66" applyFont="1" applyBorder="1" applyAlignment="1">
      <alignment horizontal="center" vertical="center"/>
      <protection/>
    </xf>
    <xf numFmtId="0" fontId="47" fillId="0" borderId="17" xfId="66" applyFont="1" applyBorder="1" applyAlignment="1">
      <alignment horizontal="center" vertical="center"/>
      <protection/>
    </xf>
    <xf numFmtId="0" fontId="47" fillId="0" borderId="96" xfId="66" applyFont="1" applyBorder="1" applyAlignment="1">
      <alignment horizontal="center" vertical="center" wrapText="1"/>
      <protection/>
    </xf>
    <xf numFmtId="0" fontId="47" fillId="0" borderId="58" xfId="66" applyFont="1" applyBorder="1" applyAlignment="1">
      <alignment horizontal="center" vertical="center"/>
      <protection/>
    </xf>
    <xf numFmtId="0" fontId="0" fillId="35" borderId="24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70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0" fillId="35" borderId="1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35" borderId="71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139" xfId="0" applyFont="1" applyBorder="1" applyAlignment="1">
      <alignment horizontal="center" vertical="center"/>
    </xf>
    <xf numFmtId="0" fontId="0" fillId="0" borderId="132" xfId="0" applyFont="1" applyBorder="1" applyAlignment="1">
      <alignment horizontal="center" vertical="center"/>
    </xf>
    <xf numFmtId="0" fontId="0" fillId="0" borderId="168" xfId="0" applyFont="1" applyBorder="1" applyAlignment="1">
      <alignment vertical="center"/>
    </xf>
    <xf numFmtId="0" fontId="0" fillId="0" borderId="88" xfId="0" applyFont="1" applyBorder="1" applyAlignment="1">
      <alignment vertical="center"/>
    </xf>
    <xf numFmtId="180" fontId="0" fillId="0" borderId="104" xfId="50" applyNumberFormat="1" applyFont="1" applyBorder="1" applyAlignment="1">
      <alignment horizontal="center" vertical="center"/>
    </xf>
    <xf numFmtId="0" fontId="0" fillId="0" borderId="169" xfId="0" applyFont="1" applyBorder="1" applyAlignment="1">
      <alignment vertical="center"/>
    </xf>
    <xf numFmtId="0" fontId="0" fillId="0" borderId="170" xfId="0" applyFont="1" applyBorder="1" applyAlignment="1">
      <alignment horizontal="center" vertical="center" textRotation="255"/>
    </xf>
    <xf numFmtId="0" fontId="0" fillId="0" borderId="171" xfId="0" applyFont="1" applyBorder="1" applyAlignment="1">
      <alignment horizontal="center" vertical="center" textRotation="255"/>
    </xf>
    <xf numFmtId="0" fontId="0" fillId="0" borderId="172" xfId="0" applyFont="1" applyBorder="1" applyAlignment="1">
      <alignment horizontal="center" vertical="center" textRotation="255"/>
    </xf>
    <xf numFmtId="0" fontId="0" fillId="34" borderId="19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 textRotation="255" wrapText="1"/>
    </xf>
    <xf numFmtId="0" fontId="0" fillId="0" borderId="31" xfId="0" applyFont="1" applyBorder="1" applyAlignment="1">
      <alignment horizontal="center" vertical="center" textRotation="255" wrapText="1"/>
    </xf>
    <xf numFmtId="0" fontId="0" fillId="0" borderId="85" xfId="0" applyFont="1" applyBorder="1" applyAlignment="1">
      <alignment horizontal="center" vertical="center" textRotation="255" wrapText="1"/>
    </xf>
    <xf numFmtId="0" fontId="0" fillId="0" borderId="37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34" borderId="173" xfId="0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17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0" borderId="168" xfId="0" applyFont="1" applyBorder="1" applyAlignment="1">
      <alignment horizontal="center" vertical="center" textRotation="255"/>
    </xf>
    <xf numFmtId="0" fontId="0" fillId="35" borderId="22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horizontal="center" vertical="center" wrapText="1"/>
    </xf>
    <xf numFmtId="0" fontId="0" fillId="35" borderId="72" xfId="0" applyFont="1" applyFill="1" applyBorder="1" applyAlignment="1">
      <alignment horizontal="center" vertical="center"/>
    </xf>
    <xf numFmtId="176" fontId="0" fillId="0" borderId="151" xfId="0" applyNumberFormat="1" applyFont="1" applyBorder="1" applyAlignment="1">
      <alignment horizontal="center" vertical="center"/>
    </xf>
    <xf numFmtId="176" fontId="0" fillId="0" borderId="152" xfId="0" applyNumberFormat="1" applyFont="1" applyBorder="1" applyAlignment="1">
      <alignment horizontal="center" vertical="center"/>
    </xf>
    <xf numFmtId="176" fontId="0" fillId="0" borderId="159" xfId="0" applyNumberFormat="1" applyFont="1" applyBorder="1" applyAlignment="1">
      <alignment horizontal="center" vertical="center"/>
    </xf>
    <xf numFmtId="176" fontId="0" fillId="0" borderId="66" xfId="0" applyNumberFormat="1" applyFont="1" applyBorder="1" applyAlignment="1">
      <alignment horizontal="center" vertical="center"/>
    </xf>
    <xf numFmtId="176" fontId="0" fillId="0" borderId="65" xfId="0" applyNumberFormat="1" applyFont="1" applyBorder="1" applyAlignment="1">
      <alignment horizontal="center" vertical="center"/>
    </xf>
    <xf numFmtId="176" fontId="0" fillId="0" borderId="155" xfId="0" applyNumberFormat="1" applyFont="1" applyBorder="1" applyAlignment="1">
      <alignment horizontal="center" vertical="center"/>
    </xf>
    <xf numFmtId="176" fontId="0" fillId="0" borderId="158" xfId="0" applyNumberFormat="1" applyFont="1" applyBorder="1" applyAlignment="1">
      <alignment horizontal="center" vertical="center"/>
    </xf>
    <xf numFmtId="176" fontId="0" fillId="0" borderId="108" xfId="0" applyNumberFormat="1" applyFont="1" applyBorder="1" applyAlignment="1">
      <alignment horizontal="center" vertical="center"/>
    </xf>
    <xf numFmtId="176" fontId="0" fillId="0" borderId="47" xfId="0" applyNumberFormat="1" applyFont="1" applyBorder="1" applyAlignment="1">
      <alignment horizontal="center" vertical="center"/>
    </xf>
    <xf numFmtId="176" fontId="0" fillId="0" borderId="174" xfId="0" applyNumberFormat="1" applyFont="1" applyBorder="1" applyAlignment="1">
      <alignment horizontal="center" vertical="center" shrinkToFit="1"/>
    </xf>
    <xf numFmtId="176" fontId="0" fillId="0" borderId="175" xfId="0" applyNumberFormat="1" applyFont="1" applyBorder="1" applyAlignment="1">
      <alignment horizontal="center" vertical="center" shrinkToFit="1"/>
    </xf>
    <xf numFmtId="176" fontId="0" fillId="0" borderId="151" xfId="0" applyNumberFormat="1" applyBorder="1" applyAlignment="1">
      <alignment horizontal="center" vertical="center" textRotation="255" shrinkToFit="1"/>
    </xf>
    <xf numFmtId="176" fontId="0" fillId="0" borderId="152" xfId="0" applyNumberFormat="1" applyBorder="1" applyAlignment="1">
      <alignment horizontal="center" vertical="center" textRotation="255" shrinkToFit="1"/>
    </xf>
    <xf numFmtId="176" fontId="0" fillId="0" borderId="159" xfId="0" applyNumberFormat="1" applyBorder="1" applyAlignment="1">
      <alignment horizontal="center" vertical="center" textRotation="255" shrinkToFit="1"/>
    </xf>
    <xf numFmtId="176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158" xfId="0" applyNumberFormat="1" applyBorder="1" applyAlignment="1">
      <alignment horizontal="center" vertical="center" shrinkToFit="1"/>
    </xf>
    <xf numFmtId="176" fontId="0" fillId="0" borderId="159" xfId="0" applyNumberFormat="1" applyBorder="1" applyAlignment="1">
      <alignment horizontal="center" vertical="center" shrinkToFit="1"/>
    </xf>
    <xf numFmtId="176" fontId="0" fillId="0" borderId="174" xfId="0" applyNumberFormat="1" applyBorder="1" applyAlignment="1">
      <alignment horizontal="center" vertical="center" shrinkToFit="1"/>
    </xf>
    <xf numFmtId="176" fontId="0" fillId="0" borderId="175" xfId="0" applyNumberFormat="1" applyBorder="1" applyAlignment="1">
      <alignment horizontal="center" vertical="center" shrinkToFit="1"/>
    </xf>
    <xf numFmtId="176" fontId="0" fillId="0" borderId="13" xfId="0" applyNumberFormat="1" applyFont="1" applyBorder="1" applyAlignment="1">
      <alignment horizontal="center" vertical="center" shrinkToFit="1"/>
    </xf>
    <xf numFmtId="176" fontId="0" fillId="0" borderId="176" xfId="0" applyNumberFormat="1" applyFont="1" applyBorder="1" applyAlignment="1">
      <alignment horizontal="center" vertical="center" shrinkToFit="1"/>
    </xf>
    <xf numFmtId="177" fontId="0" fillId="0" borderId="12" xfId="0" applyNumberFormat="1" applyFont="1" applyFill="1" applyBorder="1" applyAlignment="1">
      <alignment vertical="center"/>
    </xf>
    <xf numFmtId="177" fontId="0" fillId="0" borderId="57" xfId="0" applyNumberFormat="1" applyFont="1" applyFill="1" applyBorder="1" applyAlignment="1">
      <alignment vertical="center"/>
    </xf>
    <xf numFmtId="177" fontId="0" fillId="0" borderId="61" xfId="0" applyNumberFormat="1" applyFont="1" applyFill="1" applyBorder="1" applyAlignment="1">
      <alignment vertical="center"/>
    </xf>
    <xf numFmtId="177" fontId="0" fillId="0" borderId="82" xfId="0" applyNumberFormat="1" applyFont="1" applyBorder="1" applyAlignment="1">
      <alignment vertical="center"/>
    </xf>
    <xf numFmtId="177" fontId="0" fillId="0" borderId="177" xfId="0" applyNumberFormat="1" applyFont="1" applyBorder="1" applyAlignment="1">
      <alignment vertical="center"/>
    </xf>
    <xf numFmtId="177" fontId="0" fillId="0" borderId="178" xfId="0" applyNumberFormat="1" applyFont="1" applyBorder="1" applyAlignment="1">
      <alignment vertical="center"/>
    </xf>
    <xf numFmtId="177" fontId="0" fillId="0" borderId="12" xfId="0" applyNumberFormat="1" applyFill="1" applyBorder="1" applyAlignment="1">
      <alignment vertical="center" shrinkToFit="1"/>
    </xf>
    <xf numFmtId="177" fontId="0" fillId="0" borderId="57" xfId="0" applyNumberFormat="1" applyFont="1" applyFill="1" applyBorder="1" applyAlignment="1">
      <alignment vertical="center" shrinkToFit="1"/>
    </xf>
    <xf numFmtId="177" fontId="0" fillId="0" borderId="61" xfId="0" applyNumberFormat="1" applyFont="1" applyFill="1" applyBorder="1" applyAlignment="1">
      <alignment vertical="center" shrinkToFit="1"/>
    </xf>
    <xf numFmtId="177" fontId="0" fillId="0" borderId="12" xfId="0" applyNumberFormat="1" applyFont="1" applyBorder="1" applyAlignment="1">
      <alignment vertical="center"/>
    </xf>
    <xf numFmtId="177" fontId="0" fillId="0" borderId="57" xfId="0" applyNumberFormat="1" applyFont="1" applyBorder="1" applyAlignment="1">
      <alignment vertical="center"/>
    </xf>
    <xf numFmtId="177" fontId="0" fillId="0" borderId="61" xfId="0" applyNumberFormat="1" applyFont="1" applyBorder="1" applyAlignment="1">
      <alignment vertical="center"/>
    </xf>
    <xf numFmtId="177" fontId="0" fillId="0" borderId="92" xfId="0" applyNumberFormat="1" applyFont="1" applyFill="1" applyBorder="1" applyAlignment="1">
      <alignment horizontal="center" vertical="center"/>
    </xf>
    <xf numFmtId="177" fontId="0" fillId="0" borderId="95" xfId="0" applyNumberFormat="1" applyFont="1" applyFill="1" applyBorder="1" applyAlignment="1">
      <alignment horizontal="center" vertical="center"/>
    </xf>
    <xf numFmtId="177" fontId="0" fillId="0" borderId="179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57" xfId="0" applyNumberFormat="1" applyFont="1" applyFill="1" applyBorder="1" applyAlignment="1">
      <alignment horizontal="center" vertical="center"/>
    </xf>
    <xf numFmtId="177" fontId="0" fillId="0" borderId="61" xfId="0" applyNumberFormat="1" applyFon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vertical="center" shrinkToFit="1"/>
    </xf>
    <xf numFmtId="177" fontId="0" fillId="0" borderId="61" xfId="0" applyNumberFormat="1" applyFill="1" applyBorder="1" applyAlignment="1">
      <alignment vertical="center" shrinkToFit="1"/>
    </xf>
    <xf numFmtId="177" fontId="0" fillId="0" borderId="180" xfId="0" applyNumberFormat="1" applyBorder="1" applyAlignment="1">
      <alignment horizontal="center" vertical="center" textRotation="255" shrinkToFit="1"/>
    </xf>
    <xf numFmtId="177" fontId="0" fillId="0" borderId="152" xfId="0" applyNumberFormat="1" applyBorder="1" applyAlignment="1">
      <alignment horizontal="center" vertical="center" textRotation="255" shrinkToFit="1"/>
    </xf>
    <xf numFmtId="177" fontId="0" fillId="0" borderId="153" xfId="0" applyNumberFormat="1" applyBorder="1" applyAlignment="1">
      <alignment horizontal="center" vertical="center" textRotation="255" shrinkToFit="1"/>
    </xf>
    <xf numFmtId="177" fontId="0" fillId="0" borderId="12" xfId="0" applyNumberFormat="1" applyFont="1" applyFill="1" applyBorder="1" applyAlignment="1">
      <alignment vertical="center" shrinkToFit="1"/>
    </xf>
    <xf numFmtId="177" fontId="0" fillId="0" borderId="167" xfId="0" applyNumberFormat="1" applyFill="1" applyBorder="1" applyAlignment="1">
      <alignment horizontal="center" vertical="center"/>
    </xf>
    <xf numFmtId="177" fontId="0" fillId="0" borderId="65" xfId="0" applyNumberFormat="1" applyFont="1" applyFill="1" applyBorder="1" applyAlignment="1">
      <alignment horizontal="center" vertical="center"/>
    </xf>
    <xf numFmtId="177" fontId="0" fillId="0" borderId="15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177" fontId="0" fillId="0" borderId="45" xfId="0" applyNumberFormat="1" applyFont="1" applyFill="1" applyBorder="1" applyAlignment="1">
      <alignment horizontal="center" vertical="center" shrinkToFit="1"/>
    </xf>
    <xf numFmtId="177" fontId="0" fillId="0" borderId="111" xfId="0" applyNumberFormat="1" applyFont="1" applyFill="1" applyBorder="1" applyAlignment="1">
      <alignment vertical="center" shrinkToFit="1"/>
    </xf>
    <xf numFmtId="177" fontId="0" fillId="0" borderId="175" xfId="0" applyNumberFormat="1" applyFont="1" applyFill="1" applyBorder="1" applyAlignment="1">
      <alignment vertical="center" shrinkToFit="1"/>
    </xf>
    <xf numFmtId="177" fontId="0" fillId="0" borderId="109" xfId="0" applyNumberFormat="1" applyFont="1" applyFill="1" applyBorder="1" applyAlignment="1">
      <alignment vertical="center" shrinkToFit="1"/>
    </xf>
    <xf numFmtId="177" fontId="0" fillId="0" borderId="103" xfId="0" applyNumberFormat="1" applyFont="1" applyBorder="1" applyAlignment="1">
      <alignment horizontal="center" vertical="center" shrinkToFit="1"/>
    </xf>
    <xf numFmtId="177" fontId="0" fillId="0" borderId="14" xfId="0" applyNumberFormat="1" applyFont="1" applyBorder="1" applyAlignment="1">
      <alignment horizontal="center" vertical="center" shrinkToFit="1"/>
    </xf>
    <xf numFmtId="177" fontId="0" fillId="33" borderId="52" xfId="0" applyNumberFormat="1" applyFont="1" applyFill="1" applyBorder="1" applyAlignment="1">
      <alignment horizontal="right" vertical="center" shrinkToFit="1"/>
    </xf>
    <xf numFmtId="177" fontId="0" fillId="33" borderId="56" xfId="0" applyNumberFormat="1" applyFont="1" applyFill="1" applyBorder="1" applyAlignment="1">
      <alignment horizontal="right" vertical="center" shrinkToFit="1"/>
    </xf>
    <xf numFmtId="177" fontId="0" fillId="0" borderId="92" xfId="0" applyNumberFormat="1" applyFont="1" applyFill="1" applyBorder="1" applyAlignment="1">
      <alignment horizontal="center" vertical="center" shrinkToFit="1"/>
    </xf>
    <xf numFmtId="177" fontId="0" fillId="0" borderId="95" xfId="0" applyNumberFormat="1" applyFont="1" applyFill="1" applyBorder="1" applyAlignment="1">
      <alignment horizontal="center" vertical="center" shrinkToFit="1"/>
    </xf>
    <xf numFmtId="177" fontId="0" fillId="0" borderId="179" xfId="0" applyNumberFormat="1" applyFont="1" applyFill="1" applyBorder="1" applyAlignment="1">
      <alignment horizontal="center" vertical="center" shrinkToFit="1"/>
    </xf>
    <xf numFmtId="0" fontId="0" fillId="0" borderId="181" xfId="0" applyFill="1" applyBorder="1" applyAlignment="1">
      <alignment horizontal="center" vertical="center" textRotation="255" wrapText="1"/>
    </xf>
    <xf numFmtId="0" fontId="0" fillId="0" borderId="31" xfId="0" applyFont="1" applyFill="1" applyBorder="1" applyAlignment="1">
      <alignment horizontal="center" vertical="center" textRotation="255" wrapText="1"/>
    </xf>
    <xf numFmtId="0" fontId="0" fillId="0" borderId="123" xfId="0" applyFont="1" applyFill="1" applyBorder="1" applyAlignment="1">
      <alignment horizontal="center" vertical="center" textRotation="255" wrapText="1"/>
    </xf>
    <xf numFmtId="0" fontId="0" fillId="33" borderId="71" xfId="0" applyFill="1" applyBorder="1" applyAlignment="1">
      <alignment horizontal="left" vertical="center"/>
    </xf>
    <xf numFmtId="0" fontId="0" fillId="33" borderId="29" xfId="0" applyFont="1" applyFill="1" applyBorder="1" applyAlignment="1">
      <alignment horizontal="left" vertical="center"/>
    </xf>
    <xf numFmtId="177" fontId="0" fillId="33" borderId="128" xfId="0" applyNumberFormat="1" applyFill="1" applyBorder="1" applyAlignment="1">
      <alignment horizontal="center" vertical="center" shrinkToFit="1"/>
    </xf>
    <xf numFmtId="177" fontId="0" fillId="33" borderId="182" xfId="0" applyNumberFormat="1" applyFill="1" applyBorder="1" applyAlignment="1">
      <alignment horizontal="center" vertical="center" shrinkToFit="1"/>
    </xf>
    <xf numFmtId="177" fontId="0" fillId="0" borderId="183" xfId="67" applyNumberFormat="1" applyFont="1" applyBorder="1" applyAlignment="1">
      <alignment horizontal="center" vertical="center" shrinkToFit="1"/>
      <protection/>
    </xf>
    <xf numFmtId="177" fontId="0" fillId="0" borderId="167" xfId="0" applyNumberFormat="1" applyFont="1" applyBorder="1" applyAlignment="1">
      <alignment horizontal="center" vertical="center" shrinkToFit="1"/>
    </xf>
    <xf numFmtId="177" fontId="0" fillId="0" borderId="65" xfId="0" applyNumberFormat="1" applyFont="1" applyBorder="1" applyAlignment="1">
      <alignment horizontal="center" vertical="center" shrinkToFit="1"/>
    </xf>
    <xf numFmtId="177" fontId="0" fillId="0" borderId="155" xfId="0" applyNumberFormat="1" applyFont="1" applyBorder="1" applyAlignment="1">
      <alignment horizontal="center" vertical="center" shrinkToFit="1"/>
    </xf>
    <xf numFmtId="177" fontId="0" fillId="0" borderId="111" xfId="0" applyNumberFormat="1" applyFill="1" applyBorder="1" applyAlignment="1">
      <alignment horizontal="center" vertical="center" textRotation="255" shrinkToFit="1"/>
    </xf>
    <xf numFmtId="177" fontId="0" fillId="0" borderId="109" xfId="0" applyNumberFormat="1" applyFill="1" applyBorder="1" applyAlignment="1">
      <alignment horizontal="center" vertical="center" textRotation="255" shrinkToFit="1"/>
    </xf>
    <xf numFmtId="177" fontId="0" fillId="0" borderId="175" xfId="0" applyNumberFormat="1" applyFill="1" applyBorder="1" applyAlignment="1">
      <alignment horizontal="center" vertical="center" textRotation="255" shrinkToFit="1"/>
    </xf>
    <xf numFmtId="177" fontId="0" fillId="0" borderId="184" xfId="0" applyNumberFormat="1" applyBorder="1" applyAlignment="1">
      <alignment horizontal="center" vertical="center" textRotation="255" shrinkToFit="1"/>
    </xf>
    <xf numFmtId="177" fontId="0" fillId="0" borderId="97" xfId="0" applyNumberFormat="1" applyBorder="1" applyAlignment="1">
      <alignment horizontal="center" vertical="center" textRotation="255" shrinkToFit="1"/>
    </xf>
    <xf numFmtId="177" fontId="0" fillId="0" borderId="185" xfId="0" applyNumberFormat="1" applyBorder="1" applyAlignment="1">
      <alignment horizontal="center" vertical="center" textRotation="255" shrinkToFit="1"/>
    </xf>
    <xf numFmtId="177" fontId="0" fillId="0" borderId="170" xfId="67" applyNumberFormat="1" applyFont="1" applyBorder="1" applyAlignment="1">
      <alignment horizontal="center" vertical="center" textRotation="255"/>
      <protection/>
    </xf>
    <xf numFmtId="177" fontId="0" fillId="0" borderId="171" xfId="67" applyNumberFormat="1" applyFont="1" applyBorder="1" applyAlignment="1">
      <alignment horizontal="center" vertical="center" textRotation="255"/>
      <protection/>
    </xf>
    <xf numFmtId="177" fontId="0" fillId="0" borderId="172" xfId="67" applyNumberFormat="1" applyFont="1" applyBorder="1" applyAlignment="1">
      <alignment horizontal="center" vertical="center" textRotation="255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/>
    </xf>
    <xf numFmtId="177" fontId="0" fillId="33" borderId="80" xfId="0" applyNumberFormat="1" applyFont="1" applyFill="1" applyBorder="1" applyAlignment="1">
      <alignment horizontal="center" vertical="center" shrinkToFit="1"/>
    </xf>
    <xf numFmtId="177" fontId="0" fillId="33" borderId="81" xfId="0" applyNumberFormat="1" applyFont="1" applyFill="1" applyBorder="1" applyAlignment="1">
      <alignment horizontal="center" vertical="center" shrinkToFit="1"/>
    </xf>
    <xf numFmtId="3" fontId="0" fillId="0" borderId="186" xfId="68" applyNumberFormat="1" applyFont="1" applyFill="1" applyBorder="1" applyAlignment="1">
      <alignment horizontal="center" vertical="center" shrinkToFit="1"/>
      <protection/>
    </xf>
    <xf numFmtId="3" fontId="0" fillId="0" borderId="31" xfId="68" applyNumberFormat="1" applyFont="1" applyFill="1" applyBorder="1" applyAlignment="1">
      <alignment horizontal="center" vertical="center" shrinkToFit="1"/>
      <protection/>
    </xf>
    <xf numFmtId="3" fontId="0" fillId="0" borderId="40" xfId="68" applyNumberFormat="1" applyFont="1" applyFill="1" applyBorder="1" applyAlignment="1">
      <alignment horizontal="center" vertical="center" shrinkToFit="1"/>
      <protection/>
    </xf>
    <xf numFmtId="177" fontId="0" fillId="0" borderId="187" xfId="67" applyNumberFormat="1" applyFont="1" applyBorder="1" applyAlignment="1">
      <alignment horizontal="center" vertical="center" shrinkToFit="1"/>
      <protection/>
    </xf>
    <xf numFmtId="177" fontId="0" fillId="0" borderId="171" xfId="67" applyNumberFormat="1" applyFont="1" applyBorder="1" applyAlignment="1">
      <alignment horizontal="center" vertical="center" shrinkToFit="1"/>
      <protection/>
    </xf>
    <xf numFmtId="177" fontId="0" fillId="0" borderId="188" xfId="67" applyNumberFormat="1" applyFont="1" applyBorder="1" applyAlignment="1">
      <alignment horizontal="center" vertical="center" shrinkToFit="1"/>
      <protection/>
    </xf>
    <xf numFmtId="177" fontId="0" fillId="33" borderId="16" xfId="0" applyNumberFormat="1" applyFont="1" applyFill="1" applyBorder="1" applyAlignment="1">
      <alignment horizontal="center" vertical="center" shrinkToFit="1"/>
    </xf>
    <xf numFmtId="177" fontId="0" fillId="33" borderId="17" xfId="0" applyNumberFormat="1" applyFont="1" applyFill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vertical="center"/>
    </xf>
    <xf numFmtId="176" fontId="0" fillId="33" borderId="82" xfId="0" applyNumberFormat="1" applyFont="1" applyFill="1" applyBorder="1" applyAlignment="1">
      <alignment horizontal="center" vertical="center" shrinkToFit="1"/>
    </xf>
    <xf numFmtId="176" fontId="0" fillId="33" borderId="17" xfId="0" applyNumberFormat="1" applyFont="1" applyFill="1" applyBorder="1" applyAlignment="1">
      <alignment horizontal="center" vertical="center" shrinkToFit="1"/>
    </xf>
    <xf numFmtId="177" fontId="0" fillId="0" borderId="189" xfId="67" applyNumberFormat="1" applyFont="1" applyBorder="1" applyAlignment="1">
      <alignment horizontal="center" vertical="center" textRotation="255" shrinkToFit="1"/>
      <protection/>
    </xf>
    <xf numFmtId="177" fontId="0" fillId="0" borderId="133" xfId="67" applyNumberFormat="1" applyFont="1" applyBorder="1" applyAlignment="1">
      <alignment horizontal="center" vertical="center" textRotation="255" shrinkToFit="1"/>
      <protection/>
    </xf>
    <xf numFmtId="177" fontId="0" fillId="0" borderId="190" xfId="67" applyNumberFormat="1" applyFont="1" applyBorder="1" applyAlignment="1">
      <alignment horizontal="center" vertical="center" textRotation="255" shrinkToFit="1"/>
      <protection/>
    </xf>
    <xf numFmtId="177" fontId="0" fillId="33" borderId="82" xfId="0" applyNumberFormat="1" applyFont="1" applyFill="1" applyBorder="1" applyAlignment="1">
      <alignment horizontal="center" vertical="center" shrinkToFit="1"/>
    </xf>
    <xf numFmtId="177" fontId="0" fillId="0" borderId="12" xfId="0" applyNumberFormat="1" applyFont="1" applyBorder="1" applyAlignment="1">
      <alignment horizontal="center" vertical="center" shrinkToFit="1"/>
    </xf>
    <xf numFmtId="177" fontId="0" fillId="0" borderId="58" xfId="0" applyNumberFormat="1" applyFont="1" applyBorder="1" applyAlignment="1">
      <alignment horizontal="center" vertical="center" shrinkToFit="1"/>
    </xf>
    <xf numFmtId="176" fontId="0" fillId="0" borderId="191" xfId="0" applyNumberFormat="1" applyFont="1" applyBorder="1" applyAlignment="1">
      <alignment horizontal="center" vertical="center" textRotation="255" shrinkToFit="1"/>
    </xf>
    <xf numFmtId="176" fontId="0" fillId="0" borderId="140" xfId="0" applyNumberFormat="1" applyFont="1" applyBorder="1" applyAlignment="1">
      <alignment horizontal="center" vertical="center" textRotation="255" shrinkToFit="1"/>
    </xf>
    <xf numFmtId="176" fontId="0" fillId="0" borderId="192" xfId="0" applyNumberFormat="1" applyFont="1" applyBorder="1" applyAlignment="1">
      <alignment horizontal="center" vertical="center" textRotation="255" shrinkToFit="1"/>
    </xf>
    <xf numFmtId="177" fontId="0" fillId="0" borderId="22" xfId="67" applyNumberFormat="1" applyFont="1" applyBorder="1" applyAlignment="1">
      <alignment horizontal="center" vertical="center" shrinkToFit="1"/>
      <protection/>
    </xf>
    <xf numFmtId="176" fontId="0" fillId="0" borderId="19" xfId="0" applyNumberFormat="1" applyFont="1" applyBorder="1" applyAlignment="1">
      <alignment horizontal="center" vertical="center" shrinkToFit="1"/>
    </xf>
    <xf numFmtId="176" fontId="0" fillId="0" borderId="40" xfId="0" applyNumberFormat="1" applyFont="1" applyBorder="1" applyAlignment="1">
      <alignment horizontal="center" vertical="center" shrinkToFit="1"/>
    </xf>
    <xf numFmtId="176" fontId="0" fillId="0" borderId="170" xfId="0" applyNumberFormat="1" applyFont="1" applyBorder="1" applyAlignment="1">
      <alignment horizontal="center" vertical="center" textRotation="255" shrinkToFit="1"/>
    </xf>
    <xf numFmtId="176" fontId="0" fillId="0" borderId="173" xfId="0" applyNumberFormat="1" applyFont="1" applyBorder="1" applyAlignment="1">
      <alignment horizontal="center" vertical="center" textRotation="255" shrinkToFit="1"/>
    </xf>
    <xf numFmtId="177" fontId="0" fillId="0" borderId="66" xfId="0" applyNumberFormat="1" applyFont="1" applyBorder="1" applyAlignment="1">
      <alignment horizontal="center" vertical="center" shrinkToFit="1"/>
    </xf>
    <xf numFmtId="176" fontId="0" fillId="0" borderId="19" xfId="0" applyNumberFormat="1" applyFont="1" applyFill="1" applyBorder="1" applyAlignment="1">
      <alignment horizontal="center" vertical="center" shrinkToFit="1"/>
    </xf>
    <xf numFmtId="176" fontId="0" fillId="0" borderId="40" xfId="0" applyNumberFormat="1" applyFont="1" applyFill="1" applyBorder="1" applyAlignment="1">
      <alignment horizontal="center" vertical="center" shrinkToFit="1"/>
    </xf>
    <xf numFmtId="176" fontId="0" fillId="0" borderId="104" xfId="0" applyNumberFormat="1" applyFont="1" applyBorder="1" applyAlignment="1">
      <alignment horizontal="center" vertical="center" shrinkToFit="1"/>
    </xf>
    <xf numFmtId="176" fontId="0" fillId="0" borderId="35" xfId="0" applyNumberFormat="1" applyFont="1" applyBorder="1" applyAlignment="1">
      <alignment horizontal="center" vertical="center" shrinkToFit="1"/>
    </xf>
    <xf numFmtId="176" fontId="0" fillId="33" borderId="99" xfId="0" applyNumberFormat="1" applyFont="1" applyFill="1" applyBorder="1" applyAlignment="1">
      <alignment vertical="center" shrinkToFit="1"/>
    </xf>
    <xf numFmtId="176" fontId="0" fillId="0" borderId="99" xfId="0" applyNumberFormat="1" applyFont="1" applyBorder="1" applyAlignment="1">
      <alignment vertical="center"/>
    </xf>
    <xf numFmtId="176" fontId="0" fillId="0" borderId="100" xfId="0" applyNumberFormat="1" applyFont="1" applyBorder="1" applyAlignment="1">
      <alignment vertical="center"/>
    </xf>
    <xf numFmtId="176" fontId="0" fillId="0" borderId="180" xfId="0" applyNumberFormat="1" applyFont="1" applyBorder="1" applyAlignment="1">
      <alignment horizontal="center" vertical="center" textRotation="255" shrinkToFit="1"/>
    </xf>
    <xf numFmtId="176" fontId="0" fillId="0" borderId="152" xfId="0" applyNumberFormat="1" applyFont="1" applyBorder="1" applyAlignment="1">
      <alignment horizontal="center" vertical="center" textRotation="255" shrinkToFit="1"/>
    </xf>
    <xf numFmtId="176" fontId="0" fillId="0" borderId="153" xfId="0" applyNumberFormat="1" applyFont="1" applyBorder="1" applyAlignment="1">
      <alignment horizontal="center" vertical="center" textRotation="255" shrinkToFit="1"/>
    </xf>
    <xf numFmtId="176" fontId="0" fillId="0" borderId="193" xfId="0" applyNumberFormat="1" applyFont="1" applyBorder="1" applyAlignment="1">
      <alignment horizontal="center" vertical="center" textRotation="255" shrinkToFit="1"/>
    </xf>
    <xf numFmtId="176" fontId="0" fillId="0" borderId="151" xfId="0" applyNumberFormat="1" applyFont="1" applyBorder="1" applyAlignment="1">
      <alignment horizontal="center" vertical="center" textRotation="255" shrinkToFit="1"/>
    </xf>
    <xf numFmtId="177" fontId="0" fillId="0" borderId="194" xfId="67" applyNumberFormat="1" applyFont="1" applyBorder="1" applyAlignment="1">
      <alignment horizontal="center" vertical="center" textRotation="255" shrinkToFit="1"/>
      <protection/>
    </xf>
    <xf numFmtId="176" fontId="0" fillId="0" borderId="195" xfId="67" applyNumberFormat="1" applyFont="1" applyFill="1" applyBorder="1" applyAlignment="1">
      <alignment vertical="center" shrinkToFit="1"/>
      <protection/>
    </xf>
    <xf numFmtId="176" fontId="0" fillId="0" borderId="196" xfId="67" applyNumberFormat="1" applyFont="1" applyFill="1" applyBorder="1" applyAlignment="1">
      <alignment vertical="center" shrinkToFit="1"/>
      <protection/>
    </xf>
    <xf numFmtId="176" fontId="0" fillId="0" borderId="85" xfId="67" applyNumberFormat="1" applyFont="1" applyFill="1" applyBorder="1" applyAlignment="1">
      <alignment vertical="center" shrinkToFit="1"/>
      <protection/>
    </xf>
    <xf numFmtId="176" fontId="0" fillId="0" borderId="110" xfId="67" applyNumberFormat="1" applyFont="1" applyFill="1" applyBorder="1" applyAlignment="1">
      <alignment vertical="center" shrinkToFit="1"/>
      <protection/>
    </xf>
    <xf numFmtId="176" fontId="0" fillId="0" borderId="24" xfId="67" applyNumberFormat="1" applyFont="1" applyFill="1" applyBorder="1" applyAlignment="1">
      <alignment vertical="center" shrinkToFit="1"/>
      <protection/>
    </xf>
    <xf numFmtId="176" fontId="0" fillId="0" borderId="25" xfId="67" applyNumberFormat="1" applyFont="1" applyFill="1" applyBorder="1" applyAlignment="1">
      <alignment vertical="center" shrinkToFit="1"/>
      <protection/>
    </xf>
    <xf numFmtId="176" fontId="0" fillId="0" borderId="24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33" borderId="37" xfId="0" applyNumberFormat="1" applyFont="1" applyFill="1" applyBorder="1" applyAlignment="1">
      <alignment vertical="center" shrinkToFit="1"/>
    </xf>
    <xf numFmtId="176" fontId="0" fillId="0" borderId="37" xfId="0" applyNumberFormat="1" applyFont="1" applyBorder="1" applyAlignment="1">
      <alignment vertical="center"/>
    </xf>
    <xf numFmtId="176" fontId="0" fillId="0" borderId="197" xfId="0" applyNumberFormat="1" applyFont="1" applyBorder="1" applyAlignment="1">
      <alignment horizontal="center" vertical="center" textRotation="255" shrinkToFit="1"/>
    </xf>
    <xf numFmtId="176" fontId="0" fillId="0" borderId="198" xfId="0" applyNumberFormat="1" applyFont="1" applyBorder="1" applyAlignment="1">
      <alignment horizontal="center" vertical="center" textRotation="255" shrinkToFit="1"/>
    </xf>
    <xf numFmtId="176" fontId="0" fillId="0" borderId="199" xfId="0" applyNumberFormat="1" applyFont="1" applyBorder="1" applyAlignment="1">
      <alignment horizontal="center" vertical="center" textRotation="255" shrinkToFit="1"/>
    </xf>
    <xf numFmtId="177" fontId="0" fillId="0" borderId="194" xfId="67" applyNumberFormat="1" applyFont="1" applyBorder="1" applyAlignment="1">
      <alignment horizontal="center" vertical="center" shrinkToFit="1"/>
      <protection/>
    </xf>
    <xf numFmtId="177" fontId="0" fillId="0" borderId="200" xfId="67" applyNumberFormat="1" applyFont="1" applyBorder="1" applyAlignment="1">
      <alignment horizontal="center" vertical="center" shrinkToFit="1"/>
      <protection/>
    </xf>
    <xf numFmtId="177" fontId="0" fillId="0" borderId="171" xfId="67" applyNumberFormat="1" applyFont="1" applyBorder="1" applyAlignment="1">
      <alignment horizontal="center" vertical="center" textRotation="255" shrinkToFit="1"/>
      <protection/>
    </xf>
    <xf numFmtId="177" fontId="0" fillId="0" borderId="200" xfId="67" applyNumberFormat="1" applyFont="1" applyBorder="1" applyAlignment="1">
      <alignment horizontal="center" vertical="center" textRotation="255" shrinkToFit="1"/>
      <protection/>
    </xf>
    <xf numFmtId="177" fontId="0" fillId="0" borderId="20" xfId="67" applyNumberFormat="1" applyFont="1" applyBorder="1" applyAlignment="1">
      <alignment horizontal="center" vertical="center" shrinkToFit="1"/>
      <protection/>
    </xf>
    <xf numFmtId="177" fontId="0" fillId="0" borderId="21" xfId="67" applyNumberFormat="1" applyFont="1" applyBorder="1" applyAlignment="1">
      <alignment horizontal="center" vertical="center" shrinkToFit="1"/>
      <protection/>
    </xf>
    <xf numFmtId="176" fontId="0" fillId="0" borderId="201" xfId="0" applyNumberFormat="1" applyFont="1" applyBorder="1" applyAlignment="1">
      <alignment horizontal="center" vertical="center" textRotation="255" shrinkToFit="1"/>
    </xf>
    <xf numFmtId="0" fontId="1" fillId="0" borderId="14" xfId="66" applyFont="1" applyFill="1" applyBorder="1" applyAlignment="1">
      <alignment vertical="center" wrapText="1"/>
      <protection/>
    </xf>
    <xf numFmtId="0" fontId="1" fillId="0" borderId="74" xfId="66" applyFont="1" applyFill="1" applyBorder="1" applyAlignment="1">
      <alignment vertical="center" wrapText="1"/>
      <protection/>
    </xf>
    <xf numFmtId="0" fontId="0" fillId="0" borderId="14" xfId="66" applyFont="1" applyFill="1" applyBorder="1" applyAlignment="1">
      <alignment horizontal="center" vertical="center" shrinkToFi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_◇類型12（水稲24・大豆12・ぶどう4）" xfId="66"/>
    <cellStyle name="標準_水稲(24ha規模)＋大豆(6ｈａ)＋きゃべつ" xfId="67"/>
    <cellStyle name="標準_野菜計画(最終 ｱｽﾊﾟﾗ+ｺﾏﾂﾅ)" xfId="68"/>
    <cellStyle name="Followed Hyperlink" xfId="69"/>
    <cellStyle name="未定義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9525</xdr:colOff>
      <xdr:row>20</xdr:row>
      <xdr:rowOff>0</xdr:rowOff>
    </xdr:from>
    <xdr:to>
      <xdr:col>28</xdr:col>
      <xdr:colOff>9525</xdr:colOff>
      <xdr:row>21</xdr:row>
      <xdr:rowOff>0</xdr:rowOff>
    </xdr:to>
    <xdr:sp>
      <xdr:nvSpPr>
        <xdr:cNvPr id="1" name="Rectangle 8" descr="10%"/>
        <xdr:cNvSpPr>
          <a:spLocks/>
        </xdr:cNvSpPr>
      </xdr:nvSpPr>
      <xdr:spPr>
        <a:xfrm>
          <a:off x="8715375" y="5029200"/>
          <a:ext cx="533400" cy="24765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209550</xdr:colOff>
      <xdr:row>12</xdr:row>
      <xdr:rowOff>133350</xdr:rowOff>
    </xdr:from>
    <xdr:to>
      <xdr:col>31</xdr:col>
      <xdr:colOff>9525</xdr:colOff>
      <xdr:row>12</xdr:row>
      <xdr:rowOff>133350</xdr:rowOff>
    </xdr:to>
    <xdr:sp>
      <xdr:nvSpPr>
        <xdr:cNvPr id="2" name="Line 5"/>
        <xdr:cNvSpPr>
          <a:spLocks/>
        </xdr:cNvSpPr>
      </xdr:nvSpPr>
      <xdr:spPr>
        <a:xfrm>
          <a:off x="7315200" y="3181350"/>
          <a:ext cx="273367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200025</xdr:colOff>
      <xdr:row>12</xdr:row>
      <xdr:rowOff>123825</xdr:rowOff>
    </xdr:from>
    <xdr:to>
      <xdr:col>18</xdr:col>
      <xdr:colOff>66675</xdr:colOff>
      <xdr:row>12</xdr:row>
      <xdr:rowOff>123825</xdr:rowOff>
    </xdr:to>
    <xdr:sp>
      <xdr:nvSpPr>
        <xdr:cNvPr id="3" name="Line 4"/>
        <xdr:cNvSpPr>
          <a:spLocks/>
        </xdr:cNvSpPr>
      </xdr:nvSpPr>
      <xdr:spPr>
        <a:xfrm>
          <a:off x="6238875" y="3171825"/>
          <a:ext cx="4000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190500</xdr:colOff>
      <xdr:row>12</xdr:row>
      <xdr:rowOff>133350</xdr:rowOff>
    </xdr:from>
    <xdr:to>
      <xdr:col>20</xdr:col>
      <xdr:colOff>57150</xdr:colOff>
      <xdr:row>12</xdr:row>
      <xdr:rowOff>133350</xdr:rowOff>
    </xdr:to>
    <xdr:sp>
      <xdr:nvSpPr>
        <xdr:cNvPr id="4" name="Line 15"/>
        <xdr:cNvSpPr>
          <a:spLocks/>
        </xdr:cNvSpPr>
      </xdr:nvSpPr>
      <xdr:spPr>
        <a:xfrm flipV="1">
          <a:off x="6762750" y="3181350"/>
          <a:ext cx="4000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200025</xdr:colOff>
      <xdr:row>12</xdr:row>
      <xdr:rowOff>123825</xdr:rowOff>
    </xdr:from>
    <xdr:to>
      <xdr:col>16</xdr:col>
      <xdr:colOff>47625</xdr:colOff>
      <xdr:row>12</xdr:row>
      <xdr:rowOff>123825</xdr:rowOff>
    </xdr:to>
    <xdr:sp>
      <xdr:nvSpPr>
        <xdr:cNvPr id="5" name="Line 16"/>
        <xdr:cNvSpPr>
          <a:spLocks/>
        </xdr:cNvSpPr>
      </xdr:nvSpPr>
      <xdr:spPr>
        <a:xfrm>
          <a:off x="5972175" y="3171825"/>
          <a:ext cx="1143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219075</xdr:colOff>
      <xdr:row>13</xdr:row>
      <xdr:rowOff>133350</xdr:rowOff>
    </xdr:from>
    <xdr:to>
      <xdr:col>31</xdr:col>
      <xdr:colOff>9525</xdr:colOff>
      <xdr:row>13</xdr:row>
      <xdr:rowOff>133350</xdr:rowOff>
    </xdr:to>
    <xdr:sp>
      <xdr:nvSpPr>
        <xdr:cNvPr id="6" name="Line 5"/>
        <xdr:cNvSpPr>
          <a:spLocks/>
        </xdr:cNvSpPr>
      </xdr:nvSpPr>
      <xdr:spPr>
        <a:xfrm>
          <a:off x="7058025" y="3429000"/>
          <a:ext cx="29908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219075</xdr:colOff>
      <xdr:row>13</xdr:row>
      <xdr:rowOff>133350</xdr:rowOff>
    </xdr:from>
    <xdr:to>
      <xdr:col>19</xdr:col>
      <xdr:colOff>38100</xdr:colOff>
      <xdr:row>13</xdr:row>
      <xdr:rowOff>133350</xdr:rowOff>
    </xdr:to>
    <xdr:sp>
      <xdr:nvSpPr>
        <xdr:cNvPr id="7" name="Line 16"/>
        <xdr:cNvSpPr>
          <a:spLocks/>
        </xdr:cNvSpPr>
      </xdr:nvSpPr>
      <xdr:spPr>
        <a:xfrm>
          <a:off x="5991225" y="3429000"/>
          <a:ext cx="885825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12</xdr:row>
      <xdr:rowOff>57150</xdr:rowOff>
    </xdr:from>
    <xdr:to>
      <xdr:col>34</xdr:col>
      <xdr:colOff>0</xdr:colOff>
      <xdr:row>12</xdr:row>
      <xdr:rowOff>200025</xdr:rowOff>
    </xdr:to>
    <xdr:sp>
      <xdr:nvSpPr>
        <xdr:cNvPr id="8" name="Rectangle 8" descr="10%"/>
        <xdr:cNvSpPr>
          <a:spLocks/>
        </xdr:cNvSpPr>
      </xdr:nvSpPr>
      <xdr:spPr>
        <a:xfrm>
          <a:off x="10039350" y="3105150"/>
          <a:ext cx="800100" cy="15240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13</xdr:row>
      <xdr:rowOff>57150</xdr:rowOff>
    </xdr:from>
    <xdr:to>
      <xdr:col>31</xdr:col>
      <xdr:colOff>257175</xdr:colOff>
      <xdr:row>13</xdr:row>
      <xdr:rowOff>200025</xdr:rowOff>
    </xdr:to>
    <xdr:sp>
      <xdr:nvSpPr>
        <xdr:cNvPr id="9" name="Rectangle 8" descr="10%"/>
        <xdr:cNvSpPr>
          <a:spLocks/>
        </xdr:cNvSpPr>
      </xdr:nvSpPr>
      <xdr:spPr>
        <a:xfrm>
          <a:off x="10039350" y="3352800"/>
          <a:ext cx="257175" cy="152400"/>
        </a:xfrm>
        <a:prstGeom prst="rect">
          <a:avLst/>
        </a:prstGeom>
        <a:solidFill>
          <a:srgbClr val="0000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AP3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.625" style="114" customWidth="1"/>
    <col min="2" max="3" width="7.625" style="114" customWidth="1"/>
    <col min="4" max="6" width="9.00390625" style="114" customWidth="1"/>
    <col min="7" max="7" width="3.50390625" style="114" customWidth="1"/>
    <col min="8" max="8" width="3.625" style="114" customWidth="1"/>
    <col min="9" max="9" width="3.75390625" style="114" customWidth="1"/>
    <col min="10" max="42" width="3.50390625" style="114" customWidth="1"/>
    <col min="43" max="43" width="1.37890625" style="114" customWidth="1"/>
    <col min="44" max="16384" width="9.00390625" style="114" customWidth="1"/>
  </cols>
  <sheetData>
    <row r="1" spans="2:12" ht="9.75" customHeight="1" thickBo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30" ht="39.75" customHeight="1" thickBot="1">
      <c r="A2" s="117"/>
      <c r="B2" s="118" t="s">
        <v>361</v>
      </c>
      <c r="C2" s="569" t="s">
        <v>362</v>
      </c>
      <c r="D2" s="570"/>
      <c r="E2" s="374" t="s">
        <v>74</v>
      </c>
      <c r="F2" s="571" t="s">
        <v>379</v>
      </c>
      <c r="G2" s="572"/>
      <c r="H2" s="572"/>
      <c r="I2" s="572"/>
      <c r="J2" s="572"/>
      <c r="K2" s="572"/>
      <c r="L2" s="572"/>
      <c r="M2" s="572"/>
      <c r="N2" s="570"/>
      <c r="O2" s="558" t="s">
        <v>75</v>
      </c>
      <c r="P2" s="559"/>
      <c r="Q2" s="560"/>
      <c r="R2" s="561" t="s">
        <v>417</v>
      </c>
      <c r="S2" s="562"/>
      <c r="T2" s="562"/>
      <c r="U2" s="562"/>
      <c r="V2" s="563" t="s">
        <v>76</v>
      </c>
      <c r="W2" s="562"/>
      <c r="X2" s="562"/>
      <c r="Y2" s="555" t="s">
        <v>363</v>
      </c>
      <c r="Z2" s="556"/>
      <c r="AA2" s="557"/>
      <c r="AB2" s="119"/>
      <c r="AC2" s="119"/>
      <c r="AD2" s="119"/>
    </row>
    <row r="3" ht="9.75" customHeight="1">
      <c r="B3" s="120"/>
    </row>
    <row r="4" ht="24.75" customHeight="1" thickBot="1">
      <c r="B4" s="114" t="s">
        <v>118</v>
      </c>
    </row>
    <row r="5" spans="2:38" ht="19.5" customHeight="1">
      <c r="B5" s="574" t="s">
        <v>119</v>
      </c>
      <c r="C5" s="511"/>
      <c r="D5" s="575"/>
      <c r="E5" s="576"/>
      <c r="F5" s="576"/>
      <c r="G5" s="577"/>
      <c r="H5" s="513" t="s">
        <v>77</v>
      </c>
      <c r="I5" s="511"/>
      <c r="J5" s="511"/>
      <c r="K5" s="511"/>
      <c r="L5" s="511"/>
      <c r="M5" s="511"/>
      <c r="N5" s="511"/>
      <c r="O5" s="511"/>
      <c r="P5" s="511"/>
      <c r="Q5" s="511"/>
      <c r="R5" s="511"/>
      <c r="S5" s="511"/>
      <c r="T5" s="511"/>
      <c r="U5" s="511"/>
      <c r="V5" s="511"/>
      <c r="W5" s="511"/>
      <c r="X5" s="511"/>
      <c r="Y5" s="511"/>
      <c r="Z5" s="511"/>
      <c r="AA5" s="512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27" ht="19.5" customHeight="1">
      <c r="B6" s="534" t="s">
        <v>78</v>
      </c>
      <c r="C6" s="535"/>
      <c r="D6" s="535"/>
      <c r="E6" s="535"/>
      <c r="F6" s="535"/>
      <c r="G6" s="545"/>
      <c r="H6" s="545" t="s">
        <v>79</v>
      </c>
      <c r="I6" s="546"/>
      <c r="J6" s="546"/>
      <c r="K6" s="546"/>
      <c r="L6" s="546"/>
      <c r="M6" s="546"/>
      <c r="N6" s="545" t="s">
        <v>80</v>
      </c>
      <c r="O6" s="546"/>
      <c r="P6" s="546"/>
      <c r="Q6" s="545" t="s">
        <v>81</v>
      </c>
      <c r="R6" s="546"/>
      <c r="S6" s="546"/>
      <c r="T6" s="546"/>
      <c r="U6" s="546"/>
      <c r="V6" s="546"/>
      <c r="W6" s="546"/>
      <c r="X6" s="547"/>
      <c r="Y6" s="546" t="s">
        <v>82</v>
      </c>
      <c r="Z6" s="546"/>
      <c r="AA6" s="573"/>
    </row>
    <row r="7" spans="2:27" ht="19.5" customHeight="1">
      <c r="B7" s="507" t="s">
        <v>83</v>
      </c>
      <c r="C7" s="538"/>
      <c r="D7" s="548" t="s">
        <v>364</v>
      </c>
      <c r="E7" s="494"/>
      <c r="F7" s="494"/>
      <c r="G7" s="494"/>
      <c r="H7" s="549" t="s">
        <v>10</v>
      </c>
      <c r="I7" s="550"/>
      <c r="J7" s="550"/>
      <c r="K7" s="550"/>
      <c r="L7" s="550"/>
      <c r="M7" s="551"/>
      <c r="N7" s="552">
        <f>SUM(F13:F15)</f>
        <v>30</v>
      </c>
      <c r="O7" s="553"/>
      <c r="P7" s="554"/>
      <c r="Q7" s="564"/>
      <c r="R7" s="565"/>
      <c r="S7" s="565"/>
      <c r="T7" s="565"/>
      <c r="U7" s="565"/>
      <c r="V7" s="565"/>
      <c r="W7" s="565"/>
      <c r="X7" s="566"/>
      <c r="Y7" s="567"/>
      <c r="Z7" s="567"/>
      <c r="AA7" s="568"/>
    </row>
    <row r="8" spans="2:27" ht="19.5" customHeight="1">
      <c r="B8" s="534" t="s">
        <v>84</v>
      </c>
      <c r="C8" s="535"/>
      <c r="D8" s="536"/>
      <c r="E8" s="536"/>
      <c r="F8" s="536"/>
      <c r="G8" s="537"/>
      <c r="H8" s="545"/>
      <c r="I8" s="546"/>
      <c r="J8" s="546"/>
      <c r="K8" s="546"/>
      <c r="L8" s="546"/>
      <c r="M8" s="547"/>
      <c r="N8" s="531"/>
      <c r="O8" s="532"/>
      <c r="P8" s="533"/>
      <c r="Q8" s="541"/>
      <c r="R8" s="542"/>
      <c r="S8" s="542"/>
      <c r="T8" s="542"/>
      <c r="U8" s="542"/>
      <c r="V8" s="542"/>
      <c r="W8" s="542"/>
      <c r="X8" s="543"/>
      <c r="Y8" s="531"/>
      <c r="Z8" s="532"/>
      <c r="AA8" s="544"/>
    </row>
    <row r="9" spans="2:27" ht="19.5" customHeight="1">
      <c r="B9" s="534" t="s">
        <v>85</v>
      </c>
      <c r="C9" s="535"/>
      <c r="D9" s="536"/>
      <c r="E9" s="536"/>
      <c r="F9" s="536"/>
      <c r="G9" s="537"/>
      <c r="H9" s="545"/>
      <c r="I9" s="546"/>
      <c r="J9" s="546"/>
      <c r="K9" s="546"/>
      <c r="L9" s="546"/>
      <c r="M9" s="547"/>
      <c r="N9" s="531"/>
      <c r="O9" s="532"/>
      <c r="P9" s="533"/>
      <c r="Q9" s="541"/>
      <c r="R9" s="542"/>
      <c r="S9" s="542"/>
      <c r="T9" s="542"/>
      <c r="U9" s="542"/>
      <c r="V9" s="542"/>
      <c r="W9" s="542"/>
      <c r="X9" s="543"/>
      <c r="Y9" s="531"/>
      <c r="Z9" s="532"/>
      <c r="AA9" s="544"/>
    </row>
    <row r="10" spans="2:27" ht="19.5" customHeight="1">
      <c r="B10" s="534" t="s">
        <v>86</v>
      </c>
      <c r="C10" s="535"/>
      <c r="D10" s="536"/>
      <c r="E10" s="536"/>
      <c r="F10" s="536"/>
      <c r="G10" s="537"/>
      <c r="H10" s="529"/>
      <c r="I10" s="530"/>
      <c r="J10" s="530"/>
      <c r="K10" s="530"/>
      <c r="L10" s="530"/>
      <c r="M10" s="530"/>
      <c r="N10" s="531"/>
      <c r="O10" s="532"/>
      <c r="P10" s="533"/>
      <c r="Q10" s="541"/>
      <c r="R10" s="542"/>
      <c r="S10" s="542"/>
      <c r="T10" s="542"/>
      <c r="U10" s="542"/>
      <c r="V10" s="542"/>
      <c r="W10" s="542"/>
      <c r="X10" s="543"/>
      <c r="Y10" s="532"/>
      <c r="Z10" s="532"/>
      <c r="AA10" s="544"/>
    </row>
    <row r="11" spans="2:27" ht="19.5" customHeight="1" thickBot="1">
      <c r="B11" s="508" t="s">
        <v>87</v>
      </c>
      <c r="C11" s="538"/>
      <c r="D11" s="539"/>
      <c r="E11" s="539"/>
      <c r="F11" s="539"/>
      <c r="G11" s="540"/>
      <c r="H11" s="495"/>
      <c r="I11" s="496"/>
      <c r="J11" s="496"/>
      <c r="K11" s="496"/>
      <c r="L11" s="496"/>
      <c r="M11" s="496"/>
      <c r="N11" s="528"/>
      <c r="O11" s="526"/>
      <c r="P11" s="526"/>
      <c r="Q11" s="523"/>
      <c r="R11" s="524"/>
      <c r="S11" s="524"/>
      <c r="T11" s="524"/>
      <c r="U11" s="524"/>
      <c r="V11" s="524"/>
      <c r="W11" s="524"/>
      <c r="X11" s="525"/>
      <c r="Y11" s="526"/>
      <c r="Z11" s="526"/>
      <c r="AA11" s="527"/>
    </row>
    <row r="12" spans="2:42" ht="19.5" customHeight="1">
      <c r="B12" s="520" t="s">
        <v>116</v>
      </c>
      <c r="C12" s="513" t="s">
        <v>120</v>
      </c>
      <c r="D12" s="511"/>
      <c r="E12" s="514"/>
      <c r="F12" s="115" t="s">
        <v>117</v>
      </c>
      <c r="G12" s="513">
        <v>1</v>
      </c>
      <c r="H12" s="511"/>
      <c r="I12" s="511"/>
      <c r="J12" s="513">
        <v>2</v>
      </c>
      <c r="K12" s="511"/>
      <c r="L12" s="514"/>
      <c r="M12" s="511">
        <v>3</v>
      </c>
      <c r="N12" s="511"/>
      <c r="O12" s="516"/>
      <c r="P12" s="513">
        <v>4</v>
      </c>
      <c r="Q12" s="511"/>
      <c r="R12" s="514"/>
      <c r="S12" s="515">
        <v>5</v>
      </c>
      <c r="T12" s="511"/>
      <c r="U12" s="516"/>
      <c r="V12" s="513">
        <v>6</v>
      </c>
      <c r="W12" s="511"/>
      <c r="X12" s="514"/>
      <c r="Y12" s="515">
        <v>7</v>
      </c>
      <c r="Z12" s="511"/>
      <c r="AA12" s="516"/>
      <c r="AB12" s="513">
        <v>8</v>
      </c>
      <c r="AC12" s="511"/>
      <c r="AD12" s="514"/>
      <c r="AE12" s="515">
        <v>9</v>
      </c>
      <c r="AF12" s="511"/>
      <c r="AG12" s="516"/>
      <c r="AH12" s="513">
        <v>10</v>
      </c>
      <c r="AI12" s="511"/>
      <c r="AJ12" s="514"/>
      <c r="AK12" s="513">
        <v>11</v>
      </c>
      <c r="AL12" s="511"/>
      <c r="AM12" s="514"/>
      <c r="AN12" s="511">
        <v>12</v>
      </c>
      <c r="AO12" s="511"/>
      <c r="AP12" s="512"/>
    </row>
    <row r="13" spans="2:42" ht="19.5" customHeight="1">
      <c r="B13" s="521"/>
      <c r="C13" s="333" t="s">
        <v>275</v>
      </c>
      <c r="D13" s="329"/>
      <c r="E13" s="330"/>
      <c r="F13" s="366">
        <f>AB26+AM26+AB27+AM27+AB28</f>
        <v>20</v>
      </c>
      <c r="G13" s="121"/>
      <c r="H13" s="122"/>
      <c r="I13" s="122"/>
      <c r="J13" s="121"/>
      <c r="K13" s="122"/>
      <c r="L13" s="123"/>
      <c r="M13" s="122"/>
      <c r="N13" s="122"/>
      <c r="O13" s="124"/>
      <c r="P13" s="375" t="s">
        <v>375</v>
      </c>
      <c r="Q13" s="376" t="s">
        <v>376</v>
      </c>
      <c r="R13" s="377"/>
      <c r="S13" s="378" t="s">
        <v>377</v>
      </c>
      <c r="T13" s="378"/>
      <c r="U13" s="378" t="s">
        <v>377</v>
      </c>
      <c r="V13" s="375"/>
      <c r="W13" s="376"/>
      <c r="X13" s="377"/>
      <c r="Y13" s="378"/>
      <c r="Z13" s="378"/>
      <c r="AA13" s="378"/>
      <c r="AB13" s="375"/>
      <c r="AC13" s="376"/>
      <c r="AD13" s="377"/>
      <c r="AE13" s="126"/>
      <c r="AF13" s="135"/>
      <c r="AG13" s="128"/>
      <c r="AH13" s="126"/>
      <c r="AI13" s="127"/>
      <c r="AJ13" s="128"/>
      <c r="AK13" s="121"/>
      <c r="AL13" s="122"/>
      <c r="AM13" s="123"/>
      <c r="AN13" s="122"/>
      <c r="AO13" s="122"/>
      <c r="AP13" s="125"/>
    </row>
    <row r="14" spans="2:42" ht="19.5" customHeight="1">
      <c r="B14" s="521"/>
      <c r="C14" s="334" t="s">
        <v>274</v>
      </c>
      <c r="D14" s="329"/>
      <c r="E14" s="330"/>
      <c r="F14" s="367">
        <f>AM28</f>
        <v>10</v>
      </c>
      <c r="G14" s="126"/>
      <c r="H14" s="127"/>
      <c r="I14" s="127"/>
      <c r="J14" s="126"/>
      <c r="K14" s="127"/>
      <c r="L14" s="128"/>
      <c r="M14" s="127"/>
      <c r="N14" s="127"/>
      <c r="O14" s="129"/>
      <c r="P14" s="379" t="s">
        <v>375</v>
      </c>
      <c r="Q14" s="135"/>
      <c r="R14" s="136"/>
      <c r="S14" s="380"/>
      <c r="T14" s="378" t="s">
        <v>378</v>
      </c>
      <c r="U14" s="378"/>
      <c r="V14" s="375"/>
      <c r="W14" s="376"/>
      <c r="X14" s="377"/>
      <c r="Y14" s="378"/>
      <c r="Z14" s="378"/>
      <c r="AA14" s="378"/>
      <c r="AB14" s="375"/>
      <c r="AC14" s="376"/>
      <c r="AD14" s="377"/>
      <c r="AE14" s="126"/>
      <c r="AF14" s="127"/>
      <c r="AG14" s="128"/>
      <c r="AH14" s="126"/>
      <c r="AI14" s="127"/>
      <c r="AJ14" s="128"/>
      <c r="AK14" s="126"/>
      <c r="AL14" s="127"/>
      <c r="AM14" s="128"/>
      <c r="AN14" s="127"/>
      <c r="AO14" s="127"/>
      <c r="AP14" s="131"/>
    </row>
    <row r="15" spans="2:42" ht="19.5" customHeight="1">
      <c r="B15" s="521"/>
      <c r="C15" s="334"/>
      <c r="D15" s="329"/>
      <c r="E15" s="330"/>
      <c r="F15" s="367"/>
      <c r="G15" s="126"/>
      <c r="H15" s="127"/>
      <c r="I15" s="127"/>
      <c r="J15" s="126"/>
      <c r="K15" s="127"/>
      <c r="L15" s="128"/>
      <c r="M15" s="127"/>
      <c r="N15" s="127"/>
      <c r="O15" s="129"/>
      <c r="P15" s="126"/>
      <c r="Q15" s="127"/>
      <c r="R15" s="128"/>
      <c r="S15" s="130"/>
      <c r="T15" s="127"/>
      <c r="U15" s="129"/>
      <c r="V15" s="126"/>
      <c r="W15" s="127"/>
      <c r="X15" s="128"/>
      <c r="Y15" s="130"/>
      <c r="Z15" s="127"/>
      <c r="AA15" s="129"/>
      <c r="AB15" s="126"/>
      <c r="AC15" s="127"/>
      <c r="AD15" s="128"/>
      <c r="AE15" s="126"/>
      <c r="AF15" s="135"/>
      <c r="AG15" s="128"/>
      <c r="AH15" s="126"/>
      <c r="AI15" s="127"/>
      <c r="AJ15" s="128"/>
      <c r="AK15" s="126"/>
      <c r="AL15" s="127"/>
      <c r="AM15" s="128"/>
      <c r="AN15" s="127"/>
      <c r="AO15" s="127"/>
      <c r="AP15" s="131"/>
    </row>
    <row r="16" spans="2:42" ht="19.5" customHeight="1">
      <c r="B16" s="521"/>
      <c r="C16" s="334"/>
      <c r="D16" s="329"/>
      <c r="E16" s="330"/>
      <c r="F16" s="367"/>
      <c r="G16" s="126"/>
      <c r="H16" s="127"/>
      <c r="I16" s="127"/>
      <c r="J16" s="126"/>
      <c r="K16" s="127"/>
      <c r="L16" s="128"/>
      <c r="M16" s="127"/>
      <c r="N16" s="127"/>
      <c r="O16" s="129"/>
      <c r="P16" s="126"/>
      <c r="Q16" s="127"/>
      <c r="R16" s="128"/>
      <c r="S16" s="130"/>
      <c r="T16" s="127"/>
      <c r="U16" s="129"/>
      <c r="V16" s="126"/>
      <c r="W16" s="127"/>
      <c r="X16" s="128"/>
      <c r="Y16" s="130"/>
      <c r="Z16" s="127"/>
      <c r="AA16" s="129"/>
      <c r="AB16" s="126"/>
      <c r="AC16" s="127"/>
      <c r="AD16" s="128"/>
      <c r="AE16" s="126"/>
      <c r="AF16" s="127"/>
      <c r="AG16" s="128"/>
      <c r="AH16" s="126"/>
      <c r="AI16" s="127"/>
      <c r="AJ16" s="128"/>
      <c r="AK16" s="126"/>
      <c r="AL16" s="127"/>
      <c r="AM16" s="128"/>
      <c r="AN16" s="127"/>
      <c r="AO16" s="127"/>
      <c r="AP16" s="131"/>
    </row>
    <row r="17" spans="2:42" ht="19.5" customHeight="1">
      <c r="B17" s="521"/>
      <c r="C17" s="334"/>
      <c r="D17" s="329"/>
      <c r="E17" s="330"/>
      <c r="F17" s="367"/>
      <c r="G17" s="126"/>
      <c r="H17" s="127"/>
      <c r="I17" s="127"/>
      <c r="J17" s="126"/>
      <c r="K17" s="127"/>
      <c r="L17" s="128"/>
      <c r="M17" s="127"/>
      <c r="N17" s="127"/>
      <c r="O17" s="129"/>
      <c r="P17" s="126"/>
      <c r="Q17" s="127"/>
      <c r="R17" s="128"/>
      <c r="S17" s="130"/>
      <c r="T17" s="127"/>
      <c r="U17" s="129"/>
      <c r="V17" s="126"/>
      <c r="W17" s="127"/>
      <c r="X17" s="128"/>
      <c r="Y17" s="130"/>
      <c r="Z17" s="127"/>
      <c r="AA17" s="129"/>
      <c r="AB17" s="126"/>
      <c r="AC17" s="127"/>
      <c r="AD17" s="128"/>
      <c r="AE17" s="126"/>
      <c r="AF17" s="127"/>
      <c r="AG17" s="128"/>
      <c r="AH17" s="126"/>
      <c r="AI17" s="127"/>
      <c r="AJ17" s="128"/>
      <c r="AK17" s="126"/>
      <c r="AL17" s="127"/>
      <c r="AM17" s="128"/>
      <c r="AN17" s="127"/>
      <c r="AO17" s="127"/>
      <c r="AP17" s="131"/>
    </row>
    <row r="18" spans="2:42" ht="19.5" customHeight="1">
      <c r="B18" s="521"/>
      <c r="C18" s="334"/>
      <c r="D18" s="329"/>
      <c r="E18" s="330"/>
      <c r="F18" s="367"/>
      <c r="G18" s="126"/>
      <c r="H18" s="127"/>
      <c r="I18" s="127"/>
      <c r="J18" s="126"/>
      <c r="K18" s="127"/>
      <c r="L18" s="128"/>
      <c r="M18" s="127"/>
      <c r="N18" s="127"/>
      <c r="O18" s="129"/>
      <c r="P18" s="126"/>
      <c r="Q18" s="127"/>
      <c r="R18" s="128"/>
      <c r="S18" s="130"/>
      <c r="T18" s="127"/>
      <c r="U18" s="129"/>
      <c r="V18" s="126"/>
      <c r="W18" s="127"/>
      <c r="X18" s="128"/>
      <c r="Y18" s="130"/>
      <c r="Z18" s="127"/>
      <c r="AA18" s="129"/>
      <c r="AB18" s="126"/>
      <c r="AC18" s="127"/>
      <c r="AD18" s="128"/>
      <c r="AE18" s="126"/>
      <c r="AF18" s="127"/>
      <c r="AG18" s="128"/>
      <c r="AH18" s="126"/>
      <c r="AI18" s="127"/>
      <c r="AJ18" s="128"/>
      <c r="AK18" s="126"/>
      <c r="AL18" s="127"/>
      <c r="AM18" s="128"/>
      <c r="AN18" s="127"/>
      <c r="AO18" s="127"/>
      <c r="AP18" s="131"/>
    </row>
    <row r="19" spans="2:42" ht="19.5" customHeight="1">
      <c r="B19" s="522"/>
      <c r="C19" s="335"/>
      <c r="D19" s="331"/>
      <c r="E19" s="332"/>
      <c r="F19" s="328"/>
      <c r="G19" s="132"/>
      <c r="H19" s="133"/>
      <c r="I19" s="133"/>
      <c r="J19" s="134"/>
      <c r="K19" s="135"/>
      <c r="L19" s="136"/>
      <c r="M19" s="133"/>
      <c r="N19" s="133"/>
      <c r="O19" s="137"/>
      <c r="P19" s="134"/>
      <c r="Q19" s="135"/>
      <c r="R19" s="136"/>
      <c r="S19" s="138"/>
      <c r="T19" s="133"/>
      <c r="U19" s="137"/>
      <c r="V19" s="134"/>
      <c r="W19" s="135"/>
      <c r="X19" s="136"/>
      <c r="Y19" s="138"/>
      <c r="Z19" s="133"/>
      <c r="AA19" s="137"/>
      <c r="AB19" s="134"/>
      <c r="AC19" s="135"/>
      <c r="AD19" s="136"/>
      <c r="AE19" s="134"/>
      <c r="AF19" s="135"/>
      <c r="AG19" s="136"/>
      <c r="AH19" s="134"/>
      <c r="AI19" s="135"/>
      <c r="AJ19" s="136"/>
      <c r="AK19" s="134"/>
      <c r="AL19" s="135"/>
      <c r="AM19" s="136"/>
      <c r="AN19" s="135"/>
      <c r="AO19" s="135"/>
      <c r="AP19" s="139"/>
    </row>
    <row r="20" spans="2:42" ht="19.5" customHeight="1">
      <c r="B20" s="506" t="s">
        <v>88</v>
      </c>
      <c r="C20" s="517"/>
      <c r="D20" s="518"/>
      <c r="E20" s="518"/>
      <c r="F20" s="518"/>
      <c r="G20" s="518"/>
      <c r="H20" s="518"/>
      <c r="I20" s="518"/>
      <c r="J20" s="518"/>
      <c r="K20" s="518"/>
      <c r="L20" s="518"/>
      <c r="M20" s="518"/>
      <c r="N20" s="518"/>
      <c r="O20" s="518"/>
      <c r="P20" s="518"/>
      <c r="Q20" s="518"/>
      <c r="R20" s="518"/>
      <c r="S20" s="518"/>
      <c r="T20" s="518"/>
      <c r="U20" s="518"/>
      <c r="V20" s="518"/>
      <c r="W20" s="518"/>
      <c r="X20" s="518"/>
      <c r="Y20" s="518"/>
      <c r="Z20" s="518"/>
      <c r="AA20" s="518"/>
      <c r="AB20" s="518"/>
      <c r="AC20" s="518"/>
      <c r="AD20" s="518"/>
      <c r="AE20" s="518"/>
      <c r="AF20" s="518"/>
      <c r="AG20" s="518"/>
      <c r="AH20" s="518"/>
      <c r="AI20" s="518"/>
      <c r="AJ20" s="518"/>
      <c r="AK20" s="518"/>
      <c r="AL20" s="518"/>
      <c r="AM20" s="518"/>
      <c r="AN20" s="518"/>
      <c r="AO20" s="518"/>
      <c r="AP20" s="519"/>
    </row>
    <row r="21" spans="2:42" ht="19.5" customHeight="1">
      <c r="B21" s="507"/>
      <c r="C21" s="509" t="s">
        <v>106</v>
      </c>
      <c r="D21" s="510"/>
      <c r="E21" s="510"/>
      <c r="F21" s="510"/>
      <c r="G21" s="510"/>
      <c r="H21" s="510"/>
      <c r="I21" s="510"/>
      <c r="J21" s="510"/>
      <c r="K21" s="510"/>
      <c r="L21" s="510"/>
      <c r="M21" s="510"/>
      <c r="N21" s="510"/>
      <c r="O21" s="510"/>
      <c r="P21" s="510"/>
      <c r="Q21" s="510"/>
      <c r="R21" s="510"/>
      <c r="S21" s="510"/>
      <c r="T21" s="510"/>
      <c r="U21" s="510"/>
      <c r="V21" s="140"/>
      <c r="W21" s="140"/>
      <c r="Y21" s="494" t="s">
        <v>121</v>
      </c>
      <c r="Z21" s="494"/>
      <c r="AA21" s="494"/>
      <c r="AB21" s="494"/>
      <c r="AC21" s="140"/>
      <c r="AD21" s="140"/>
      <c r="AI21" s="140"/>
      <c r="AJ21" s="140"/>
      <c r="AK21" s="140"/>
      <c r="AL21" s="140"/>
      <c r="AM21" s="140"/>
      <c r="AN21" s="140"/>
      <c r="AO21" s="140"/>
      <c r="AP21" s="141"/>
    </row>
    <row r="22" spans="2:42" ht="19.5" customHeight="1" thickBot="1">
      <c r="B22" s="508"/>
      <c r="C22" s="497"/>
      <c r="D22" s="498"/>
      <c r="E22" s="498"/>
      <c r="F22" s="498"/>
      <c r="G22" s="498"/>
      <c r="H22" s="498"/>
      <c r="I22" s="498"/>
      <c r="J22" s="498"/>
      <c r="K22" s="498"/>
      <c r="L22" s="498"/>
      <c r="M22" s="498"/>
      <c r="N22" s="498"/>
      <c r="O22" s="498"/>
      <c r="P22" s="498"/>
      <c r="Q22" s="498"/>
      <c r="R22" s="498"/>
      <c r="S22" s="498"/>
      <c r="T22" s="498"/>
      <c r="U22" s="498"/>
      <c r="V22" s="498"/>
      <c r="W22" s="498"/>
      <c r="X22" s="498"/>
      <c r="Y22" s="498"/>
      <c r="Z22" s="498"/>
      <c r="AA22" s="498"/>
      <c r="AB22" s="498"/>
      <c r="AC22" s="498"/>
      <c r="AD22" s="498"/>
      <c r="AE22" s="498"/>
      <c r="AF22" s="498"/>
      <c r="AG22" s="498"/>
      <c r="AH22" s="498"/>
      <c r="AI22" s="498"/>
      <c r="AJ22" s="498"/>
      <c r="AK22" s="498"/>
      <c r="AL22" s="498"/>
      <c r="AM22" s="498"/>
      <c r="AN22" s="498"/>
      <c r="AO22" s="498"/>
      <c r="AP22" s="499"/>
    </row>
    <row r="23" spans="2:32" ht="9.75" customHeight="1"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</row>
    <row r="24" ht="24.75" customHeight="1" thickBot="1">
      <c r="B24" s="114" t="s">
        <v>122</v>
      </c>
    </row>
    <row r="25" spans="2:42" ht="19.5" customHeight="1" thickBot="1">
      <c r="B25" s="500" t="s">
        <v>19</v>
      </c>
      <c r="C25" s="501"/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2"/>
      <c r="O25" s="503" t="s">
        <v>18</v>
      </c>
      <c r="P25" s="504"/>
      <c r="Q25" s="504"/>
      <c r="R25" s="504"/>
      <c r="S25" s="504"/>
      <c r="T25" s="504"/>
      <c r="U25" s="504"/>
      <c r="V25" s="504"/>
      <c r="W25" s="504"/>
      <c r="X25" s="504"/>
      <c r="Y25" s="504"/>
      <c r="Z25" s="504"/>
      <c r="AA25" s="504"/>
      <c r="AB25" s="504"/>
      <c r="AC25" s="504"/>
      <c r="AD25" s="504"/>
      <c r="AE25" s="504"/>
      <c r="AF25" s="504"/>
      <c r="AG25" s="504"/>
      <c r="AH25" s="504"/>
      <c r="AI25" s="504"/>
      <c r="AJ25" s="504"/>
      <c r="AK25" s="504"/>
      <c r="AL25" s="504"/>
      <c r="AM25" s="504"/>
      <c r="AN25" s="504"/>
      <c r="AO25" s="504"/>
      <c r="AP25" s="505"/>
    </row>
    <row r="26" spans="2:42" ht="19.5" customHeight="1">
      <c r="B26" s="466" t="s">
        <v>14</v>
      </c>
      <c r="C26" s="467"/>
      <c r="D26" s="468"/>
      <c r="E26" s="475" t="s">
        <v>366</v>
      </c>
      <c r="F26" s="476"/>
      <c r="G26" s="476"/>
      <c r="H26" s="476"/>
      <c r="I26" s="476"/>
      <c r="J26" s="476"/>
      <c r="K26" s="476"/>
      <c r="L26" s="476"/>
      <c r="M26" s="476"/>
      <c r="N26" s="477"/>
      <c r="O26" s="466" t="s">
        <v>11</v>
      </c>
      <c r="P26" s="467"/>
      <c r="Q26" s="467"/>
      <c r="R26" s="467"/>
      <c r="S26" s="468"/>
      <c r="T26" s="488"/>
      <c r="U26" s="489"/>
      <c r="V26" s="489"/>
      <c r="W26" s="489"/>
      <c r="X26" s="489"/>
      <c r="Y26" s="489"/>
      <c r="Z26" s="432"/>
      <c r="AA26" s="432"/>
      <c r="AB26" s="432"/>
      <c r="AC26" s="580"/>
      <c r="AD26" s="581"/>
      <c r="AE26" s="489" t="s">
        <v>344</v>
      </c>
      <c r="AF26" s="489"/>
      <c r="AG26" s="489"/>
      <c r="AH26" s="489"/>
      <c r="AI26" s="489"/>
      <c r="AJ26" s="489"/>
      <c r="AK26" s="432"/>
      <c r="AL26" s="432"/>
      <c r="AM26" s="432">
        <v>15</v>
      </c>
      <c r="AN26" s="580" t="s">
        <v>335</v>
      </c>
      <c r="AO26" s="581"/>
      <c r="AP26" s="582"/>
    </row>
    <row r="27" spans="2:42" ht="19.5" customHeight="1">
      <c r="B27" s="469"/>
      <c r="C27" s="470"/>
      <c r="D27" s="471"/>
      <c r="E27" s="478"/>
      <c r="F27" s="479"/>
      <c r="G27" s="479"/>
      <c r="H27" s="479"/>
      <c r="I27" s="479"/>
      <c r="J27" s="479"/>
      <c r="K27" s="479"/>
      <c r="L27" s="479"/>
      <c r="M27" s="479"/>
      <c r="N27" s="480"/>
      <c r="O27" s="469"/>
      <c r="P27" s="470"/>
      <c r="Q27" s="470"/>
      <c r="R27" s="470"/>
      <c r="S27" s="471"/>
      <c r="T27" s="490"/>
      <c r="U27" s="491"/>
      <c r="V27" s="491"/>
      <c r="W27" s="491"/>
      <c r="X27" s="491"/>
      <c r="Y27" s="491"/>
      <c r="Z27" s="433"/>
      <c r="AA27" s="433"/>
      <c r="AB27" s="433"/>
      <c r="AC27" s="486"/>
      <c r="AD27" s="486"/>
      <c r="AE27" s="491" t="s">
        <v>367</v>
      </c>
      <c r="AF27" s="491"/>
      <c r="AG27" s="491"/>
      <c r="AH27" s="491"/>
      <c r="AI27" s="491"/>
      <c r="AJ27" s="491"/>
      <c r="AK27" s="433"/>
      <c r="AL27" s="433"/>
      <c r="AM27" s="433">
        <v>5</v>
      </c>
      <c r="AN27" s="486" t="s">
        <v>334</v>
      </c>
      <c r="AO27" s="486"/>
      <c r="AP27" s="487"/>
    </row>
    <row r="28" spans="2:42" ht="19.5" customHeight="1">
      <c r="B28" s="469"/>
      <c r="C28" s="470"/>
      <c r="D28" s="471"/>
      <c r="E28" s="478"/>
      <c r="F28" s="479"/>
      <c r="G28" s="479"/>
      <c r="H28" s="479"/>
      <c r="I28" s="479"/>
      <c r="J28" s="479"/>
      <c r="K28" s="479"/>
      <c r="L28" s="479"/>
      <c r="M28" s="479"/>
      <c r="N28" s="480"/>
      <c r="O28" s="469"/>
      <c r="P28" s="470"/>
      <c r="Q28" s="470"/>
      <c r="R28" s="470"/>
      <c r="S28" s="471"/>
      <c r="T28" s="490"/>
      <c r="U28" s="491"/>
      <c r="V28" s="491"/>
      <c r="W28" s="491"/>
      <c r="X28" s="491"/>
      <c r="Y28" s="491"/>
      <c r="Z28" s="433"/>
      <c r="AA28" s="433"/>
      <c r="AB28" s="433"/>
      <c r="AC28" s="486"/>
      <c r="AD28" s="486"/>
      <c r="AE28" s="578" t="s">
        <v>415</v>
      </c>
      <c r="AF28" s="579"/>
      <c r="AG28" s="579"/>
      <c r="AH28" s="579"/>
      <c r="AI28" s="579"/>
      <c r="AJ28" s="579"/>
      <c r="AK28" s="433"/>
      <c r="AL28" s="433"/>
      <c r="AM28" s="433">
        <v>10</v>
      </c>
      <c r="AN28" s="486" t="s">
        <v>334</v>
      </c>
      <c r="AO28" s="486"/>
      <c r="AP28" s="487"/>
    </row>
    <row r="29" spans="2:42" ht="19.5" customHeight="1">
      <c r="B29" s="469"/>
      <c r="C29" s="470"/>
      <c r="D29" s="471"/>
      <c r="E29" s="478"/>
      <c r="F29" s="479"/>
      <c r="G29" s="479"/>
      <c r="H29" s="479"/>
      <c r="I29" s="479"/>
      <c r="J29" s="479"/>
      <c r="K29" s="479"/>
      <c r="L29" s="479"/>
      <c r="M29" s="479"/>
      <c r="N29" s="480"/>
      <c r="O29" s="469"/>
      <c r="P29" s="470"/>
      <c r="Q29" s="470"/>
      <c r="R29" s="470"/>
      <c r="S29" s="471"/>
      <c r="T29" s="490"/>
      <c r="U29" s="491"/>
      <c r="V29" s="491"/>
      <c r="W29" s="491"/>
      <c r="X29" s="491"/>
      <c r="Y29" s="491"/>
      <c r="Z29" s="433"/>
      <c r="AA29" s="433"/>
      <c r="AB29" s="433"/>
      <c r="AC29" s="486"/>
      <c r="AD29" s="486"/>
      <c r="AE29" s="491"/>
      <c r="AF29" s="491"/>
      <c r="AG29" s="491"/>
      <c r="AH29" s="491"/>
      <c r="AI29" s="491"/>
      <c r="AJ29" s="491"/>
      <c r="AK29" s="433"/>
      <c r="AL29" s="433"/>
      <c r="AM29" s="433"/>
      <c r="AN29" s="486"/>
      <c r="AO29" s="486"/>
      <c r="AP29" s="487"/>
    </row>
    <row r="30" spans="2:42" ht="19.5" customHeight="1">
      <c r="B30" s="472"/>
      <c r="C30" s="473"/>
      <c r="D30" s="474"/>
      <c r="E30" s="481"/>
      <c r="F30" s="482"/>
      <c r="G30" s="482"/>
      <c r="H30" s="482"/>
      <c r="I30" s="482"/>
      <c r="J30" s="482"/>
      <c r="K30" s="482"/>
      <c r="L30" s="482"/>
      <c r="M30" s="482"/>
      <c r="N30" s="483"/>
      <c r="O30" s="472"/>
      <c r="P30" s="473"/>
      <c r="Q30" s="473"/>
      <c r="R30" s="473"/>
      <c r="S30" s="474"/>
      <c r="T30" s="492"/>
      <c r="U30" s="493"/>
      <c r="V30" s="493"/>
      <c r="W30" s="493"/>
      <c r="X30" s="493"/>
      <c r="Y30" s="493"/>
      <c r="Z30" s="434"/>
      <c r="AA30" s="434"/>
      <c r="AB30" s="434"/>
      <c r="AC30" s="484"/>
      <c r="AD30" s="484"/>
      <c r="AE30" s="493"/>
      <c r="AF30" s="493"/>
      <c r="AG30" s="493"/>
      <c r="AH30" s="493"/>
      <c r="AI30" s="493"/>
      <c r="AJ30" s="493"/>
      <c r="AK30" s="434"/>
      <c r="AL30" s="434"/>
      <c r="AM30" s="434"/>
      <c r="AN30" s="484"/>
      <c r="AO30" s="484"/>
      <c r="AP30" s="485"/>
    </row>
    <row r="31" spans="2:42" ht="39.75" customHeight="1">
      <c r="B31" s="451" t="s">
        <v>15</v>
      </c>
      <c r="C31" s="452"/>
      <c r="D31" s="452"/>
      <c r="E31" s="448" t="s">
        <v>365</v>
      </c>
      <c r="F31" s="449"/>
      <c r="G31" s="449"/>
      <c r="H31" s="449"/>
      <c r="I31" s="449"/>
      <c r="J31" s="449"/>
      <c r="K31" s="449"/>
      <c r="L31" s="449"/>
      <c r="M31" s="449"/>
      <c r="N31" s="450"/>
      <c r="O31" s="453" t="s">
        <v>12</v>
      </c>
      <c r="P31" s="452"/>
      <c r="Q31" s="452"/>
      <c r="R31" s="452"/>
      <c r="S31" s="452"/>
      <c r="T31" s="448" t="s">
        <v>399</v>
      </c>
      <c r="U31" s="449"/>
      <c r="V31" s="449"/>
      <c r="W31" s="449"/>
      <c r="X31" s="449"/>
      <c r="Y31" s="449"/>
      <c r="Z31" s="449"/>
      <c r="AA31" s="449"/>
      <c r="AB31" s="449"/>
      <c r="AC31" s="449"/>
      <c r="AD31" s="449"/>
      <c r="AE31" s="449"/>
      <c r="AF31" s="449"/>
      <c r="AG31" s="449"/>
      <c r="AH31" s="449"/>
      <c r="AI31" s="449"/>
      <c r="AJ31" s="449"/>
      <c r="AK31" s="449"/>
      <c r="AL31" s="449"/>
      <c r="AM31" s="449"/>
      <c r="AN31" s="449"/>
      <c r="AO31" s="449"/>
      <c r="AP31" s="450"/>
    </row>
    <row r="32" spans="2:42" ht="39.75" customHeight="1">
      <c r="B32" s="451" t="s">
        <v>16</v>
      </c>
      <c r="C32" s="452"/>
      <c r="D32" s="452"/>
      <c r="E32" s="448" t="s">
        <v>400</v>
      </c>
      <c r="F32" s="449"/>
      <c r="G32" s="449"/>
      <c r="H32" s="449"/>
      <c r="I32" s="449"/>
      <c r="J32" s="449"/>
      <c r="K32" s="449"/>
      <c r="L32" s="449"/>
      <c r="M32" s="449"/>
      <c r="N32" s="450"/>
      <c r="O32" s="453" t="s">
        <v>13</v>
      </c>
      <c r="P32" s="452"/>
      <c r="Q32" s="452"/>
      <c r="R32" s="452"/>
      <c r="S32" s="452"/>
      <c r="T32" s="456" t="s">
        <v>432</v>
      </c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457"/>
      <c r="AL32" s="457"/>
      <c r="AM32" s="457"/>
      <c r="AN32" s="457"/>
      <c r="AO32" s="457"/>
      <c r="AP32" s="458"/>
    </row>
    <row r="33" spans="2:42" ht="39.75" customHeight="1" thickBot="1">
      <c r="B33" s="462" t="s">
        <v>17</v>
      </c>
      <c r="C33" s="455"/>
      <c r="D33" s="455"/>
      <c r="E33" s="463" t="s">
        <v>440</v>
      </c>
      <c r="F33" s="464"/>
      <c r="G33" s="464"/>
      <c r="H33" s="464"/>
      <c r="I33" s="464"/>
      <c r="J33" s="464"/>
      <c r="K33" s="464"/>
      <c r="L33" s="464"/>
      <c r="M33" s="464"/>
      <c r="N33" s="465"/>
      <c r="O33" s="454"/>
      <c r="P33" s="455"/>
      <c r="Q33" s="455"/>
      <c r="R33" s="455"/>
      <c r="S33" s="455"/>
      <c r="T33" s="459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1"/>
    </row>
    <row r="34" ht="9.75" customHeight="1">
      <c r="B34" s="116"/>
    </row>
  </sheetData>
  <sheetProtection/>
  <mergeCells count="98">
    <mergeCell ref="T28:Y28"/>
    <mergeCell ref="AC28:AD28"/>
    <mergeCell ref="AE28:AJ28"/>
    <mergeCell ref="AN27:AP27"/>
    <mergeCell ref="AN29:AP29"/>
    <mergeCell ref="AE26:AJ26"/>
    <mergeCell ref="AC26:AD26"/>
    <mergeCell ref="AN26:AP26"/>
    <mergeCell ref="AC30:AD30"/>
    <mergeCell ref="AE27:AJ27"/>
    <mergeCell ref="AE29:AJ29"/>
    <mergeCell ref="AE30:AJ30"/>
    <mergeCell ref="AC27:AD27"/>
    <mergeCell ref="C2:D2"/>
    <mergeCell ref="F2:N2"/>
    <mergeCell ref="Y6:AA6"/>
    <mergeCell ref="B5:C5"/>
    <mergeCell ref="D5:G5"/>
    <mergeCell ref="H5:AA5"/>
    <mergeCell ref="Y2:AA2"/>
    <mergeCell ref="O2:Q2"/>
    <mergeCell ref="R2:U2"/>
    <mergeCell ref="V2:X2"/>
    <mergeCell ref="Q7:X7"/>
    <mergeCell ref="Y7:AA7"/>
    <mergeCell ref="Q6:X6"/>
    <mergeCell ref="B6:G6"/>
    <mergeCell ref="H6:M6"/>
    <mergeCell ref="N6:P6"/>
    <mergeCell ref="B7:C7"/>
    <mergeCell ref="D7:G7"/>
    <mergeCell ref="H7:M7"/>
    <mergeCell ref="N7:P7"/>
    <mergeCell ref="B9:C9"/>
    <mergeCell ref="D9:G9"/>
    <mergeCell ref="H9:M9"/>
    <mergeCell ref="N9:P9"/>
    <mergeCell ref="B8:C8"/>
    <mergeCell ref="D8:G8"/>
    <mergeCell ref="H8:M8"/>
    <mergeCell ref="N8:P8"/>
    <mergeCell ref="Q8:X8"/>
    <mergeCell ref="Y8:AA8"/>
    <mergeCell ref="Q9:X9"/>
    <mergeCell ref="Y9:AA9"/>
    <mergeCell ref="Q10:X10"/>
    <mergeCell ref="Y10:AA10"/>
    <mergeCell ref="H10:M10"/>
    <mergeCell ref="N10:P10"/>
    <mergeCell ref="B10:C10"/>
    <mergeCell ref="D10:G10"/>
    <mergeCell ref="B11:C11"/>
    <mergeCell ref="D11:G11"/>
    <mergeCell ref="B12:B19"/>
    <mergeCell ref="Q11:X11"/>
    <mergeCell ref="Y11:AA11"/>
    <mergeCell ref="AH12:AJ12"/>
    <mergeCell ref="N11:P11"/>
    <mergeCell ref="C12:E12"/>
    <mergeCell ref="G12:I12"/>
    <mergeCell ref="J12:L12"/>
    <mergeCell ref="M12:O12"/>
    <mergeCell ref="C20:AP20"/>
    <mergeCell ref="AK12:AM12"/>
    <mergeCell ref="P12:R12"/>
    <mergeCell ref="S12:U12"/>
    <mergeCell ref="V12:X12"/>
    <mergeCell ref="Y12:AA12"/>
    <mergeCell ref="Y21:AB21"/>
    <mergeCell ref="H11:M11"/>
    <mergeCell ref="C22:AP22"/>
    <mergeCell ref="B25:N25"/>
    <mergeCell ref="O25:AP25"/>
    <mergeCell ref="B20:B22"/>
    <mergeCell ref="C21:U21"/>
    <mergeCell ref="AN12:AP12"/>
    <mergeCell ref="AB12:AD12"/>
    <mergeCell ref="AE12:AG12"/>
    <mergeCell ref="B26:D30"/>
    <mergeCell ref="E26:N30"/>
    <mergeCell ref="AN30:AP30"/>
    <mergeCell ref="AN28:AP28"/>
    <mergeCell ref="AC29:AD29"/>
    <mergeCell ref="O26:S30"/>
    <mergeCell ref="T26:Y26"/>
    <mergeCell ref="T27:Y27"/>
    <mergeCell ref="T29:Y29"/>
    <mergeCell ref="T30:Y30"/>
    <mergeCell ref="T31:AP31"/>
    <mergeCell ref="B32:D32"/>
    <mergeCell ref="E32:N32"/>
    <mergeCell ref="O32:S33"/>
    <mergeCell ref="T32:AP33"/>
    <mergeCell ref="B33:D33"/>
    <mergeCell ref="E33:N33"/>
    <mergeCell ref="B31:D31"/>
    <mergeCell ref="E31:N31"/>
    <mergeCell ref="O31:S31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V192"/>
  <sheetViews>
    <sheetView zoomScale="75" zoomScaleNormal="75" zoomScalePageLayoutView="71" workbookViewId="0" topLeftCell="A1">
      <selection activeCell="A1" sqref="A1"/>
    </sheetView>
  </sheetViews>
  <sheetFormatPr defaultColWidth="8.875" defaultRowHeight="13.5"/>
  <cols>
    <col min="1" max="1" width="1.625" style="87" customWidth="1"/>
    <col min="2" max="2" width="3.625" style="87" customWidth="1"/>
    <col min="3" max="3" width="19.50390625" style="87" customWidth="1"/>
    <col min="4" max="7" width="8.625" style="87" customWidth="1"/>
    <col min="8" max="8" width="2.375" style="200" customWidth="1"/>
    <col min="9" max="9" width="3.625" style="87" customWidth="1"/>
    <col min="10" max="10" width="15.625" style="87" customWidth="1"/>
    <col min="11" max="14" width="8.625" style="87" customWidth="1"/>
    <col min="15" max="15" width="3.50390625" style="87" customWidth="1"/>
    <col min="16" max="16" width="15.625" style="169" customWidth="1"/>
    <col min="17" max="17" width="8.625" style="87" customWidth="1"/>
    <col min="18" max="18" width="8.625" style="88" customWidth="1"/>
    <col min="19" max="21" width="8.625" style="87" customWidth="1"/>
    <col min="22" max="22" width="10.625" style="88" customWidth="1"/>
    <col min="23" max="16384" width="8.875" style="87" customWidth="1"/>
  </cols>
  <sheetData>
    <row r="1" ht="9.75" customHeight="1"/>
    <row r="2" spans="2:15" ht="24.75" customHeight="1">
      <c r="B2" s="1" t="s">
        <v>408</v>
      </c>
      <c r="C2" s="89"/>
      <c r="D2" s="13"/>
      <c r="E2" s="13"/>
      <c r="F2" s="89"/>
      <c r="G2" s="144"/>
      <c r="H2" s="154"/>
      <c r="I2" s="144"/>
      <c r="J2" s="144"/>
      <c r="K2" s="144"/>
      <c r="L2" s="144"/>
      <c r="M2" s="144"/>
      <c r="N2" s="144"/>
      <c r="O2" s="13"/>
    </row>
    <row r="3" spans="2:16" ht="15" customHeight="1" thickBot="1">
      <c r="B3" s="87" t="s">
        <v>220</v>
      </c>
      <c r="I3" s="13" t="s">
        <v>221</v>
      </c>
      <c r="P3" s="87" t="s">
        <v>241</v>
      </c>
    </row>
    <row r="4" spans="2:22" ht="15" customHeight="1">
      <c r="B4" s="290" t="s">
        <v>89</v>
      </c>
      <c r="C4" s="189" t="s">
        <v>181</v>
      </c>
      <c r="D4" s="189" t="s">
        <v>153</v>
      </c>
      <c r="E4" s="189" t="s">
        <v>154</v>
      </c>
      <c r="F4" s="354" t="s">
        <v>24</v>
      </c>
      <c r="G4" s="177" t="s">
        <v>155</v>
      </c>
      <c r="H4" s="190"/>
      <c r="I4" s="752" t="s">
        <v>89</v>
      </c>
      <c r="J4" s="750" t="s">
        <v>185</v>
      </c>
      <c r="K4" s="193" t="s">
        <v>182</v>
      </c>
      <c r="L4" s="193" t="s">
        <v>156</v>
      </c>
      <c r="M4" s="755" t="s">
        <v>24</v>
      </c>
      <c r="N4" s="757" t="s">
        <v>155</v>
      </c>
      <c r="O4" s="211"/>
      <c r="P4" s="291" t="s">
        <v>188</v>
      </c>
      <c r="Q4" s="292" t="s">
        <v>189</v>
      </c>
      <c r="R4" s="292" t="s">
        <v>190</v>
      </c>
      <c r="S4" s="292" t="s">
        <v>191</v>
      </c>
      <c r="T4" s="754" t="s">
        <v>192</v>
      </c>
      <c r="U4" s="707"/>
      <c r="V4" s="293" t="s">
        <v>193</v>
      </c>
    </row>
    <row r="5" spans="2:22" ht="15" customHeight="1">
      <c r="B5" s="766" t="s">
        <v>177</v>
      </c>
      <c r="C5" s="92"/>
      <c r="D5" s="92"/>
      <c r="E5" s="381"/>
      <c r="F5" s="92"/>
      <c r="G5" s="178">
        <f>D5*F5</f>
        <v>0</v>
      </c>
      <c r="H5" s="191"/>
      <c r="I5" s="753"/>
      <c r="J5" s="751"/>
      <c r="K5" s="195" t="s">
        <v>157</v>
      </c>
      <c r="L5" s="195" t="s">
        <v>300</v>
      </c>
      <c r="M5" s="756"/>
      <c r="N5" s="758"/>
      <c r="O5" s="211"/>
      <c r="P5" s="294" t="s">
        <v>413</v>
      </c>
      <c r="Q5" s="175"/>
      <c r="R5" s="206" t="s">
        <v>105</v>
      </c>
      <c r="S5" s="175"/>
      <c r="T5" s="744" t="s">
        <v>414</v>
      </c>
      <c r="U5" s="745"/>
      <c r="V5" s="411">
        <v>5806.666666666667</v>
      </c>
    </row>
    <row r="6" spans="2:22" ht="15" customHeight="1">
      <c r="B6" s="763"/>
      <c r="C6" s="86"/>
      <c r="D6" s="86"/>
      <c r="E6" s="91"/>
      <c r="F6" s="86"/>
      <c r="G6" s="179">
        <f>D6*F6</f>
        <v>0</v>
      </c>
      <c r="H6" s="191"/>
      <c r="I6" s="746" t="s">
        <v>184</v>
      </c>
      <c r="J6" s="92" t="s">
        <v>297</v>
      </c>
      <c r="K6" s="357">
        <v>4.2</v>
      </c>
      <c r="L6" s="357">
        <v>13</v>
      </c>
      <c r="M6" s="357">
        <v>84.7</v>
      </c>
      <c r="N6" s="401">
        <f aca="true" t="shared" si="0" ref="N6:N11">K6*L6*M6</f>
        <v>4624.62</v>
      </c>
      <c r="O6" s="211"/>
      <c r="P6" s="294"/>
      <c r="Q6" s="175"/>
      <c r="R6" s="206"/>
      <c r="S6" s="175"/>
      <c r="T6" s="744"/>
      <c r="U6" s="745"/>
      <c r="V6" s="201"/>
    </row>
    <row r="7" spans="2:22" ht="15" customHeight="1" thickBot="1">
      <c r="B7" s="765"/>
      <c r="C7" s="180" t="s">
        <v>158</v>
      </c>
      <c r="D7" s="180"/>
      <c r="E7" s="180"/>
      <c r="F7" s="180"/>
      <c r="G7" s="181">
        <f>SUM(G5:G6)</f>
        <v>0</v>
      </c>
      <c r="H7" s="191"/>
      <c r="I7" s="747"/>
      <c r="J7" s="92" t="s">
        <v>298</v>
      </c>
      <c r="K7" s="357">
        <v>2.6</v>
      </c>
      <c r="L7" s="357">
        <f>5+6.5</f>
        <v>11.5</v>
      </c>
      <c r="M7" s="357">
        <v>84.7</v>
      </c>
      <c r="N7" s="401">
        <f t="shared" si="0"/>
        <v>2532.53</v>
      </c>
      <c r="O7" s="211"/>
      <c r="P7" s="294"/>
      <c r="Q7" s="175"/>
      <c r="R7" s="206"/>
      <c r="S7" s="175"/>
      <c r="T7" s="744"/>
      <c r="U7" s="745"/>
      <c r="V7" s="201"/>
    </row>
    <row r="8" spans="2:22" ht="15" customHeight="1" thickTop="1">
      <c r="B8" s="762" t="s">
        <v>175</v>
      </c>
      <c r="C8" s="86" t="s">
        <v>392</v>
      </c>
      <c r="D8" s="86">
        <v>10</v>
      </c>
      <c r="E8" s="91" t="s">
        <v>282</v>
      </c>
      <c r="F8" s="86">
        <v>3840</v>
      </c>
      <c r="G8" s="179">
        <f>D8*F8</f>
        <v>38400</v>
      </c>
      <c r="H8" s="191"/>
      <c r="I8" s="747"/>
      <c r="J8" s="92" t="s">
        <v>306</v>
      </c>
      <c r="K8" s="357">
        <v>1.2</v>
      </c>
      <c r="L8" s="357">
        <v>3</v>
      </c>
      <c r="M8" s="357">
        <v>84.7</v>
      </c>
      <c r="N8" s="401">
        <f t="shared" si="0"/>
        <v>304.91999999999996</v>
      </c>
      <c r="O8" s="211"/>
      <c r="P8" s="294"/>
      <c r="Q8" s="175"/>
      <c r="R8" s="206"/>
      <c r="S8" s="175"/>
      <c r="T8" s="744"/>
      <c r="U8" s="745"/>
      <c r="V8" s="201"/>
    </row>
    <row r="9" spans="2:22" ht="15" customHeight="1">
      <c r="B9" s="763"/>
      <c r="C9" s="86"/>
      <c r="D9" s="86"/>
      <c r="E9" s="91"/>
      <c r="F9" s="86"/>
      <c r="G9" s="179">
        <f>D9*F9</f>
        <v>0</v>
      </c>
      <c r="H9" s="191"/>
      <c r="I9" s="747"/>
      <c r="J9" s="402" t="s">
        <v>301</v>
      </c>
      <c r="K9" s="403">
        <v>4.3</v>
      </c>
      <c r="L9" s="403">
        <v>5</v>
      </c>
      <c r="M9" s="357">
        <v>84.7</v>
      </c>
      <c r="N9" s="404">
        <f t="shared" si="0"/>
        <v>1821.05</v>
      </c>
      <c r="O9" s="211"/>
      <c r="P9" s="294"/>
      <c r="Q9" s="175"/>
      <c r="R9" s="206"/>
      <c r="S9" s="175"/>
      <c r="T9" s="744"/>
      <c r="U9" s="745"/>
      <c r="V9" s="201"/>
    </row>
    <row r="10" spans="2:22" ht="15" customHeight="1">
      <c r="B10" s="763"/>
      <c r="C10" s="86"/>
      <c r="D10" s="86"/>
      <c r="E10" s="91"/>
      <c r="F10" s="86"/>
      <c r="G10" s="179">
        <f>D10*F10</f>
        <v>0</v>
      </c>
      <c r="H10" s="191"/>
      <c r="I10" s="747"/>
      <c r="J10" s="405"/>
      <c r="K10" s="406"/>
      <c r="L10" s="406"/>
      <c r="M10" s="357"/>
      <c r="N10" s="407"/>
      <c r="O10" s="211"/>
      <c r="P10" s="294"/>
      <c r="Q10" s="175"/>
      <c r="R10" s="206"/>
      <c r="S10" s="175"/>
      <c r="T10" s="351"/>
      <c r="U10" s="340"/>
      <c r="V10" s="201"/>
    </row>
    <row r="11" spans="2:22" ht="15" customHeight="1" thickBot="1">
      <c r="B11" s="765"/>
      <c r="C11" s="182" t="s">
        <v>159</v>
      </c>
      <c r="D11" s="183"/>
      <c r="E11" s="183"/>
      <c r="F11" s="183"/>
      <c r="G11" s="184">
        <f>SUM(G8:G10)</f>
        <v>38400</v>
      </c>
      <c r="H11" s="191"/>
      <c r="I11" s="747"/>
      <c r="J11" s="408" t="s">
        <v>303</v>
      </c>
      <c r="K11" s="409">
        <v>1.2</v>
      </c>
      <c r="L11" s="409">
        <v>3.5</v>
      </c>
      <c r="M11" s="357">
        <v>84.7</v>
      </c>
      <c r="N11" s="410">
        <f t="shared" si="0"/>
        <v>355.74</v>
      </c>
      <c r="O11" s="211"/>
      <c r="P11" s="294"/>
      <c r="Q11" s="175"/>
      <c r="R11" s="206"/>
      <c r="S11" s="175"/>
      <c r="T11" s="744"/>
      <c r="U11" s="745"/>
      <c r="V11" s="201"/>
    </row>
    <row r="12" spans="2:22" ht="15" customHeight="1" thickBot="1" thickTop="1">
      <c r="B12" s="762" t="s">
        <v>176</v>
      </c>
      <c r="C12" s="92" t="s">
        <v>444</v>
      </c>
      <c r="D12" s="92">
        <v>500</v>
      </c>
      <c r="E12" s="91" t="s">
        <v>294</v>
      </c>
      <c r="F12" s="86">
        <f>3200/20</f>
        <v>160</v>
      </c>
      <c r="G12" s="179">
        <f>D12*F12</f>
        <v>80000</v>
      </c>
      <c r="H12" s="191"/>
      <c r="I12" s="748"/>
      <c r="J12" s="182" t="s">
        <v>246</v>
      </c>
      <c r="K12" s="341">
        <f>SUM(K6:K9)</f>
        <v>12.3</v>
      </c>
      <c r="L12" s="341">
        <f>SUM(L6:L11)</f>
        <v>36</v>
      </c>
      <c r="M12" s="341"/>
      <c r="N12" s="343">
        <f>SUM(N6:N11)</f>
        <v>9638.859999999999</v>
      </c>
      <c r="O12" s="211"/>
      <c r="P12" s="294"/>
      <c r="Q12" s="175"/>
      <c r="R12" s="206"/>
      <c r="S12" s="175"/>
      <c r="T12" s="744"/>
      <c r="U12" s="745"/>
      <c r="V12" s="201"/>
    </row>
    <row r="13" spans="2:22" ht="15" customHeight="1" thickTop="1">
      <c r="B13" s="763"/>
      <c r="C13" s="92"/>
      <c r="D13" s="92"/>
      <c r="E13" s="91"/>
      <c r="F13" s="86"/>
      <c r="G13" s="179">
        <f>D13*F13</f>
        <v>0</v>
      </c>
      <c r="H13" s="191"/>
      <c r="I13" s="778" t="s">
        <v>48</v>
      </c>
      <c r="J13" s="92" t="s">
        <v>299</v>
      </c>
      <c r="K13" s="357">
        <v>2.8</v>
      </c>
      <c r="L13" s="357">
        <v>3.3</v>
      </c>
      <c r="M13" s="357">
        <v>158.4</v>
      </c>
      <c r="N13" s="401">
        <f>K13*L13*M13</f>
        <v>1463.6159999999998</v>
      </c>
      <c r="O13" s="211"/>
      <c r="P13" s="294"/>
      <c r="Q13" s="175"/>
      <c r="R13" s="206"/>
      <c r="S13" s="175"/>
      <c r="T13" s="744"/>
      <c r="U13" s="745"/>
      <c r="V13" s="201"/>
    </row>
    <row r="14" spans="2:22" ht="15" customHeight="1">
      <c r="B14" s="763"/>
      <c r="C14" s="86"/>
      <c r="D14" s="86"/>
      <c r="E14" s="91"/>
      <c r="F14" s="86"/>
      <c r="G14" s="179">
        <f>D14*F14</f>
        <v>0</v>
      </c>
      <c r="H14" s="191"/>
      <c r="I14" s="779"/>
      <c r="J14" s="86"/>
      <c r="K14" s="196"/>
      <c r="L14" s="196"/>
      <c r="M14" s="196"/>
      <c r="N14" s="342">
        <f>K14*L14*M14</f>
        <v>0</v>
      </c>
      <c r="O14" s="211"/>
      <c r="P14" s="294"/>
      <c r="Q14" s="175"/>
      <c r="R14" s="206"/>
      <c r="S14" s="175"/>
      <c r="T14" s="744"/>
      <c r="U14" s="745"/>
      <c r="V14" s="201"/>
    </row>
    <row r="15" spans="2:22" ht="15" customHeight="1">
      <c r="B15" s="763"/>
      <c r="C15" s="86"/>
      <c r="D15" s="86"/>
      <c r="E15" s="86"/>
      <c r="F15" s="86"/>
      <c r="G15" s="179">
        <f>D15*F15</f>
        <v>0</v>
      </c>
      <c r="H15" s="191"/>
      <c r="I15" s="779"/>
      <c r="J15" s="86"/>
      <c r="K15" s="196"/>
      <c r="L15" s="196"/>
      <c r="M15" s="196"/>
      <c r="N15" s="342">
        <f>K15*L15*M15</f>
        <v>0</v>
      </c>
      <c r="O15" s="211"/>
      <c r="P15" s="294"/>
      <c r="Q15" s="175"/>
      <c r="R15" s="206"/>
      <c r="S15" s="175"/>
      <c r="T15" s="744"/>
      <c r="U15" s="745"/>
      <c r="V15" s="201"/>
    </row>
    <row r="16" spans="2:22" ht="15" customHeight="1" thickBot="1">
      <c r="B16" s="765"/>
      <c r="C16" s="182" t="s">
        <v>159</v>
      </c>
      <c r="D16" s="183"/>
      <c r="E16" s="183"/>
      <c r="F16" s="183"/>
      <c r="G16" s="184">
        <f>SUM(G12:G15)</f>
        <v>80000</v>
      </c>
      <c r="H16" s="191"/>
      <c r="I16" s="780"/>
      <c r="J16" s="295" t="s">
        <v>246</v>
      </c>
      <c r="K16" s="197">
        <f>SUM(K13:K15)</f>
        <v>2.8</v>
      </c>
      <c r="L16" s="197">
        <f>SUM(L13:L15)</f>
        <v>3.3</v>
      </c>
      <c r="M16" s="197"/>
      <c r="N16" s="344">
        <f>SUM(N13:N15)</f>
        <v>1463.6159999999998</v>
      </c>
      <c r="O16" s="211"/>
      <c r="P16" s="294"/>
      <c r="Q16" s="175"/>
      <c r="R16" s="206"/>
      <c r="S16" s="175"/>
      <c r="T16" s="744"/>
      <c r="U16" s="745"/>
      <c r="V16" s="201"/>
    </row>
    <row r="17" spans="2:22" ht="15" customHeight="1" thickTop="1">
      <c r="B17" s="762" t="s">
        <v>178</v>
      </c>
      <c r="C17" s="86"/>
      <c r="D17" s="86"/>
      <c r="E17" s="91"/>
      <c r="F17" s="86"/>
      <c r="G17" s="179">
        <f>D17*F17</f>
        <v>0</v>
      </c>
      <c r="H17" s="191"/>
      <c r="I17" s="778" t="s">
        <v>186</v>
      </c>
      <c r="J17" s="86"/>
      <c r="K17" s="196">
        <v>0</v>
      </c>
      <c r="L17" s="196"/>
      <c r="M17" s="196"/>
      <c r="N17" s="342">
        <f>K17*L17*M17</f>
        <v>0</v>
      </c>
      <c r="O17" s="211"/>
      <c r="P17" s="294"/>
      <c r="Q17" s="175"/>
      <c r="R17" s="206"/>
      <c r="S17" s="175"/>
      <c r="T17" s="744"/>
      <c r="U17" s="745"/>
      <c r="V17" s="201"/>
    </row>
    <row r="18" spans="2:22" ht="15" customHeight="1">
      <c r="B18" s="763"/>
      <c r="C18" s="86"/>
      <c r="D18" s="86"/>
      <c r="E18" s="91"/>
      <c r="F18" s="86"/>
      <c r="G18" s="179">
        <f>D18*F18</f>
        <v>0</v>
      </c>
      <c r="H18" s="191"/>
      <c r="I18" s="779"/>
      <c r="J18" s="86"/>
      <c r="K18" s="196"/>
      <c r="L18" s="196"/>
      <c r="M18" s="196"/>
      <c r="N18" s="342">
        <f>K18*L18*M18</f>
        <v>0</v>
      </c>
      <c r="O18" s="211"/>
      <c r="P18" s="294"/>
      <c r="Q18" s="175"/>
      <c r="R18" s="206"/>
      <c r="S18" s="175"/>
      <c r="T18" s="744"/>
      <c r="U18" s="745"/>
      <c r="V18" s="201"/>
    </row>
    <row r="19" spans="2:22" ht="15" customHeight="1">
      <c r="B19" s="763"/>
      <c r="C19" s="86"/>
      <c r="D19" s="86"/>
      <c r="E19" s="86"/>
      <c r="F19" s="86"/>
      <c r="G19" s="179">
        <f>D19*F19</f>
        <v>0</v>
      </c>
      <c r="H19" s="191"/>
      <c r="I19" s="779"/>
      <c r="J19" s="86"/>
      <c r="K19" s="196"/>
      <c r="L19" s="196"/>
      <c r="M19" s="196"/>
      <c r="N19" s="342">
        <f>K19*L19*M19</f>
        <v>0</v>
      </c>
      <c r="O19" s="211"/>
      <c r="P19" s="294"/>
      <c r="Q19" s="175"/>
      <c r="R19" s="206"/>
      <c r="S19" s="175"/>
      <c r="T19" s="744"/>
      <c r="U19" s="745"/>
      <c r="V19" s="201"/>
    </row>
    <row r="20" spans="2:22" ht="15" customHeight="1" thickBot="1">
      <c r="B20" s="765"/>
      <c r="C20" s="182" t="s">
        <v>159</v>
      </c>
      <c r="D20" s="183"/>
      <c r="E20" s="183"/>
      <c r="F20" s="183"/>
      <c r="G20" s="184">
        <f>SUM(G17:G19)</f>
        <v>0</v>
      </c>
      <c r="H20" s="191"/>
      <c r="I20" s="780"/>
      <c r="J20" s="295" t="s">
        <v>246</v>
      </c>
      <c r="K20" s="197">
        <f>SUM(K17:K19)</f>
        <v>0</v>
      </c>
      <c r="L20" s="198">
        <f>SUM(L17:L19)</f>
        <v>0</v>
      </c>
      <c r="M20" s="199"/>
      <c r="N20" s="344">
        <f>SUM(N17:N19)</f>
        <v>0</v>
      </c>
      <c r="O20" s="211"/>
      <c r="P20" s="294"/>
      <c r="Q20" s="175"/>
      <c r="R20" s="206"/>
      <c r="S20" s="175"/>
      <c r="T20" s="744"/>
      <c r="U20" s="745"/>
      <c r="V20" s="201"/>
    </row>
    <row r="21" spans="2:22" ht="15" customHeight="1" thickBot="1" thickTop="1">
      <c r="B21" s="762" t="s">
        <v>179</v>
      </c>
      <c r="C21" s="86" t="s">
        <v>445</v>
      </c>
      <c r="D21" s="86">
        <f>131*4.3</f>
        <v>563.3</v>
      </c>
      <c r="E21" s="91" t="s">
        <v>286</v>
      </c>
      <c r="F21" s="86">
        <f>510/20</f>
        <v>25.5</v>
      </c>
      <c r="G21" s="179">
        <f>D21*F21</f>
        <v>14364.15</v>
      </c>
      <c r="H21" s="191"/>
      <c r="I21" s="778" t="s">
        <v>187</v>
      </c>
      <c r="J21" s="86" t="s">
        <v>302</v>
      </c>
      <c r="K21" s="196">
        <v>28.2</v>
      </c>
      <c r="L21" s="196">
        <v>6.1</v>
      </c>
      <c r="M21" s="357">
        <v>102.1</v>
      </c>
      <c r="N21" s="342">
        <f>K21*L21*M21</f>
        <v>17563.242</v>
      </c>
      <c r="O21" s="211"/>
      <c r="P21" s="202" t="s">
        <v>29</v>
      </c>
      <c r="Q21" s="203"/>
      <c r="R21" s="203"/>
      <c r="S21" s="203"/>
      <c r="T21" s="743"/>
      <c r="U21" s="736"/>
      <c r="V21" s="204">
        <f>SUM(V5:V20)</f>
        <v>5806.666666666667</v>
      </c>
    </row>
    <row r="22" spans="2:15" ht="15" customHeight="1">
      <c r="B22" s="763"/>
      <c r="C22" s="86"/>
      <c r="D22" s="86"/>
      <c r="E22" s="91"/>
      <c r="F22" s="86"/>
      <c r="G22" s="179">
        <f>D22*F22</f>
        <v>0</v>
      </c>
      <c r="H22" s="191"/>
      <c r="I22" s="779"/>
      <c r="J22" s="86"/>
      <c r="K22" s="196"/>
      <c r="L22" s="196"/>
      <c r="M22" s="196"/>
      <c r="N22" s="342">
        <f>K22*L22*M22</f>
        <v>0</v>
      </c>
      <c r="O22" s="211"/>
    </row>
    <row r="23" spans="2:16" ht="15" customHeight="1" thickBot="1">
      <c r="B23" s="763"/>
      <c r="C23" s="86"/>
      <c r="D23" s="86"/>
      <c r="E23" s="91"/>
      <c r="F23" s="86"/>
      <c r="G23" s="179">
        <f>D23*F23</f>
        <v>0</v>
      </c>
      <c r="H23" s="191"/>
      <c r="I23" s="779"/>
      <c r="J23" s="86"/>
      <c r="K23" s="196"/>
      <c r="L23" s="196"/>
      <c r="M23" s="196"/>
      <c r="N23" s="342">
        <f>K23*L23*M23</f>
        <v>0</v>
      </c>
      <c r="O23" s="211"/>
      <c r="P23" s="87" t="s">
        <v>242</v>
      </c>
    </row>
    <row r="24" spans="2:22" ht="15" customHeight="1" thickBot="1">
      <c r="B24" s="764"/>
      <c r="C24" s="185" t="s">
        <v>160</v>
      </c>
      <c r="D24" s="186"/>
      <c r="E24" s="186"/>
      <c r="F24" s="186"/>
      <c r="G24" s="187">
        <f>SUM(G21:G23)</f>
        <v>14364.15</v>
      </c>
      <c r="H24" s="191"/>
      <c r="I24" s="780"/>
      <c r="J24" s="295" t="s">
        <v>246</v>
      </c>
      <c r="K24" s="197">
        <f>SUM(K21:K23)</f>
        <v>28.2</v>
      </c>
      <c r="L24" s="198">
        <f>SUM(L21:L23)</f>
        <v>6.1</v>
      </c>
      <c r="M24" s="199"/>
      <c r="N24" s="344">
        <f>SUM(N21:N23)</f>
        <v>17563.242</v>
      </c>
      <c r="O24" s="211"/>
      <c r="P24" s="291" t="s">
        <v>194</v>
      </c>
      <c r="Q24" s="292" t="s">
        <v>189</v>
      </c>
      <c r="R24" s="292" t="s">
        <v>190</v>
      </c>
      <c r="S24" s="292" t="s">
        <v>191</v>
      </c>
      <c r="T24" s="292" t="s">
        <v>192</v>
      </c>
      <c r="U24" s="171" t="s">
        <v>195</v>
      </c>
      <c r="V24" s="293" t="s">
        <v>193</v>
      </c>
    </row>
    <row r="25" spans="9:22" ht="15" customHeight="1" thickTop="1">
      <c r="I25" s="778" t="s">
        <v>266</v>
      </c>
      <c r="J25" s="86"/>
      <c r="K25" s="196"/>
      <c r="L25" s="196"/>
      <c r="M25" s="196"/>
      <c r="N25" s="342">
        <f>K25*L25*M25</f>
        <v>0</v>
      </c>
      <c r="O25" s="211"/>
      <c r="P25" s="294" t="s">
        <v>313</v>
      </c>
      <c r="Q25" s="175">
        <v>10</v>
      </c>
      <c r="R25" s="206" t="s">
        <v>245</v>
      </c>
      <c r="S25" s="250">
        <v>500</v>
      </c>
      <c r="T25" s="175">
        <v>2</v>
      </c>
      <c r="U25" s="176">
        <v>30</v>
      </c>
      <c r="V25" s="201">
        <f>Q25*S25/T25/U25</f>
        <v>83.33333333333333</v>
      </c>
    </row>
    <row r="26" spans="2:22" ht="15" customHeight="1" thickBot="1">
      <c r="B26" s="13" t="s">
        <v>250</v>
      </c>
      <c r="C26" s="13"/>
      <c r="D26" s="89"/>
      <c r="E26" s="13"/>
      <c r="F26" s="89"/>
      <c r="G26" s="90"/>
      <c r="H26" s="192"/>
      <c r="I26" s="779"/>
      <c r="J26" s="86"/>
      <c r="K26" s="196"/>
      <c r="L26" s="196"/>
      <c r="M26" s="196"/>
      <c r="N26" s="342">
        <f>K26*L26*M26</f>
        <v>0</v>
      </c>
      <c r="O26" s="211"/>
      <c r="P26" s="294"/>
      <c r="Q26" s="175"/>
      <c r="R26" s="206"/>
      <c r="S26" s="175"/>
      <c r="T26" s="175"/>
      <c r="U26" s="176"/>
      <c r="V26" s="201"/>
    </row>
    <row r="27" spans="2:22" ht="15" customHeight="1">
      <c r="B27" s="290" t="s">
        <v>89</v>
      </c>
      <c r="C27" s="189" t="s">
        <v>152</v>
      </c>
      <c r="D27" s="189" t="s">
        <v>153</v>
      </c>
      <c r="E27" s="189" t="s">
        <v>154</v>
      </c>
      <c r="F27" s="354" t="s">
        <v>24</v>
      </c>
      <c r="G27" s="177" t="s">
        <v>155</v>
      </c>
      <c r="H27" s="190"/>
      <c r="I27" s="779"/>
      <c r="J27" s="86"/>
      <c r="K27" s="196"/>
      <c r="L27" s="196"/>
      <c r="M27" s="196"/>
      <c r="N27" s="342">
        <f>K27*L27*M27</f>
        <v>0</v>
      </c>
      <c r="O27" s="211"/>
      <c r="P27" s="294"/>
      <c r="Q27" s="175"/>
      <c r="R27" s="206"/>
      <c r="S27" s="175"/>
      <c r="T27" s="175"/>
      <c r="U27" s="176"/>
      <c r="V27" s="201"/>
    </row>
    <row r="28" spans="2:22" ht="15" customHeight="1" thickBot="1">
      <c r="B28" s="766" t="s">
        <v>30</v>
      </c>
      <c r="C28" s="92" t="s">
        <v>446</v>
      </c>
      <c r="D28" s="92">
        <v>300</v>
      </c>
      <c r="E28" s="381" t="s">
        <v>293</v>
      </c>
      <c r="F28" s="92">
        <f>62610/10000</f>
        <v>6.261</v>
      </c>
      <c r="G28" s="178">
        <f>D28*F28</f>
        <v>1878.3</v>
      </c>
      <c r="H28" s="191"/>
      <c r="I28" s="780"/>
      <c r="J28" s="295" t="s">
        <v>246</v>
      </c>
      <c r="K28" s="197">
        <f>SUM(K25:K27)</f>
        <v>0</v>
      </c>
      <c r="L28" s="198">
        <f>SUM(L25:L27)</f>
        <v>0</v>
      </c>
      <c r="M28" s="199"/>
      <c r="N28" s="344">
        <f>SUM(N25:N27)</f>
        <v>0</v>
      </c>
      <c r="O28" s="211"/>
      <c r="P28" s="294"/>
      <c r="Q28" s="175"/>
      <c r="R28" s="206"/>
      <c r="S28" s="175"/>
      <c r="T28" s="175"/>
      <c r="U28" s="176"/>
      <c r="V28" s="201"/>
    </row>
    <row r="29" spans="2:22" ht="15" customHeight="1" thickTop="1">
      <c r="B29" s="763"/>
      <c r="C29" s="339" t="s">
        <v>447</v>
      </c>
      <c r="D29" s="92">
        <f>1*189</f>
        <v>189</v>
      </c>
      <c r="E29" s="381" t="s">
        <v>293</v>
      </c>
      <c r="F29" s="92">
        <f>4180/500</f>
        <v>8.36</v>
      </c>
      <c r="G29" s="178">
        <f>D29*F29</f>
        <v>1580.04</v>
      </c>
      <c r="H29" s="191"/>
      <c r="I29" s="778" t="s">
        <v>183</v>
      </c>
      <c r="J29" s="86" t="s">
        <v>302</v>
      </c>
      <c r="K29" s="196">
        <v>31.4</v>
      </c>
      <c r="L29" s="196">
        <v>3.2</v>
      </c>
      <c r="M29" s="196">
        <v>14</v>
      </c>
      <c r="N29" s="342">
        <f>K29*L29*M29</f>
        <v>1406.72</v>
      </c>
      <c r="O29" s="211"/>
      <c r="P29" s="294"/>
      <c r="Q29" s="175"/>
      <c r="R29" s="206"/>
      <c r="S29" s="175"/>
      <c r="T29" s="175"/>
      <c r="U29" s="176"/>
      <c r="V29" s="201"/>
    </row>
    <row r="30" spans="2:22" ht="15" customHeight="1">
      <c r="B30" s="763"/>
      <c r="C30" s="92" t="s">
        <v>30</v>
      </c>
      <c r="D30" s="92">
        <v>833</v>
      </c>
      <c r="E30" s="381" t="s">
        <v>307</v>
      </c>
      <c r="F30" s="92">
        <f>10590/5000</f>
        <v>2.118</v>
      </c>
      <c r="G30" s="178">
        <f>D30*F30</f>
        <v>1764.2939999999999</v>
      </c>
      <c r="H30" s="191"/>
      <c r="I30" s="779"/>
      <c r="J30" s="86" t="s">
        <v>304</v>
      </c>
      <c r="K30" s="196">
        <v>4</v>
      </c>
      <c r="L30" s="196">
        <v>1.9</v>
      </c>
      <c r="M30" s="196">
        <v>14</v>
      </c>
      <c r="N30" s="342">
        <f>K30*L30*M30</f>
        <v>106.39999999999999</v>
      </c>
      <c r="O30" s="88"/>
      <c r="P30" s="294"/>
      <c r="Q30" s="175"/>
      <c r="R30" s="206"/>
      <c r="S30" s="175"/>
      <c r="T30" s="175"/>
      <c r="U30" s="176"/>
      <c r="V30" s="201"/>
    </row>
    <row r="31" spans="2:22" ht="15" customHeight="1">
      <c r="B31" s="763"/>
      <c r="C31" s="339"/>
      <c r="D31" s="86"/>
      <c r="E31" s="91"/>
      <c r="F31" s="86"/>
      <c r="G31" s="179"/>
      <c r="H31" s="191"/>
      <c r="I31" s="779"/>
      <c r="J31" s="86" t="s">
        <v>305</v>
      </c>
      <c r="K31" s="196">
        <v>24.5</v>
      </c>
      <c r="L31" s="196">
        <v>6.7</v>
      </c>
      <c r="M31" s="196">
        <v>14</v>
      </c>
      <c r="N31" s="342">
        <f>K31*L31*M31</f>
        <v>2298.1</v>
      </c>
      <c r="P31" s="294"/>
      <c r="Q31" s="175"/>
      <c r="R31" s="206"/>
      <c r="S31" s="175"/>
      <c r="T31" s="175"/>
      <c r="U31" s="176"/>
      <c r="V31" s="201"/>
    </row>
    <row r="32" spans="2:22" ht="15" customHeight="1" thickBot="1">
      <c r="B32" s="763"/>
      <c r="C32" s="86"/>
      <c r="D32" s="86"/>
      <c r="E32" s="91"/>
      <c r="F32" s="86"/>
      <c r="G32" s="179">
        <f aca="true" t="shared" si="1" ref="G32:G37">D32*F32</f>
        <v>0</v>
      </c>
      <c r="H32" s="191"/>
      <c r="I32" s="787"/>
      <c r="J32" s="345" t="s">
        <v>246</v>
      </c>
      <c r="K32" s="346">
        <f>SUM(K29:K31)</f>
        <v>59.9</v>
      </c>
      <c r="L32" s="347">
        <f>SUM(L29:L31)</f>
        <v>11.8</v>
      </c>
      <c r="M32" s="348"/>
      <c r="N32" s="349">
        <f>SUM(N29:N31)</f>
        <v>3811.2200000000003</v>
      </c>
      <c r="P32" s="294"/>
      <c r="Q32" s="175"/>
      <c r="R32" s="206"/>
      <c r="S32" s="175"/>
      <c r="T32" s="175"/>
      <c r="U32" s="176"/>
      <c r="V32" s="201"/>
    </row>
    <row r="33" spans="2:22" ht="15" customHeight="1">
      <c r="B33" s="763"/>
      <c r="C33" s="86"/>
      <c r="D33" s="86"/>
      <c r="E33" s="91"/>
      <c r="F33" s="86"/>
      <c r="G33" s="179">
        <f t="shared" si="1"/>
        <v>0</v>
      </c>
      <c r="H33" s="191"/>
      <c r="I33" s="170"/>
      <c r="J33" s="170"/>
      <c r="K33" s="170"/>
      <c r="L33" s="170"/>
      <c r="M33" s="170"/>
      <c r="N33" s="170"/>
      <c r="P33" s="294"/>
      <c r="Q33" s="175"/>
      <c r="R33" s="206"/>
      <c r="S33" s="175"/>
      <c r="T33" s="175"/>
      <c r="U33" s="176"/>
      <c r="V33" s="201"/>
    </row>
    <row r="34" spans="2:22" ht="15" customHeight="1" thickBot="1">
      <c r="B34" s="763"/>
      <c r="C34" s="86"/>
      <c r="D34" s="86"/>
      <c r="E34" s="91"/>
      <c r="F34" s="86"/>
      <c r="G34" s="179">
        <f t="shared" si="1"/>
        <v>0</v>
      </c>
      <c r="H34" s="191"/>
      <c r="I34" s="160" t="s">
        <v>240</v>
      </c>
      <c r="J34" s="160"/>
      <c r="K34" s="160"/>
      <c r="L34" s="160"/>
      <c r="M34" s="160"/>
      <c r="P34" s="298" t="s">
        <v>233</v>
      </c>
      <c r="Q34" s="203"/>
      <c r="R34" s="203"/>
      <c r="S34" s="203"/>
      <c r="T34" s="203"/>
      <c r="U34" s="205"/>
      <c r="V34" s="204">
        <f>SUM(V25:V33)</f>
        <v>83.33333333333333</v>
      </c>
    </row>
    <row r="35" spans="2:14" ht="15" customHeight="1" thickBot="1">
      <c r="B35" s="763"/>
      <c r="C35" s="86"/>
      <c r="D35" s="86"/>
      <c r="E35" s="91"/>
      <c r="F35" s="86"/>
      <c r="G35" s="179">
        <f t="shared" si="1"/>
        <v>0</v>
      </c>
      <c r="H35" s="191"/>
      <c r="I35" s="272" t="s">
        <v>228</v>
      </c>
      <c r="J35" s="273" t="s">
        <v>5</v>
      </c>
      <c r="K35" s="785" t="s">
        <v>229</v>
      </c>
      <c r="L35" s="786"/>
      <c r="M35" s="296" t="s">
        <v>195</v>
      </c>
      <c r="N35" s="297" t="s">
        <v>252</v>
      </c>
    </row>
    <row r="36" spans="2:20" ht="15" customHeight="1" thickBot="1" thickTop="1">
      <c r="B36" s="763"/>
      <c r="C36" s="86"/>
      <c r="D36" s="86"/>
      <c r="E36" s="91"/>
      <c r="F36" s="86"/>
      <c r="G36" s="179">
        <f t="shared" si="1"/>
        <v>0</v>
      </c>
      <c r="H36" s="191"/>
      <c r="I36" s="767" t="s">
        <v>2</v>
      </c>
      <c r="J36" s="188" t="str">
        <f>'６　資本装備と減価償却'!C5</f>
        <v>農機具庫</v>
      </c>
      <c r="K36" s="737">
        <f>'６　資本装備と減価償却'!I5</f>
        <v>5940000</v>
      </c>
      <c r="L36" s="737"/>
      <c r="M36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285">
        <f>+K36/M36*0.014*0.3</f>
        <v>831.6</v>
      </c>
      <c r="P36" s="160" t="s">
        <v>234</v>
      </c>
      <c r="Q36" s="160"/>
      <c r="R36" s="160"/>
      <c r="S36" s="160"/>
      <c r="T36" s="160"/>
    </row>
    <row r="37" spans="2:22" ht="15" customHeight="1" thickBot="1" thickTop="1">
      <c r="B37" s="763"/>
      <c r="C37" s="86"/>
      <c r="D37" s="86"/>
      <c r="E37" s="91"/>
      <c r="F37" s="86"/>
      <c r="G37" s="179">
        <f t="shared" si="1"/>
        <v>0</v>
      </c>
      <c r="H37" s="191"/>
      <c r="I37" s="783"/>
      <c r="J37" s="188" t="str">
        <f>'６　資本装備と減価償却'!C6</f>
        <v>乾燥調製施設</v>
      </c>
      <c r="K37" s="737">
        <f>'６　資本装備と減価償却'!I6</f>
        <v>10692000</v>
      </c>
      <c r="L37" s="737"/>
      <c r="M37" s="277">
        <f>'１　対象経営の概要，２　前提条件'!$N$7+'１　対象経営の概要，２　前提条件'!$N$8+'１　対象経営の概要，２　前提条件'!$N$9</f>
        <v>30</v>
      </c>
      <c r="N37" s="285">
        <f>+K37/M37*0.014*0.3</f>
        <v>1496.88</v>
      </c>
      <c r="P37" s="272" t="s">
        <v>227</v>
      </c>
      <c r="Q37" s="749" t="s">
        <v>235</v>
      </c>
      <c r="R37" s="749"/>
      <c r="S37" s="284" t="s">
        <v>238</v>
      </c>
      <c r="T37" s="284" t="s">
        <v>237</v>
      </c>
      <c r="U37" s="299" t="s">
        <v>195</v>
      </c>
      <c r="V37" s="300" t="s">
        <v>252</v>
      </c>
    </row>
    <row r="38" spans="2:22" ht="15" customHeight="1" thickBot="1" thickTop="1">
      <c r="B38" s="765"/>
      <c r="C38" s="180" t="s">
        <v>158</v>
      </c>
      <c r="D38" s="180"/>
      <c r="E38" s="180"/>
      <c r="F38" s="180"/>
      <c r="G38" s="181">
        <f>SUM(G28:G37)</f>
        <v>5222.634</v>
      </c>
      <c r="H38" s="191"/>
      <c r="I38" s="783"/>
      <c r="J38" s="188" t="str">
        <f>'６　資本装備と減価償却'!C7</f>
        <v>育苗ハウス</v>
      </c>
      <c r="K38" s="737">
        <f>'６　資本装備と減価償却'!I7</f>
        <v>4301100</v>
      </c>
      <c r="L38" s="737"/>
      <c r="M38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285">
        <f>+K38/M38*0.014*0.3</f>
        <v>602.154</v>
      </c>
      <c r="O38" s="200"/>
      <c r="P38" s="781" t="s">
        <v>236</v>
      </c>
      <c r="Q38" s="278" t="s">
        <v>226</v>
      </c>
      <c r="R38" s="303"/>
      <c r="S38" s="412"/>
      <c r="T38" s="304"/>
      <c r="U38" s="279"/>
      <c r="V38" s="285">
        <v>3880</v>
      </c>
    </row>
    <row r="39" spans="2:22" ht="15" customHeight="1" thickTop="1">
      <c r="B39" s="762" t="s">
        <v>180</v>
      </c>
      <c r="C39" s="420" t="s">
        <v>448</v>
      </c>
      <c r="D39" s="92">
        <v>833</v>
      </c>
      <c r="E39" s="381" t="s">
        <v>307</v>
      </c>
      <c r="F39" s="92">
        <f>49110/10000</f>
        <v>4.911</v>
      </c>
      <c r="G39" s="179">
        <f>D39*F39</f>
        <v>4090.863</v>
      </c>
      <c r="H39" s="191"/>
      <c r="I39" s="783"/>
      <c r="J39" s="188"/>
      <c r="K39" s="737"/>
      <c r="L39" s="737"/>
      <c r="M39" s="271"/>
      <c r="N39" s="285"/>
      <c r="O39" s="200"/>
      <c r="P39" s="733"/>
      <c r="Q39" s="278"/>
      <c r="R39" s="303"/>
      <c r="S39" s="412"/>
      <c r="T39" s="304"/>
      <c r="U39" s="279"/>
      <c r="V39" s="285"/>
    </row>
    <row r="40" spans="2:22" ht="15" customHeight="1">
      <c r="B40" s="763"/>
      <c r="C40" s="92"/>
      <c r="D40" s="92"/>
      <c r="E40" s="381"/>
      <c r="F40" s="92"/>
      <c r="G40" s="179">
        <f>D40*F40</f>
        <v>0</v>
      </c>
      <c r="H40" s="191"/>
      <c r="I40" s="783"/>
      <c r="J40" s="188"/>
      <c r="K40" s="737"/>
      <c r="L40" s="737"/>
      <c r="M40" s="271"/>
      <c r="N40" s="285"/>
      <c r="O40" s="200"/>
      <c r="P40" s="733"/>
      <c r="Q40" s="278"/>
      <c r="R40" s="303"/>
      <c r="S40" s="279"/>
      <c r="T40" s="304"/>
      <c r="U40" s="279"/>
      <c r="V40" s="285"/>
    </row>
    <row r="41" spans="2:22" ht="15" customHeight="1">
      <c r="B41" s="763"/>
      <c r="C41" s="86"/>
      <c r="D41" s="86"/>
      <c r="E41" s="91"/>
      <c r="F41" s="86"/>
      <c r="G41" s="179">
        <f>D41*F41</f>
        <v>0</v>
      </c>
      <c r="H41" s="191"/>
      <c r="I41" s="783"/>
      <c r="J41" s="188"/>
      <c r="K41" s="737"/>
      <c r="L41" s="737"/>
      <c r="M41" s="271"/>
      <c r="N41" s="285"/>
      <c r="O41" s="200"/>
      <c r="P41" s="733"/>
      <c r="Q41" s="278"/>
      <c r="R41" s="303"/>
      <c r="S41" s="279"/>
      <c r="T41" s="304"/>
      <c r="U41" s="279"/>
      <c r="V41" s="285"/>
    </row>
    <row r="42" spans="2:22" ht="15" customHeight="1" thickBot="1">
      <c r="B42" s="763"/>
      <c r="C42" s="86"/>
      <c r="D42" s="86"/>
      <c r="E42" s="91"/>
      <c r="F42" s="86"/>
      <c r="G42" s="179">
        <f aca="true" t="shared" si="2" ref="G42:G52">D42*F42</f>
        <v>0</v>
      </c>
      <c r="H42" s="191"/>
      <c r="I42" s="784"/>
      <c r="J42" s="274" t="s">
        <v>159</v>
      </c>
      <c r="K42" s="759"/>
      <c r="L42" s="760"/>
      <c r="M42" s="275"/>
      <c r="N42" s="282">
        <f>SUM(N36:N41)</f>
        <v>2930.634</v>
      </c>
      <c r="O42" s="200"/>
      <c r="P42" s="733"/>
      <c r="Q42" s="278"/>
      <c r="R42" s="303"/>
      <c r="S42" s="279"/>
      <c r="T42" s="304"/>
      <c r="U42" s="279"/>
      <c r="V42" s="285"/>
    </row>
    <row r="43" spans="2:22" ht="15" customHeight="1" thickTop="1">
      <c r="B43" s="763"/>
      <c r="C43" s="86"/>
      <c r="D43" s="86"/>
      <c r="E43" s="91"/>
      <c r="F43" s="86"/>
      <c r="G43" s="179"/>
      <c r="H43" s="191"/>
      <c r="I43" s="740" t="s">
        <v>230</v>
      </c>
      <c r="J43" s="276" t="s">
        <v>253</v>
      </c>
      <c r="K43" s="761">
        <v>8200</v>
      </c>
      <c r="L43" s="761"/>
      <c r="M43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02">
        <f>+K43/M43</f>
        <v>273.3333333333333</v>
      </c>
      <c r="O43" s="200"/>
      <c r="P43" s="733"/>
      <c r="Q43" s="278"/>
      <c r="R43" s="303"/>
      <c r="S43" s="279"/>
      <c r="T43" s="304"/>
      <c r="U43" s="279"/>
      <c r="V43" s="285"/>
    </row>
    <row r="44" spans="2:22" ht="15" customHeight="1" thickBot="1">
      <c r="B44" s="763"/>
      <c r="C44" s="86"/>
      <c r="D44" s="86"/>
      <c r="E44" s="91"/>
      <c r="F44" s="86"/>
      <c r="G44" s="179"/>
      <c r="H44" s="191"/>
      <c r="I44" s="741"/>
      <c r="J44" s="278"/>
      <c r="K44" s="737"/>
      <c r="L44" s="737"/>
      <c r="M44" s="271"/>
      <c r="N44" s="285"/>
      <c r="O44" s="200"/>
      <c r="P44" s="782"/>
      <c r="Q44" s="286" t="s">
        <v>239</v>
      </c>
      <c r="R44" s="287"/>
      <c r="S44" s="287"/>
      <c r="T44" s="287"/>
      <c r="U44" s="287"/>
      <c r="V44" s="288">
        <f>SUM(V38:V43)</f>
        <v>3880</v>
      </c>
    </row>
    <row r="45" spans="2:22" ht="15" customHeight="1" thickTop="1">
      <c r="B45" s="763"/>
      <c r="C45" s="86"/>
      <c r="D45" s="86"/>
      <c r="E45" s="91"/>
      <c r="F45" s="86"/>
      <c r="G45" s="179"/>
      <c r="H45" s="191"/>
      <c r="I45" s="741"/>
      <c r="J45" s="188"/>
      <c r="K45" s="737"/>
      <c r="L45" s="737"/>
      <c r="M45" s="271"/>
      <c r="N45" s="285"/>
      <c r="O45" s="200"/>
      <c r="P45" s="732" t="s">
        <v>244</v>
      </c>
      <c r="Q45" s="729" t="s">
        <v>255</v>
      </c>
      <c r="R45" s="305" t="s">
        <v>256</v>
      </c>
      <c r="S45" s="276">
        <v>35750</v>
      </c>
      <c r="T45" s="306">
        <v>1</v>
      </c>
      <c r="U45" s="276">
        <v>30</v>
      </c>
      <c r="V45" s="301">
        <f>+S45*T45/U45</f>
        <v>1191.6666666666667</v>
      </c>
    </row>
    <row r="46" spans="2:22" ht="15" customHeight="1" thickBot="1">
      <c r="B46" s="763"/>
      <c r="C46" s="86"/>
      <c r="D46" s="86"/>
      <c r="E46" s="91"/>
      <c r="F46" s="86"/>
      <c r="G46" s="179">
        <f t="shared" si="2"/>
        <v>0</v>
      </c>
      <c r="H46" s="191"/>
      <c r="I46" s="742"/>
      <c r="J46" s="274" t="s">
        <v>159</v>
      </c>
      <c r="K46" s="759"/>
      <c r="L46" s="760"/>
      <c r="M46" s="275"/>
      <c r="N46" s="282">
        <f>SUM(N43:N45)</f>
        <v>273.3333333333333</v>
      </c>
      <c r="O46" s="200"/>
      <c r="P46" s="733"/>
      <c r="Q46" s="730"/>
      <c r="R46" s="307" t="s">
        <v>243</v>
      </c>
      <c r="S46" s="278">
        <v>15600</v>
      </c>
      <c r="T46" s="304">
        <v>1</v>
      </c>
      <c r="U46" s="278">
        <v>30</v>
      </c>
      <c r="V46" s="285">
        <f>+S46*T46/U46</f>
        <v>520</v>
      </c>
    </row>
    <row r="47" spans="2:22" ht="15" customHeight="1" thickTop="1">
      <c r="B47" s="763"/>
      <c r="C47" s="86"/>
      <c r="D47" s="86"/>
      <c r="E47" s="91"/>
      <c r="F47" s="86"/>
      <c r="G47" s="179">
        <f t="shared" si="2"/>
        <v>0</v>
      </c>
      <c r="H47" s="191"/>
      <c r="I47" s="740" t="s">
        <v>231</v>
      </c>
      <c r="J47" s="276" t="s">
        <v>253</v>
      </c>
      <c r="K47" s="761">
        <v>11500</v>
      </c>
      <c r="L47" s="761"/>
      <c r="M47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01">
        <f>K47/M47</f>
        <v>383.3333333333333</v>
      </c>
      <c r="O47" s="200"/>
      <c r="P47" s="733"/>
      <c r="Q47" s="730"/>
      <c r="R47" s="307"/>
      <c r="S47" s="278"/>
      <c r="T47" s="278"/>
      <c r="U47" s="188"/>
      <c r="V47" s="308"/>
    </row>
    <row r="48" spans="2:22" ht="15" customHeight="1">
      <c r="B48" s="763"/>
      <c r="C48" s="86"/>
      <c r="D48" s="86"/>
      <c r="E48" s="91"/>
      <c r="F48" s="86"/>
      <c r="G48" s="179">
        <f t="shared" si="2"/>
        <v>0</v>
      </c>
      <c r="H48" s="191"/>
      <c r="I48" s="741"/>
      <c r="J48" s="278"/>
      <c r="K48" s="737"/>
      <c r="L48" s="737"/>
      <c r="M48" s="271"/>
      <c r="N48" s="285"/>
      <c r="O48" s="200"/>
      <c r="P48" s="733"/>
      <c r="Q48" s="730"/>
      <c r="R48" s="307"/>
      <c r="S48" s="278"/>
      <c r="T48" s="304"/>
      <c r="U48" s="278"/>
      <c r="V48" s="285"/>
    </row>
    <row r="49" spans="2:22" ht="15" customHeight="1" thickBot="1">
      <c r="B49" s="765"/>
      <c r="C49" s="182" t="s">
        <v>159</v>
      </c>
      <c r="D49" s="183"/>
      <c r="E49" s="183"/>
      <c r="F49" s="183"/>
      <c r="G49" s="184">
        <f>SUM(G39:G48)</f>
        <v>4090.863</v>
      </c>
      <c r="H49" s="191"/>
      <c r="I49" s="741"/>
      <c r="J49" s="188"/>
      <c r="K49" s="737"/>
      <c r="L49" s="737"/>
      <c r="M49" s="271"/>
      <c r="N49" s="285"/>
      <c r="O49" s="200"/>
      <c r="P49" s="733"/>
      <c r="Q49" s="731"/>
      <c r="R49" s="307"/>
      <c r="S49" s="278"/>
      <c r="T49" s="278"/>
      <c r="U49" s="188"/>
      <c r="V49" s="308"/>
    </row>
    <row r="50" spans="2:22" ht="15" customHeight="1" thickBot="1" thickTop="1">
      <c r="B50" s="762" t="s">
        <v>32</v>
      </c>
      <c r="C50" s="86" t="s">
        <v>449</v>
      </c>
      <c r="D50" s="86">
        <v>10</v>
      </c>
      <c r="E50" s="91" t="s">
        <v>286</v>
      </c>
      <c r="F50" s="86">
        <f>24330/10</f>
        <v>2433</v>
      </c>
      <c r="G50" s="179">
        <f t="shared" si="2"/>
        <v>24330</v>
      </c>
      <c r="H50" s="191"/>
      <c r="I50" s="742"/>
      <c r="J50" s="274" t="s">
        <v>159</v>
      </c>
      <c r="K50" s="759"/>
      <c r="L50" s="760"/>
      <c r="M50" s="275"/>
      <c r="N50" s="282">
        <f>SUM(N47:N49)</f>
        <v>383.3333333333333</v>
      </c>
      <c r="O50" s="200"/>
      <c r="P50" s="733"/>
      <c r="Q50" s="286" t="s">
        <v>239</v>
      </c>
      <c r="R50" s="287"/>
      <c r="S50" s="287"/>
      <c r="T50" s="287"/>
      <c r="U50" s="287"/>
      <c r="V50" s="288">
        <f>SUM(V45:V49)</f>
        <v>1711.6666666666667</v>
      </c>
    </row>
    <row r="51" spans="2:22" ht="15" customHeight="1" thickTop="1">
      <c r="B51" s="763"/>
      <c r="C51" s="86"/>
      <c r="D51" s="86"/>
      <c r="E51" s="86"/>
      <c r="F51" s="86"/>
      <c r="G51" s="179">
        <f t="shared" si="2"/>
        <v>0</v>
      </c>
      <c r="H51" s="191"/>
      <c r="I51" s="740" t="s">
        <v>232</v>
      </c>
      <c r="J51" s="413" t="s">
        <v>54</v>
      </c>
      <c r="K51" s="768">
        <v>2400</v>
      </c>
      <c r="L51" s="769"/>
      <c r="M51" s="414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415">
        <f>+K51/M51</f>
        <v>80</v>
      </c>
      <c r="O51" s="200"/>
      <c r="P51" s="733"/>
      <c r="Q51" s="729" t="s">
        <v>257</v>
      </c>
      <c r="R51" s="305" t="s">
        <v>256</v>
      </c>
      <c r="S51" s="276">
        <v>60000</v>
      </c>
      <c r="T51" s="306">
        <v>1</v>
      </c>
      <c r="U51" s="276">
        <v>36</v>
      </c>
      <c r="V51" s="301">
        <f>+S51*T51/U51</f>
        <v>1666.6666666666667</v>
      </c>
    </row>
    <row r="52" spans="2:22" ht="15" customHeight="1">
      <c r="B52" s="763"/>
      <c r="C52" s="86"/>
      <c r="D52" s="86"/>
      <c r="E52" s="86"/>
      <c r="F52" s="86"/>
      <c r="G52" s="179">
        <f t="shared" si="2"/>
        <v>0</v>
      </c>
      <c r="H52" s="191"/>
      <c r="I52" s="741"/>
      <c r="J52" s="279" t="s">
        <v>54</v>
      </c>
      <c r="K52" s="770">
        <v>2400</v>
      </c>
      <c r="L52" s="771"/>
      <c r="M52" s="416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417">
        <f>+K52/M52</f>
        <v>80</v>
      </c>
      <c r="O52" s="200"/>
      <c r="P52" s="733"/>
      <c r="Q52" s="730"/>
      <c r="R52" s="307" t="s">
        <v>243</v>
      </c>
      <c r="S52" s="278">
        <v>25000</v>
      </c>
      <c r="T52" s="304">
        <v>1</v>
      </c>
      <c r="U52" s="278">
        <v>36</v>
      </c>
      <c r="V52" s="285">
        <f>+S52*T52/U52</f>
        <v>694.4444444444445</v>
      </c>
    </row>
    <row r="53" spans="2:22" ht="15" customHeight="1" thickBot="1">
      <c r="B53" s="765"/>
      <c r="C53" s="182" t="s">
        <v>159</v>
      </c>
      <c r="D53" s="183"/>
      <c r="E53" s="183"/>
      <c r="F53" s="183"/>
      <c r="G53" s="184">
        <f>SUM(G50:G52)</f>
        <v>24330</v>
      </c>
      <c r="H53" s="191"/>
      <c r="I53" s="741"/>
      <c r="J53" s="279" t="s">
        <v>56</v>
      </c>
      <c r="K53" s="772">
        <v>2400</v>
      </c>
      <c r="L53" s="773"/>
      <c r="M53" s="289">
        <f>'１　対象経営の概要，２　前提条件'!N7</f>
        <v>30</v>
      </c>
      <c r="N53" s="417">
        <f>+K53/M53</f>
        <v>80</v>
      </c>
      <c r="O53" s="200"/>
      <c r="P53" s="733"/>
      <c r="Q53" s="730"/>
      <c r="R53" s="307"/>
      <c r="S53" s="278"/>
      <c r="T53" s="278"/>
      <c r="U53" s="188"/>
      <c r="V53" s="308"/>
    </row>
    <row r="54" spans="2:22" ht="13.5" customHeight="1" thickTop="1">
      <c r="B54" s="762" t="s">
        <v>327</v>
      </c>
      <c r="C54" s="86" t="s">
        <v>450</v>
      </c>
      <c r="D54" s="356">
        <f>131*50/1000</f>
        <v>6.55</v>
      </c>
      <c r="E54" s="91" t="s">
        <v>286</v>
      </c>
      <c r="F54" s="86">
        <f>9650/3</f>
        <v>3216.6666666666665</v>
      </c>
      <c r="G54" s="178">
        <f>D54*F54</f>
        <v>21069.166666666664</v>
      </c>
      <c r="I54" s="741"/>
      <c r="J54" s="279" t="s">
        <v>56</v>
      </c>
      <c r="K54" s="772">
        <v>2400</v>
      </c>
      <c r="L54" s="773"/>
      <c r="M54" s="289">
        <f>'１　対象経営の概要，２　前提条件'!N7</f>
        <v>30</v>
      </c>
      <c r="N54" s="417">
        <f>+K54/M54</f>
        <v>80</v>
      </c>
      <c r="O54" s="200"/>
      <c r="P54" s="733"/>
      <c r="Q54" s="730"/>
      <c r="R54" s="307"/>
      <c r="S54" s="278"/>
      <c r="T54" s="304"/>
      <c r="U54" s="278"/>
      <c r="V54" s="285"/>
    </row>
    <row r="55" spans="2:22" ht="13.5">
      <c r="B55" s="763"/>
      <c r="C55" s="92" t="s">
        <v>451</v>
      </c>
      <c r="D55" s="92">
        <v>1667</v>
      </c>
      <c r="E55" s="381" t="s">
        <v>293</v>
      </c>
      <c r="F55" s="92">
        <f>90790/20000</f>
        <v>4.5395</v>
      </c>
      <c r="G55" s="179">
        <f>D55*F55</f>
        <v>7567.346500000001</v>
      </c>
      <c r="I55" s="741"/>
      <c r="J55" s="418" t="s">
        <v>243</v>
      </c>
      <c r="K55" s="774">
        <v>5000</v>
      </c>
      <c r="L55" s="775"/>
      <c r="M55" s="416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417">
        <f>+K55/M55</f>
        <v>166.66666666666666</v>
      </c>
      <c r="O55" s="200"/>
      <c r="P55" s="733"/>
      <c r="Q55" s="731"/>
      <c r="R55" s="307"/>
      <c r="S55" s="278"/>
      <c r="T55" s="278"/>
      <c r="U55" s="188"/>
      <c r="V55" s="308"/>
    </row>
    <row r="56" spans="2:22" ht="13.5">
      <c r="B56" s="763"/>
      <c r="C56" s="86"/>
      <c r="D56" s="86"/>
      <c r="E56" s="91"/>
      <c r="F56" s="86"/>
      <c r="G56" s="179">
        <f>D56*F56</f>
        <v>0</v>
      </c>
      <c r="I56" s="767"/>
      <c r="J56" s="280" t="s">
        <v>159</v>
      </c>
      <c r="K56" s="776"/>
      <c r="L56" s="777"/>
      <c r="M56" s="281"/>
      <c r="N56" s="283">
        <f>SUM(N51:N55)</f>
        <v>486.66666666666663</v>
      </c>
      <c r="O56" s="200"/>
      <c r="P56" s="734"/>
      <c r="Q56" s="309" t="s">
        <v>239</v>
      </c>
      <c r="R56" s="310"/>
      <c r="S56" s="310"/>
      <c r="T56" s="310"/>
      <c r="U56" s="310"/>
      <c r="V56" s="311">
        <f>SUM(V51:V55)</f>
        <v>2361.1111111111113</v>
      </c>
    </row>
    <row r="57" spans="2:22" ht="14.25" thickBot="1">
      <c r="B57" s="764"/>
      <c r="C57" s="185" t="s">
        <v>160</v>
      </c>
      <c r="D57" s="186"/>
      <c r="E57" s="186"/>
      <c r="F57" s="186"/>
      <c r="G57" s="187">
        <f>SUM(G54:G56)</f>
        <v>28636.513166666664</v>
      </c>
      <c r="I57" s="735" t="s">
        <v>233</v>
      </c>
      <c r="J57" s="736"/>
      <c r="K57" s="738"/>
      <c r="L57" s="739"/>
      <c r="M57" s="205"/>
      <c r="N57" s="194">
        <f>SUM(N42,N46,N50,N56)</f>
        <v>4073.9673333333335</v>
      </c>
      <c r="O57" s="200"/>
      <c r="P57" s="727" t="s">
        <v>233</v>
      </c>
      <c r="Q57" s="728"/>
      <c r="R57" s="203"/>
      <c r="S57" s="203"/>
      <c r="T57" s="203"/>
      <c r="U57" s="203"/>
      <c r="V57" s="194">
        <f>SUM(V44,V50,V56)</f>
        <v>7952.777777777778</v>
      </c>
    </row>
    <row r="58" spans="15:22" ht="13.5">
      <c r="O58" s="200"/>
      <c r="V58" s="87"/>
    </row>
    <row r="59" spans="9:15" ht="13.5">
      <c r="I59" s="200"/>
      <c r="J59" s="200"/>
      <c r="K59" s="200"/>
      <c r="L59" s="200"/>
      <c r="M59" s="200"/>
      <c r="N59" s="200"/>
      <c r="O59" s="200"/>
    </row>
    <row r="60" spans="9:15" ht="13.5">
      <c r="I60" s="200"/>
      <c r="J60" s="200"/>
      <c r="K60" s="200"/>
      <c r="L60" s="200"/>
      <c r="M60" s="200"/>
      <c r="N60" s="200"/>
      <c r="O60" s="200"/>
    </row>
    <row r="61" spans="9:15" ht="13.5">
      <c r="I61" s="200"/>
      <c r="J61" s="200"/>
      <c r="K61" s="200"/>
      <c r="L61" s="200"/>
      <c r="M61" s="200"/>
      <c r="N61" s="200"/>
      <c r="O61" s="200"/>
    </row>
    <row r="62" spans="9:15" ht="13.5">
      <c r="I62" s="200"/>
      <c r="J62" s="200"/>
      <c r="K62" s="200"/>
      <c r="L62" s="200"/>
      <c r="M62" s="200"/>
      <c r="N62" s="200"/>
      <c r="O62" s="200"/>
    </row>
    <row r="63" spans="9:15" ht="13.5">
      <c r="I63" s="200"/>
      <c r="J63" s="200"/>
      <c r="K63" s="200"/>
      <c r="L63" s="200"/>
      <c r="M63" s="200"/>
      <c r="N63" s="200"/>
      <c r="O63" s="200"/>
    </row>
    <row r="64" spans="9:15" ht="13.5">
      <c r="I64" s="200"/>
      <c r="J64" s="200"/>
      <c r="K64" s="200"/>
      <c r="L64" s="200"/>
      <c r="M64" s="200"/>
      <c r="N64" s="200"/>
      <c r="O64" s="200"/>
    </row>
    <row r="65" spans="9:15" ht="13.5">
      <c r="I65" s="200"/>
      <c r="J65" s="200"/>
      <c r="K65" s="200"/>
      <c r="L65" s="200"/>
      <c r="M65" s="200"/>
      <c r="N65" s="200"/>
      <c r="O65" s="200"/>
    </row>
    <row r="66" spans="9:15" ht="13.5">
      <c r="I66" s="200"/>
      <c r="J66" s="200"/>
      <c r="K66" s="200"/>
      <c r="L66" s="200"/>
      <c r="M66" s="200"/>
      <c r="N66" s="200"/>
      <c r="O66" s="200"/>
    </row>
    <row r="67" spans="9:15" ht="13.5">
      <c r="I67" s="200"/>
      <c r="J67" s="200"/>
      <c r="K67" s="200"/>
      <c r="L67" s="200"/>
      <c r="M67" s="200"/>
      <c r="N67" s="200"/>
      <c r="O67" s="200"/>
    </row>
    <row r="68" spans="9:15" ht="13.5">
      <c r="I68" s="200"/>
      <c r="J68" s="200"/>
      <c r="K68" s="200"/>
      <c r="L68" s="200"/>
      <c r="M68" s="200"/>
      <c r="N68" s="200"/>
      <c r="O68" s="200"/>
    </row>
    <row r="69" spans="9:15" ht="13.5">
      <c r="I69" s="200"/>
      <c r="J69" s="200"/>
      <c r="K69" s="200"/>
      <c r="L69" s="200"/>
      <c r="M69" s="200"/>
      <c r="N69" s="200"/>
      <c r="O69" s="200"/>
    </row>
    <row r="70" spans="9:15" ht="13.5">
      <c r="I70" s="200"/>
      <c r="J70" s="200"/>
      <c r="K70" s="200"/>
      <c r="L70" s="200"/>
      <c r="M70" s="200"/>
      <c r="N70" s="200"/>
      <c r="O70" s="200"/>
    </row>
    <row r="71" spans="9:15" ht="13.5">
      <c r="I71" s="200"/>
      <c r="J71" s="200"/>
      <c r="K71" s="200"/>
      <c r="L71" s="200"/>
      <c r="M71" s="200"/>
      <c r="N71" s="200"/>
      <c r="O71" s="200"/>
    </row>
    <row r="72" spans="9:15" ht="13.5">
      <c r="I72" s="200"/>
      <c r="J72" s="200"/>
      <c r="K72" s="200"/>
      <c r="L72" s="200"/>
      <c r="M72" s="200"/>
      <c r="N72" s="200"/>
      <c r="O72" s="200"/>
    </row>
    <row r="73" spans="9:15" ht="13.5">
      <c r="I73" s="200"/>
      <c r="J73" s="200"/>
      <c r="K73" s="200"/>
      <c r="L73" s="200"/>
      <c r="M73" s="200"/>
      <c r="N73" s="200"/>
      <c r="O73" s="200"/>
    </row>
    <row r="74" spans="9:15" ht="13.5">
      <c r="I74" s="200"/>
      <c r="J74" s="200"/>
      <c r="K74" s="200"/>
      <c r="L74" s="200"/>
      <c r="M74" s="200"/>
      <c r="N74" s="200"/>
      <c r="O74" s="200"/>
    </row>
    <row r="75" spans="9:15" ht="13.5">
      <c r="I75" s="200"/>
      <c r="J75" s="200"/>
      <c r="K75" s="200"/>
      <c r="L75" s="200"/>
      <c r="M75" s="200"/>
      <c r="N75" s="200"/>
      <c r="O75" s="200"/>
    </row>
    <row r="76" spans="9:15" ht="13.5">
      <c r="I76" s="200"/>
      <c r="J76" s="200"/>
      <c r="K76" s="200"/>
      <c r="L76" s="200"/>
      <c r="M76" s="200"/>
      <c r="N76" s="200"/>
      <c r="O76" s="200"/>
    </row>
    <row r="77" spans="9:15" ht="13.5">
      <c r="I77" s="200"/>
      <c r="J77" s="200"/>
      <c r="K77" s="200"/>
      <c r="L77" s="200"/>
      <c r="M77" s="200"/>
      <c r="N77" s="200"/>
      <c r="O77" s="200"/>
    </row>
    <row r="78" spans="9:15" ht="13.5">
      <c r="I78" s="200"/>
      <c r="J78" s="200"/>
      <c r="K78" s="200"/>
      <c r="L78" s="200"/>
      <c r="M78" s="200"/>
      <c r="N78" s="200"/>
      <c r="O78" s="200"/>
    </row>
    <row r="79" spans="9:15" ht="13.5">
      <c r="I79" s="200"/>
      <c r="J79" s="200"/>
      <c r="K79" s="200"/>
      <c r="L79" s="200"/>
      <c r="M79" s="200"/>
      <c r="N79" s="200"/>
      <c r="O79" s="200"/>
    </row>
    <row r="80" spans="9:15" ht="13.5">
      <c r="I80" s="200"/>
      <c r="J80" s="200"/>
      <c r="K80" s="200"/>
      <c r="L80" s="200"/>
      <c r="M80" s="200"/>
      <c r="N80" s="200"/>
      <c r="O80" s="200"/>
    </row>
    <row r="81" spans="9:15" ht="13.5">
      <c r="I81" s="200"/>
      <c r="J81" s="200"/>
      <c r="K81" s="200"/>
      <c r="L81" s="200"/>
      <c r="M81" s="200"/>
      <c r="N81" s="200"/>
      <c r="O81" s="200"/>
    </row>
    <row r="82" spans="9:15" ht="13.5">
      <c r="I82" s="200"/>
      <c r="J82" s="200"/>
      <c r="K82" s="200"/>
      <c r="L82" s="200"/>
      <c r="M82" s="200"/>
      <c r="N82" s="200"/>
      <c r="O82" s="200"/>
    </row>
    <row r="83" spans="2:15" ht="13.5">
      <c r="B83" s="190"/>
      <c r="C83" s="191"/>
      <c r="D83" s="191"/>
      <c r="E83" s="191"/>
      <c r="F83" s="191"/>
      <c r="I83" s="200"/>
      <c r="J83" s="200"/>
      <c r="K83" s="200"/>
      <c r="L83" s="200"/>
      <c r="M83" s="200"/>
      <c r="N83" s="200"/>
      <c r="O83" s="200"/>
    </row>
    <row r="84" spans="2:15" ht="13.5">
      <c r="B84" s="190"/>
      <c r="C84" s="191"/>
      <c r="D84" s="191"/>
      <c r="E84" s="191"/>
      <c r="F84" s="191"/>
      <c r="I84" s="200"/>
      <c r="J84" s="200"/>
      <c r="K84" s="200"/>
      <c r="L84" s="200"/>
      <c r="M84" s="200"/>
      <c r="N84" s="200"/>
      <c r="O84" s="200"/>
    </row>
    <row r="85" spans="9:15" ht="13.5">
      <c r="I85" s="200"/>
      <c r="J85" s="200"/>
      <c r="K85" s="200"/>
      <c r="L85" s="200"/>
      <c r="M85" s="200"/>
      <c r="N85" s="200"/>
      <c r="O85" s="200"/>
    </row>
    <row r="86" spans="9:15" ht="13.5">
      <c r="I86" s="200"/>
      <c r="J86" s="200"/>
      <c r="K86" s="200"/>
      <c r="L86" s="200"/>
      <c r="M86" s="200"/>
      <c r="N86" s="200"/>
      <c r="O86" s="200"/>
    </row>
    <row r="87" spans="9:15" ht="13.5">
      <c r="I87" s="200"/>
      <c r="J87" s="200"/>
      <c r="K87" s="200"/>
      <c r="L87" s="200"/>
      <c r="M87" s="200"/>
      <c r="N87" s="200"/>
      <c r="O87" s="200"/>
    </row>
    <row r="88" spans="9:15" ht="13.5">
      <c r="I88" s="200"/>
      <c r="J88" s="200"/>
      <c r="K88" s="200"/>
      <c r="L88" s="200"/>
      <c r="M88" s="200"/>
      <c r="N88" s="200"/>
      <c r="O88" s="200"/>
    </row>
    <row r="89" spans="9:15" ht="13.5">
      <c r="I89" s="200"/>
      <c r="J89" s="200"/>
      <c r="K89" s="200"/>
      <c r="L89" s="200"/>
      <c r="M89" s="200"/>
      <c r="N89" s="200"/>
      <c r="O89" s="200"/>
    </row>
    <row r="90" spans="9:15" ht="13.5">
      <c r="I90" s="200"/>
      <c r="J90" s="200"/>
      <c r="K90" s="200"/>
      <c r="L90" s="200"/>
      <c r="M90" s="200"/>
      <c r="N90" s="200"/>
      <c r="O90" s="200"/>
    </row>
    <row r="91" spans="9:15" ht="13.5">
      <c r="I91" s="200"/>
      <c r="J91" s="200"/>
      <c r="K91" s="200"/>
      <c r="L91" s="200"/>
      <c r="M91" s="200"/>
      <c r="N91" s="200"/>
      <c r="O91" s="200"/>
    </row>
    <row r="92" spans="9:15" ht="13.5">
      <c r="I92" s="200"/>
      <c r="J92" s="200"/>
      <c r="K92" s="200"/>
      <c r="L92" s="200"/>
      <c r="M92" s="200"/>
      <c r="N92" s="200"/>
      <c r="O92" s="200"/>
    </row>
    <row r="93" spans="9:15" ht="13.5">
      <c r="I93" s="200"/>
      <c r="J93" s="200"/>
      <c r="K93" s="200"/>
      <c r="L93" s="200"/>
      <c r="M93" s="200"/>
      <c r="N93" s="200"/>
      <c r="O93" s="200"/>
    </row>
    <row r="94" spans="9:15" ht="13.5">
      <c r="I94" s="200"/>
      <c r="J94" s="200"/>
      <c r="K94" s="200"/>
      <c r="L94" s="200"/>
      <c r="M94" s="200"/>
      <c r="N94" s="200"/>
      <c r="O94" s="200"/>
    </row>
    <row r="95" spans="9:15" ht="13.5">
      <c r="I95" s="200"/>
      <c r="J95" s="200"/>
      <c r="K95" s="200"/>
      <c r="L95" s="200"/>
      <c r="M95" s="200"/>
      <c r="N95" s="200"/>
      <c r="O95" s="200"/>
    </row>
    <row r="96" spans="9:15" ht="13.5">
      <c r="I96" s="200"/>
      <c r="J96" s="200"/>
      <c r="K96" s="200"/>
      <c r="L96" s="200"/>
      <c r="M96" s="200"/>
      <c r="N96" s="200"/>
      <c r="O96" s="200"/>
    </row>
    <row r="97" spans="9:15" ht="13.5">
      <c r="I97" s="200"/>
      <c r="J97" s="200"/>
      <c r="K97" s="200"/>
      <c r="L97" s="200"/>
      <c r="M97" s="200"/>
      <c r="N97" s="200"/>
      <c r="O97" s="200"/>
    </row>
    <row r="98" spans="9:15" ht="13.5">
      <c r="I98" s="200"/>
      <c r="J98" s="200"/>
      <c r="K98" s="200"/>
      <c r="L98" s="200"/>
      <c r="M98" s="200"/>
      <c r="N98" s="200"/>
      <c r="O98" s="200"/>
    </row>
    <row r="99" spans="9:15" ht="13.5">
      <c r="I99" s="200"/>
      <c r="J99" s="200"/>
      <c r="K99" s="200"/>
      <c r="L99" s="200"/>
      <c r="M99" s="200"/>
      <c r="N99" s="200"/>
      <c r="O99" s="200"/>
    </row>
    <row r="100" spans="9:15" ht="13.5">
      <c r="I100" s="200"/>
      <c r="J100" s="200"/>
      <c r="K100" s="200"/>
      <c r="L100" s="200"/>
      <c r="M100" s="200"/>
      <c r="N100" s="200"/>
      <c r="O100" s="200"/>
    </row>
    <row r="101" spans="9:15" ht="13.5">
      <c r="I101" s="200"/>
      <c r="J101" s="200"/>
      <c r="K101" s="200"/>
      <c r="L101" s="200"/>
      <c r="M101" s="200"/>
      <c r="N101" s="200"/>
      <c r="O101" s="200"/>
    </row>
    <row r="102" spans="9:15" ht="13.5">
      <c r="I102" s="200"/>
      <c r="J102" s="200"/>
      <c r="K102" s="200"/>
      <c r="L102" s="200"/>
      <c r="M102" s="200"/>
      <c r="N102" s="200"/>
      <c r="O102" s="200"/>
    </row>
    <row r="103" spans="9:15" ht="13.5">
      <c r="I103" s="200"/>
      <c r="J103" s="200"/>
      <c r="K103" s="200"/>
      <c r="L103" s="200"/>
      <c r="M103" s="200"/>
      <c r="N103" s="200"/>
      <c r="O103" s="200"/>
    </row>
    <row r="104" spans="9:15" ht="13.5">
      <c r="I104" s="200"/>
      <c r="J104" s="200"/>
      <c r="K104" s="200"/>
      <c r="L104" s="200"/>
      <c r="M104" s="200"/>
      <c r="N104" s="200"/>
      <c r="O104" s="200"/>
    </row>
    <row r="105" spans="9:15" ht="13.5">
      <c r="I105" s="200"/>
      <c r="J105" s="200"/>
      <c r="K105" s="200"/>
      <c r="L105" s="200"/>
      <c r="M105" s="200"/>
      <c r="N105" s="200"/>
      <c r="O105" s="200"/>
    </row>
    <row r="106" spans="9:15" ht="13.5">
      <c r="I106" s="200"/>
      <c r="J106" s="200"/>
      <c r="K106" s="200"/>
      <c r="L106" s="200"/>
      <c r="M106" s="200"/>
      <c r="N106" s="200"/>
      <c r="O106" s="200"/>
    </row>
    <row r="107" spans="9:15" ht="13.5">
      <c r="I107" s="200"/>
      <c r="J107" s="200"/>
      <c r="K107" s="200"/>
      <c r="L107" s="200"/>
      <c r="M107" s="200"/>
      <c r="N107" s="200"/>
      <c r="O107" s="200"/>
    </row>
    <row r="108" spans="9:15" ht="13.5">
      <c r="I108" s="200"/>
      <c r="J108" s="200"/>
      <c r="K108" s="200"/>
      <c r="L108" s="200"/>
      <c r="M108" s="200"/>
      <c r="N108" s="200"/>
      <c r="O108" s="200"/>
    </row>
    <row r="109" spans="9:15" ht="13.5">
      <c r="I109" s="200"/>
      <c r="J109" s="200"/>
      <c r="K109" s="200"/>
      <c r="L109" s="200"/>
      <c r="M109" s="200"/>
      <c r="N109" s="200"/>
      <c r="O109" s="200"/>
    </row>
    <row r="110" spans="9:15" ht="13.5">
      <c r="I110" s="200"/>
      <c r="J110" s="200"/>
      <c r="K110" s="200"/>
      <c r="L110" s="200"/>
      <c r="M110" s="200"/>
      <c r="N110" s="200"/>
      <c r="O110" s="200"/>
    </row>
    <row r="111" spans="9:15" ht="13.5">
      <c r="I111" s="200"/>
      <c r="J111" s="200"/>
      <c r="K111" s="200"/>
      <c r="L111" s="200"/>
      <c r="M111" s="200"/>
      <c r="N111" s="200"/>
      <c r="O111" s="200"/>
    </row>
    <row r="112" spans="9:15" ht="13.5">
      <c r="I112" s="200"/>
      <c r="J112" s="200"/>
      <c r="K112" s="200"/>
      <c r="L112" s="200"/>
      <c r="M112" s="200"/>
      <c r="N112" s="200"/>
      <c r="O112" s="200"/>
    </row>
    <row r="113" spans="9:15" ht="13.5">
      <c r="I113" s="200"/>
      <c r="J113" s="200"/>
      <c r="K113" s="200"/>
      <c r="L113" s="200"/>
      <c r="M113" s="200"/>
      <c r="N113" s="200"/>
      <c r="O113" s="200"/>
    </row>
    <row r="114" spans="9:15" ht="13.5">
      <c r="I114" s="200"/>
      <c r="J114" s="200"/>
      <c r="K114" s="200"/>
      <c r="L114" s="200"/>
      <c r="M114" s="200"/>
      <c r="N114" s="200"/>
      <c r="O114" s="200"/>
    </row>
    <row r="115" spans="9:15" ht="13.5">
      <c r="I115" s="200"/>
      <c r="J115" s="200"/>
      <c r="K115" s="200"/>
      <c r="L115" s="200"/>
      <c r="M115" s="200"/>
      <c r="N115" s="200"/>
      <c r="O115" s="200"/>
    </row>
    <row r="116" spans="9:15" ht="13.5">
      <c r="I116" s="200"/>
      <c r="J116" s="200"/>
      <c r="K116" s="200"/>
      <c r="L116" s="200"/>
      <c r="M116" s="200"/>
      <c r="N116" s="200"/>
      <c r="O116" s="200"/>
    </row>
    <row r="117" spans="9:15" ht="13.5">
      <c r="I117" s="200"/>
      <c r="J117" s="200"/>
      <c r="K117" s="200"/>
      <c r="L117" s="200"/>
      <c r="M117" s="200"/>
      <c r="N117" s="200"/>
      <c r="O117" s="200"/>
    </row>
    <row r="118" spans="9:15" ht="13.5">
      <c r="I118" s="200"/>
      <c r="J118" s="200"/>
      <c r="K118" s="200"/>
      <c r="L118" s="200"/>
      <c r="M118" s="200"/>
      <c r="N118" s="200"/>
      <c r="O118" s="200"/>
    </row>
    <row r="119" spans="9:15" ht="13.5">
      <c r="I119" s="200"/>
      <c r="J119" s="200"/>
      <c r="K119" s="200"/>
      <c r="L119" s="200"/>
      <c r="M119" s="200"/>
      <c r="N119" s="200"/>
      <c r="O119" s="200"/>
    </row>
    <row r="120" spans="9:15" ht="13.5">
      <c r="I120" s="200"/>
      <c r="J120" s="200"/>
      <c r="K120" s="200"/>
      <c r="L120" s="200"/>
      <c r="M120" s="200"/>
      <c r="N120" s="200"/>
      <c r="O120" s="200"/>
    </row>
    <row r="121" spans="9:15" ht="13.5">
      <c r="I121" s="200"/>
      <c r="J121" s="200"/>
      <c r="K121" s="200"/>
      <c r="L121" s="200"/>
      <c r="M121" s="200"/>
      <c r="N121" s="200"/>
      <c r="O121" s="200"/>
    </row>
    <row r="122" spans="9:15" ht="13.5">
      <c r="I122" s="200"/>
      <c r="J122" s="200"/>
      <c r="K122" s="200"/>
      <c r="L122" s="200"/>
      <c r="M122" s="200"/>
      <c r="N122" s="200"/>
      <c r="O122" s="200"/>
    </row>
    <row r="123" spans="9:15" ht="13.5">
      <c r="I123" s="200"/>
      <c r="J123" s="200"/>
      <c r="K123" s="200"/>
      <c r="L123" s="200"/>
      <c r="M123" s="200"/>
      <c r="N123" s="200"/>
      <c r="O123" s="200"/>
    </row>
    <row r="124" spans="9:15" ht="13.5">
      <c r="I124" s="200"/>
      <c r="J124" s="200"/>
      <c r="K124" s="200"/>
      <c r="L124" s="200"/>
      <c r="M124" s="200"/>
      <c r="N124" s="200"/>
      <c r="O124" s="200"/>
    </row>
    <row r="125" spans="9:15" ht="13.5">
      <c r="I125" s="200"/>
      <c r="J125" s="200"/>
      <c r="K125" s="200"/>
      <c r="L125" s="200"/>
      <c r="M125" s="200"/>
      <c r="N125" s="200"/>
      <c r="O125" s="200"/>
    </row>
    <row r="126" spans="9:15" ht="13.5">
      <c r="I126" s="200"/>
      <c r="J126" s="200"/>
      <c r="K126" s="200"/>
      <c r="L126" s="200"/>
      <c r="M126" s="200"/>
      <c r="N126" s="200"/>
      <c r="O126" s="200"/>
    </row>
    <row r="127" spans="9:15" ht="13.5">
      <c r="I127" s="200"/>
      <c r="J127" s="200"/>
      <c r="K127" s="200"/>
      <c r="L127" s="200"/>
      <c r="M127" s="200"/>
      <c r="N127" s="200"/>
      <c r="O127" s="200"/>
    </row>
    <row r="128" spans="9:15" ht="13.5">
      <c r="I128" s="200"/>
      <c r="J128" s="200"/>
      <c r="K128" s="200"/>
      <c r="L128" s="200"/>
      <c r="M128" s="200"/>
      <c r="N128" s="200"/>
      <c r="O128" s="200"/>
    </row>
    <row r="129" spans="9:15" ht="13.5">
      <c r="I129" s="200"/>
      <c r="J129" s="200"/>
      <c r="K129" s="200"/>
      <c r="L129" s="200"/>
      <c r="M129" s="200"/>
      <c r="N129" s="200"/>
      <c r="O129" s="200"/>
    </row>
    <row r="130" spans="9:15" ht="13.5">
      <c r="I130" s="200"/>
      <c r="J130" s="200"/>
      <c r="K130" s="200"/>
      <c r="L130" s="200"/>
      <c r="M130" s="200"/>
      <c r="N130" s="200"/>
      <c r="O130" s="200"/>
    </row>
    <row r="131" spans="9:15" ht="13.5">
      <c r="I131" s="200"/>
      <c r="J131" s="200"/>
      <c r="K131" s="200"/>
      <c r="L131" s="200"/>
      <c r="M131" s="200"/>
      <c r="N131" s="200"/>
      <c r="O131" s="200"/>
    </row>
    <row r="132" spans="9:15" ht="13.5">
      <c r="I132" s="200"/>
      <c r="J132" s="200"/>
      <c r="K132" s="200"/>
      <c r="L132" s="200"/>
      <c r="M132" s="200"/>
      <c r="N132" s="200"/>
      <c r="O132" s="200"/>
    </row>
    <row r="133" spans="9:15" ht="13.5">
      <c r="I133" s="200"/>
      <c r="J133" s="200"/>
      <c r="K133" s="200"/>
      <c r="L133" s="200"/>
      <c r="M133" s="200"/>
      <c r="N133" s="200"/>
      <c r="O133" s="200"/>
    </row>
    <row r="134" spans="9:15" ht="13.5">
      <c r="I134" s="200"/>
      <c r="J134" s="200"/>
      <c r="K134" s="200"/>
      <c r="L134" s="200"/>
      <c r="M134" s="200"/>
      <c r="N134" s="200"/>
      <c r="O134" s="200"/>
    </row>
    <row r="135" spans="9:15" ht="13.5">
      <c r="I135" s="200"/>
      <c r="J135" s="200"/>
      <c r="K135" s="200"/>
      <c r="L135" s="200"/>
      <c r="M135" s="200"/>
      <c r="N135" s="200"/>
      <c r="O135" s="200"/>
    </row>
    <row r="136" spans="9:15" ht="13.5">
      <c r="I136" s="200"/>
      <c r="J136" s="200"/>
      <c r="K136" s="200"/>
      <c r="L136" s="200"/>
      <c r="M136" s="200"/>
      <c r="N136" s="200"/>
      <c r="O136" s="200"/>
    </row>
    <row r="137" spans="9:15" ht="13.5">
      <c r="I137" s="200"/>
      <c r="J137" s="200"/>
      <c r="K137" s="200"/>
      <c r="L137" s="200"/>
      <c r="M137" s="200"/>
      <c r="N137" s="200"/>
      <c r="O137" s="200"/>
    </row>
    <row r="138" spans="9:15" ht="13.5">
      <c r="I138" s="200"/>
      <c r="J138" s="200"/>
      <c r="K138" s="200"/>
      <c r="L138" s="200"/>
      <c r="M138" s="200"/>
      <c r="N138" s="200"/>
      <c r="O138" s="200"/>
    </row>
    <row r="139" spans="9:15" ht="13.5">
      <c r="I139" s="200"/>
      <c r="J139" s="200"/>
      <c r="K139" s="200"/>
      <c r="L139" s="200"/>
      <c r="M139" s="200"/>
      <c r="N139" s="200"/>
      <c r="O139" s="200"/>
    </row>
    <row r="140" spans="9:14" ht="13.5">
      <c r="I140" s="200"/>
      <c r="J140" s="200"/>
      <c r="K140" s="200"/>
      <c r="L140" s="200"/>
      <c r="M140" s="200"/>
      <c r="N140" s="200"/>
    </row>
    <row r="141" spans="9:14" ht="13.5">
      <c r="I141" s="200"/>
      <c r="J141" s="200"/>
      <c r="K141" s="200"/>
      <c r="L141" s="200"/>
      <c r="M141" s="200"/>
      <c r="N141" s="200"/>
    </row>
    <row r="142" spans="9:14" ht="13.5">
      <c r="I142" s="200"/>
      <c r="J142" s="200"/>
      <c r="K142" s="200"/>
      <c r="L142" s="200"/>
      <c r="M142" s="200"/>
      <c r="N142" s="200"/>
    </row>
    <row r="143" spans="9:14" ht="13.5">
      <c r="I143" s="200"/>
      <c r="J143" s="200"/>
      <c r="K143" s="200"/>
      <c r="L143" s="200"/>
      <c r="M143" s="200"/>
      <c r="N143" s="200"/>
    </row>
    <row r="144" spans="9:14" ht="13.5">
      <c r="I144" s="200"/>
      <c r="J144" s="200"/>
      <c r="K144" s="200"/>
      <c r="L144" s="200"/>
      <c r="M144" s="200"/>
      <c r="N144" s="200"/>
    </row>
    <row r="145" spans="9:14" ht="13.5">
      <c r="I145" s="200"/>
      <c r="J145" s="200"/>
      <c r="K145" s="200"/>
      <c r="L145" s="200"/>
      <c r="M145" s="200"/>
      <c r="N145" s="200"/>
    </row>
    <row r="146" spans="9:14" ht="13.5">
      <c r="I146" s="200"/>
      <c r="J146" s="200"/>
      <c r="K146" s="200"/>
      <c r="L146" s="200"/>
      <c r="M146" s="200"/>
      <c r="N146" s="200"/>
    </row>
    <row r="147" spans="9:14" ht="13.5">
      <c r="I147" s="200"/>
      <c r="J147" s="200"/>
      <c r="K147" s="200"/>
      <c r="L147" s="200"/>
      <c r="M147" s="200"/>
      <c r="N147" s="200"/>
    </row>
    <row r="148" spans="9:14" ht="13.5">
      <c r="I148" s="200"/>
      <c r="J148" s="200"/>
      <c r="K148" s="200"/>
      <c r="L148" s="200"/>
      <c r="M148" s="200"/>
      <c r="N148" s="200"/>
    </row>
    <row r="149" spans="9:14" ht="13.5">
      <c r="I149" s="200"/>
      <c r="J149" s="200"/>
      <c r="K149" s="200"/>
      <c r="L149" s="200"/>
      <c r="M149" s="200"/>
      <c r="N149" s="200"/>
    </row>
    <row r="150" spans="9:14" ht="13.5">
      <c r="I150" s="200"/>
      <c r="J150" s="200"/>
      <c r="K150" s="200"/>
      <c r="L150" s="200"/>
      <c r="M150" s="200"/>
      <c r="N150" s="200"/>
    </row>
    <row r="151" spans="9:14" ht="13.5">
      <c r="I151" s="200"/>
      <c r="J151" s="200"/>
      <c r="K151" s="200"/>
      <c r="L151" s="200"/>
      <c r="M151" s="200"/>
      <c r="N151" s="200"/>
    </row>
    <row r="152" spans="9:14" ht="13.5">
      <c r="I152" s="200"/>
      <c r="J152" s="200"/>
      <c r="K152" s="200"/>
      <c r="L152" s="200"/>
      <c r="M152" s="200"/>
      <c r="N152" s="200"/>
    </row>
    <row r="153" spans="9:14" ht="13.5">
      <c r="I153" s="200"/>
      <c r="J153" s="200"/>
      <c r="K153" s="200"/>
      <c r="L153" s="200"/>
      <c r="M153" s="200"/>
      <c r="N153" s="200"/>
    </row>
    <row r="154" spans="9:14" ht="13.5">
      <c r="I154" s="200"/>
      <c r="J154" s="200"/>
      <c r="K154" s="200"/>
      <c r="L154" s="200"/>
      <c r="M154" s="200"/>
      <c r="N154" s="200"/>
    </row>
    <row r="155" spans="10:14" ht="13.5">
      <c r="J155" s="200"/>
      <c r="K155" s="200"/>
      <c r="L155" s="200"/>
      <c r="M155" s="200"/>
      <c r="N155" s="200"/>
    </row>
    <row r="156" spans="10:14" ht="13.5">
      <c r="J156" s="200"/>
      <c r="K156" s="200"/>
      <c r="L156" s="200"/>
      <c r="M156" s="200"/>
      <c r="N156" s="200"/>
    </row>
    <row r="173" ht="13.5">
      <c r="O173" s="200"/>
    </row>
    <row r="174" ht="13.5">
      <c r="O174" s="200"/>
    </row>
    <row r="175" ht="13.5">
      <c r="O175" s="200"/>
    </row>
    <row r="176" ht="13.5">
      <c r="O176" s="200"/>
    </row>
    <row r="177" ht="13.5">
      <c r="O177" s="200"/>
    </row>
    <row r="178" ht="13.5">
      <c r="O178" s="200"/>
    </row>
    <row r="179" ht="13.5">
      <c r="O179" s="200"/>
    </row>
    <row r="180" ht="13.5">
      <c r="O180" s="200"/>
    </row>
    <row r="181" ht="13.5">
      <c r="O181" s="200"/>
    </row>
    <row r="182" ht="13.5">
      <c r="O182" s="200"/>
    </row>
    <row r="183" ht="13.5">
      <c r="O183" s="200"/>
    </row>
    <row r="184" ht="13.5">
      <c r="O184" s="200"/>
    </row>
    <row r="185" ht="13.5">
      <c r="O185" s="200"/>
    </row>
    <row r="186" ht="13.5">
      <c r="O186" s="200"/>
    </row>
    <row r="187" ht="13.5">
      <c r="O187" s="200"/>
    </row>
    <row r="188" ht="13.5">
      <c r="O188" s="200"/>
    </row>
    <row r="189" ht="13.5">
      <c r="O189" s="200"/>
    </row>
    <row r="190" ht="13.5">
      <c r="O190" s="200"/>
    </row>
    <row r="191" ht="13.5">
      <c r="O191" s="200"/>
    </row>
    <row r="192" ht="13.5">
      <c r="O192" s="200"/>
    </row>
  </sheetData>
  <sheetProtection/>
  <mergeCells count="70">
    <mergeCell ref="Q45:Q49"/>
    <mergeCell ref="I57:J57"/>
    <mergeCell ref="K57:L57"/>
    <mergeCell ref="P57:Q57"/>
    <mergeCell ref="Q51:Q55"/>
    <mergeCell ref="B50:B53"/>
    <mergeCell ref="K50:L50"/>
    <mergeCell ref="I51:I56"/>
    <mergeCell ref="K51:L51"/>
    <mergeCell ref="K52:L52"/>
    <mergeCell ref="K46:L46"/>
    <mergeCell ref="K49:L49"/>
    <mergeCell ref="B54:B57"/>
    <mergeCell ref="I47:I50"/>
    <mergeCell ref="K56:L56"/>
    <mergeCell ref="K48:L48"/>
    <mergeCell ref="B39:B49"/>
    <mergeCell ref="K43:L43"/>
    <mergeCell ref="K44:L44"/>
    <mergeCell ref="K45:L45"/>
    <mergeCell ref="I36:I42"/>
    <mergeCell ref="K39:L39"/>
    <mergeCell ref="K40:L40"/>
    <mergeCell ref="K41:L41"/>
    <mergeCell ref="K42:L42"/>
    <mergeCell ref="P45:P56"/>
    <mergeCell ref="K53:L53"/>
    <mergeCell ref="K54:L54"/>
    <mergeCell ref="K55:L55"/>
    <mergeCell ref="K47:L47"/>
    <mergeCell ref="B21:B24"/>
    <mergeCell ref="B12:B16"/>
    <mergeCell ref="I13:I16"/>
    <mergeCell ref="T13:U13"/>
    <mergeCell ref="T14:U14"/>
    <mergeCell ref="T15:U15"/>
    <mergeCell ref="T16:U16"/>
    <mergeCell ref="I17:I20"/>
    <mergeCell ref="T17:U17"/>
    <mergeCell ref="B17:B20"/>
    <mergeCell ref="I4:I5"/>
    <mergeCell ref="J4:J5"/>
    <mergeCell ref="M4:M5"/>
    <mergeCell ref="N4:N5"/>
    <mergeCell ref="I21:I24"/>
    <mergeCell ref="T21:U21"/>
    <mergeCell ref="T18:U18"/>
    <mergeCell ref="T19:U19"/>
    <mergeCell ref="T20:U20"/>
    <mergeCell ref="T4:U4"/>
    <mergeCell ref="B8:B11"/>
    <mergeCell ref="B5:B7"/>
    <mergeCell ref="T5:U5"/>
    <mergeCell ref="I6:I12"/>
    <mergeCell ref="T6:U6"/>
    <mergeCell ref="T8:U8"/>
    <mergeCell ref="T9:U9"/>
    <mergeCell ref="T11:U11"/>
    <mergeCell ref="T12:U12"/>
    <mergeCell ref="T7:U7"/>
    <mergeCell ref="Q37:R37"/>
    <mergeCell ref="I25:I28"/>
    <mergeCell ref="B28:B38"/>
    <mergeCell ref="K35:L35"/>
    <mergeCell ref="K36:L36"/>
    <mergeCell ref="K37:L37"/>
    <mergeCell ref="K38:L38"/>
    <mergeCell ref="I29:I32"/>
    <mergeCell ref="P38:P44"/>
    <mergeCell ref="I43:I46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AB192"/>
  <sheetViews>
    <sheetView zoomScale="75" zoomScaleNormal="75" workbookViewId="0" topLeftCell="A1">
      <selection activeCell="A1" sqref="A1"/>
    </sheetView>
  </sheetViews>
  <sheetFormatPr defaultColWidth="8.875" defaultRowHeight="13.5"/>
  <cols>
    <col min="1" max="1" width="1.625" style="87" customWidth="1"/>
    <col min="2" max="2" width="3.625" style="87" customWidth="1"/>
    <col min="3" max="3" width="19.50390625" style="87" customWidth="1"/>
    <col min="4" max="7" width="8.625" style="87" customWidth="1"/>
    <col min="8" max="8" width="2.375" style="200" customWidth="1"/>
    <col min="9" max="9" width="3.625" style="87" customWidth="1"/>
    <col min="10" max="10" width="15.625" style="87" customWidth="1"/>
    <col min="11" max="14" width="8.625" style="87" customWidth="1"/>
    <col min="15" max="15" width="3.50390625" style="87" customWidth="1"/>
    <col min="16" max="16" width="15.625" style="169" customWidth="1"/>
    <col min="17" max="17" width="8.625" style="87" customWidth="1"/>
    <col min="18" max="18" width="8.625" style="88" customWidth="1"/>
    <col min="19" max="21" width="8.625" style="87" customWidth="1"/>
    <col min="22" max="22" width="10.625" style="88" customWidth="1"/>
    <col min="23" max="16384" width="8.875" style="87" customWidth="1"/>
  </cols>
  <sheetData>
    <row r="1" ht="9.75" customHeight="1"/>
    <row r="2" spans="2:15" ht="24.75" customHeight="1">
      <c r="B2" s="1" t="s">
        <v>409</v>
      </c>
      <c r="C2" s="89"/>
      <c r="D2" s="13"/>
      <c r="E2" s="13"/>
      <c r="F2" s="89"/>
      <c r="G2" s="144"/>
      <c r="H2" s="154"/>
      <c r="I2" s="144"/>
      <c r="J2" s="144"/>
      <c r="K2" s="144"/>
      <c r="L2" s="144"/>
      <c r="M2" s="144"/>
      <c r="N2" s="144"/>
      <c r="O2" s="13"/>
    </row>
    <row r="3" spans="2:16" ht="15" customHeight="1" thickBot="1">
      <c r="B3" s="87" t="s">
        <v>220</v>
      </c>
      <c r="I3" s="13" t="s">
        <v>221</v>
      </c>
      <c r="P3" s="87" t="s">
        <v>241</v>
      </c>
    </row>
    <row r="4" spans="2:22" ht="15" customHeight="1">
      <c r="B4" s="290" t="s">
        <v>89</v>
      </c>
      <c r="C4" s="189" t="s">
        <v>181</v>
      </c>
      <c r="D4" s="189" t="s">
        <v>153</v>
      </c>
      <c r="E4" s="189" t="s">
        <v>154</v>
      </c>
      <c r="F4" s="354" t="s">
        <v>24</v>
      </c>
      <c r="G4" s="177" t="s">
        <v>155</v>
      </c>
      <c r="H4" s="190"/>
      <c r="I4" s="752" t="s">
        <v>89</v>
      </c>
      <c r="J4" s="750" t="s">
        <v>185</v>
      </c>
      <c r="K4" s="193" t="s">
        <v>182</v>
      </c>
      <c r="L4" s="193" t="s">
        <v>156</v>
      </c>
      <c r="M4" s="755" t="s">
        <v>24</v>
      </c>
      <c r="N4" s="757" t="s">
        <v>155</v>
      </c>
      <c r="O4" s="211"/>
      <c r="P4" s="291" t="s">
        <v>188</v>
      </c>
      <c r="Q4" s="292" t="s">
        <v>189</v>
      </c>
      <c r="R4" s="292" t="s">
        <v>190</v>
      </c>
      <c r="S4" s="292" t="s">
        <v>191</v>
      </c>
      <c r="T4" s="754" t="s">
        <v>192</v>
      </c>
      <c r="U4" s="707"/>
      <c r="V4" s="293" t="s">
        <v>193</v>
      </c>
    </row>
    <row r="5" spans="2:22" ht="15" customHeight="1">
      <c r="B5" s="766" t="s">
        <v>177</v>
      </c>
      <c r="C5" s="92"/>
      <c r="D5" s="92"/>
      <c r="E5" s="381"/>
      <c r="F5" s="92"/>
      <c r="G5" s="178">
        <f>D5*F5</f>
        <v>0</v>
      </c>
      <c r="H5" s="191"/>
      <c r="I5" s="753"/>
      <c r="J5" s="751"/>
      <c r="K5" s="195" t="s">
        <v>157</v>
      </c>
      <c r="L5" s="195" t="s">
        <v>300</v>
      </c>
      <c r="M5" s="756"/>
      <c r="N5" s="758"/>
      <c r="O5" s="211"/>
      <c r="P5" s="294" t="s">
        <v>413</v>
      </c>
      <c r="Q5" s="175"/>
      <c r="R5" s="206" t="s">
        <v>105</v>
      </c>
      <c r="S5" s="175"/>
      <c r="T5" s="744" t="s">
        <v>414</v>
      </c>
      <c r="U5" s="745"/>
      <c r="V5" s="411">
        <v>5806.666666666667</v>
      </c>
    </row>
    <row r="6" spans="2:22" ht="15" customHeight="1">
      <c r="B6" s="763"/>
      <c r="C6" s="86"/>
      <c r="D6" s="86"/>
      <c r="E6" s="91"/>
      <c r="F6" s="86"/>
      <c r="G6" s="179">
        <f>D6*F6</f>
        <v>0</v>
      </c>
      <c r="H6" s="191"/>
      <c r="I6" s="746" t="s">
        <v>184</v>
      </c>
      <c r="J6" s="92" t="s">
        <v>297</v>
      </c>
      <c r="K6" s="357">
        <v>4.2</v>
      </c>
      <c r="L6" s="357">
        <v>13</v>
      </c>
      <c r="M6" s="357">
        <v>84.7</v>
      </c>
      <c r="N6" s="401">
        <f aca="true" t="shared" si="0" ref="N6:N11">K6*L6*M6</f>
        <v>4624.62</v>
      </c>
      <c r="O6" s="211"/>
      <c r="P6" s="294"/>
      <c r="Q6" s="175"/>
      <c r="R6" s="206"/>
      <c r="S6" s="175"/>
      <c r="T6" s="744"/>
      <c r="U6" s="745"/>
      <c r="V6" s="201"/>
    </row>
    <row r="7" spans="2:22" ht="15" customHeight="1" thickBot="1">
      <c r="B7" s="765"/>
      <c r="C7" s="180" t="s">
        <v>158</v>
      </c>
      <c r="D7" s="180"/>
      <c r="E7" s="180"/>
      <c r="F7" s="180"/>
      <c r="G7" s="181">
        <f>SUM(G5:G6)</f>
        <v>0</v>
      </c>
      <c r="H7" s="191"/>
      <c r="I7" s="747"/>
      <c r="J7" s="92" t="s">
        <v>298</v>
      </c>
      <c r="K7" s="357">
        <v>2.6</v>
      </c>
      <c r="L7" s="357">
        <f>5+6.5</f>
        <v>11.5</v>
      </c>
      <c r="M7" s="357">
        <v>84.7</v>
      </c>
      <c r="N7" s="401">
        <f t="shared" si="0"/>
        <v>2532.53</v>
      </c>
      <c r="O7" s="211"/>
      <c r="P7" s="294"/>
      <c r="Q7" s="175"/>
      <c r="R7" s="206"/>
      <c r="S7" s="175"/>
      <c r="T7" s="744"/>
      <c r="U7" s="745"/>
      <c r="V7" s="201"/>
    </row>
    <row r="8" spans="2:22" ht="15" customHeight="1" thickTop="1">
      <c r="B8" s="762" t="s">
        <v>175</v>
      </c>
      <c r="C8" s="86" t="s">
        <v>392</v>
      </c>
      <c r="D8" s="86">
        <v>10</v>
      </c>
      <c r="E8" s="91" t="s">
        <v>282</v>
      </c>
      <c r="F8" s="86">
        <v>3840</v>
      </c>
      <c r="G8" s="179">
        <f>D8*F8</f>
        <v>38400</v>
      </c>
      <c r="H8" s="191"/>
      <c r="I8" s="747"/>
      <c r="J8" s="92" t="s">
        <v>306</v>
      </c>
      <c r="K8" s="357">
        <v>1.2</v>
      </c>
      <c r="L8" s="357">
        <v>3</v>
      </c>
      <c r="M8" s="357">
        <v>84.7</v>
      </c>
      <c r="N8" s="401">
        <f t="shared" si="0"/>
        <v>304.91999999999996</v>
      </c>
      <c r="O8" s="211"/>
      <c r="P8" s="294"/>
      <c r="Q8" s="175"/>
      <c r="R8" s="206"/>
      <c r="S8" s="175"/>
      <c r="T8" s="744"/>
      <c r="U8" s="745"/>
      <c r="V8" s="201"/>
    </row>
    <row r="9" spans="2:22" ht="15" customHeight="1">
      <c r="B9" s="763"/>
      <c r="C9" s="86"/>
      <c r="D9" s="86"/>
      <c r="E9" s="91"/>
      <c r="F9" s="86"/>
      <c r="G9" s="179">
        <f>D9*F9</f>
        <v>0</v>
      </c>
      <c r="H9" s="191"/>
      <c r="I9" s="747"/>
      <c r="J9" s="402" t="s">
        <v>301</v>
      </c>
      <c r="K9" s="403">
        <v>4.3</v>
      </c>
      <c r="L9" s="403">
        <v>5</v>
      </c>
      <c r="M9" s="357">
        <v>84.7</v>
      </c>
      <c r="N9" s="404">
        <f t="shared" si="0"/>
        <v>1821.05</v>
      </c>
      <c r="O9" s="211"/>
      <c r="P9" s="294"/>
      <c r="Q9" s="175"/>
      <c r="R9" s="206"/>
      <c r="S9" s="175"/>
      <c r="T9" s="744"/>
      <c r="U9" s="745"/>
      <c r="V9" s="201"/>
    </row>
    <row r="10" spans="2:22" ht="15" customHeight="1">
      <c r="B10" s="763"/>
      <c r="C10" s="86"/>
      <c r="D10" s="86"/>
      <c r="E10" s="91"/>
      <c r="F10" s="86"/>
      <c r="G10" s="179">
        <f>D10*F10</f>
        <v>0</v>
      </c>
      <c r="H10" s="191"/>
      <c r="I10" s="747"/>
      <c r="J10" s="405"/>
      <c r="K10" s="406"/>
      <c r="L10" s="406"/>
      <c r="M10" s="357"/>
      <c r="N10" s="407"/>
      <c r="O10" s="211"/>
      <c r="P10" s="294"/>
      <c r="Q10" s="175"/>
      <c r="R10" s="206"/>
      <c r="S10" s="175"/>
      <c r="T10" s="351"/>
      <c r="U10" s="340"/>
      <c r="V10" s="201"/>
    </row>
    <row r="11" spans="2:22" ht="15" customHeight="1" thickBot="1">
      <c r="B11" s="765"/>
      <c r="C11" s="182" t="s">
        <v>159</v>
      </c>
      <c r="D11" s="183"/>
      <c r="E11" s="183"/>
      <c r="F11" s="183"/>
      <c r="G11" s="184">
        <f>SUM(G8:G10)</f>
        <v>38400</v>
      </c>
      <c r="H11" s="191"/>
      <c r="I11" s="747"/>
      <c r="J11" s="408" t="s">
        <v>303</v>
      </c>
      <c r="K11" s="409">
        <v>1.2</v>
      </c>
      <c r="L11" s="409">
        <v>3.5</v>
      </c>
      <c r="M11" s="357">
        <v>84.7</v>
      </c>
      <c r="N11" s="410">
        <f t="shared" si="0"/>
        <v>355.74</v>
      </c>
      <c r="O11" s="211"/>
      <c r="P11" s="294"/>
      <c r="Q11" s="175"/>
      <c r="R11" s="206"/>
      <c r="S11" s="175"/>
      <c r="T11" s="744"/>
      <c r="U11" s="745"/>
      <c r="V11" s="201"/>
    </row>
    <row r="12" spans="2:22" ht="15" customHeight="1" thickBot="1" thickTop="1">
      <c r="B12" s="762" t="s">
        <v>176</v>
      </c>
      <c r="C12" s="92" t="s">
        <v>444</v>
      </c>
      <c r="D12" s="92">
        <v>500</v>
      </c>
      <c r="E12" s="91" t="s">
        <v>286</v>
      </c>
      <c r="F12" s="92">
        <f>3220/20</f>
        <v>161</v>
      </c>
      <c r="G12" s="179">
        <f>D12*F12</f>
        <v>80500</v>
      </c>
      <c r="H12" s="191"/>
      <c r="I12" s="748"/>
      <c r="J12" s="182" t="s">
        <v>246</v>
      </c>
      <c r="K12" s="341">
        <f>SUM(K6:K9)</f>
        <v>12.3</v>
      </c>
      <c r="L12" s="341">
        <f>SUM(L6:L11)</f>
        <v>36</v>
      </c>
      <c r="M12" s="341"/>
      <c r="N12" s="343">
        <f>SUM(N6:N11)</f>
        <v>9638.859999999999</v>
      </c>
      <c r="O12" s="211"/>
      <c r="P12" s="294"/>
      <c r="Q12" s="175"/>
      <c r="R12" s="206"/>
      <c r="S12" s="175"/>
      <c r="T12" s="744"/>
      <c r="U12" s="745"/>
      <c r="V12" s="201"/>
    </row>
    <row r="13" spans="2:22" ht="15" customHeight="1" thickTop="1">
      <c r="B13" s="763"/>
      <c r="C13" s="86"/>
      <c r="D13" s="86"/>
      <c r="E13" s="91"/>
      <c r="F13" s="86"/>
      <c r="G13" s="179">
        <f>D13*F13</f>
        <v>0</v>
      </c>
      <c r="H13" s="191"/>
      <c r="I13" s="778" t="s">
        <v>48</v>
      </c>
      <c r="J13" s="86" t="s">
        <v>299</v>
      </c>
      <c r="K13" s="196">
        <v>2.8</v>
      </c>
      <c r="L13" s="196">
        <v>3.3</v>
      </c>
      <c r="M13" s="357">
        <v>158.4</v>
      </c>
      <c r="N13" s="342">
        <f>K13*L13*M13</f>
        <v>1463.6159999999998</v>
      </c>
      <c r="O13" s="211"/>
      <c r="P13" s="294"/>
      <c r="Q13" s="175"/>
      <c r="R13" s="206"/>
      <c r="S13" s="175"/>
      <c r="T13" s="744"/>
      <c r="U13" s="745"/>
      <c r="V13" s="201"/>
    </row>
    <row r="14" spans="2:22" ht="15" customHeight="1">
      <c r="B14" s="763"/>
      <c r="C14" s="86"/>
      <c r="D14" s="86"/>
      <c r="E14" s="91"/>
      <c r="F14" s="86"/>
      <c r="G14" s="179">
        <f>D14*F14</f>
        <v>0</v>
      </c>
      <c r="H14" s="191"/>
      <c r="I14" s="779"/>
      <c r="J14" s="86"/>
      <c r="K14" s="196"/>
      <c r="L14" s="196"/>
      <c r="M14" s="196"/>
      <c r="N14" s="342">
        <f>K14*L14*M14</f>
        <v>0</v>
      </c>
      <c r="O14" s="211"/>
      <c r="P14" s="294"/>
      <c r="Q14" s="175"/>
      <c r="R14" s="206"/>
      <c r="S14" s="175"/>
      <c r="T14" s="744"/>
      <c r="U14" s="745"/>
      <c r="V14" s="201"/>
    </row>
    <row r="15" spans="2:22" ht="15" customHeight="1">
      <c r="B15" s="763"/>
      <c r="C15" s="86"/>
      <c r="D15" s="86"/>
      <c r="E15" s="86"/>
      <c r="F15" s="86"/>
      <c r="G15" s="179">
        <f>D15*F15</f>
        <v>0</v>
      </c>
      <c r="H15" s="191"/>
      <c r="I15" s="779"/>
      <c r="J15" s="86"/>
      <c r="K15" s="196"/>
      <c r="L15" s="196"/>
      <c r="M15" s="196"/>
      <c r="N15" s="342">
        <f>K15*L15*M15</f>
        <v>0</v>
      </c>
      <c r="O15" s="211"/>
      <c r="P15" s="294"/>
      <c r="Q15" s="175"/>
      <c r="R15" s="206"/>
      <c r="S15" s="175"/>
      <c r="T15" s="744"/>
      <c r="U15" s="745"/>
      <c r="V15" s="201"/>
    </row>
    <row r="16" spans="2:22" ht="15" customHeight="1" thickBot="1">
      <c r="B16" s="765"/>
      <c r="C16" s="182" t="s">
        <v>159</v>
      </c>
      <c r="D16" s="183"/>
      <c r="E16" s="183"/>
      <c r="F16" s="183"/>
      <c r="G16" s="184">
        <f>SUM(G12:G15)</f>
        <v>80500</v>
      </c>
      <c r="H16" s="191"/>
      <c r="I16" s="780"/>
      <c r="J16" s="295" t="s">
        <v>246</v>
      </c>
      <c r="K16" s="197">
        <f>SUM(K13:K15)</f>
        <v>2.8</v>
      </c>
      <c r="L16" s="197">
        <f>SUM(L13:L15)</f>
        <v>3.3</v>
      </c>
      <c r="M16" s="197"/>
      <c r="N16" s="344">
        <f>SUM(N13:N15)</f>
        <v>1463.6159999999998</v>
      </c>
      <c r="O16" s="211"/>
      <c r="P16" s="294"/>
      <c r="Q16" s="175"/>
      <c r="R16" s="206"/>
      <c r="S16" s="175"/>
      <c r="T16" s="744"/>
      <c r="U16" s="745"/>
      <c r="V16" s="201"/>
    </row>
    <row r="17" spans="2:22" ht="15" customHeight="1" thickTop="1">
      <c r="B17" s="762" t="s">
        <v>178</v>
      </c>
      <c r="C17" s="86"/>
      <c r="D17" s="86"/>
      <c r="E17" s="91"/>
      <c r="F17" s="86"/>
      <c r="G17" s="179">
        <f>D17*F17</f>
        <v>0</v>
      </c>
      <c r="H17" s="191"/>
      <c r="I17" s="778" t="s">
        <v>186</v>
      </c>
      <c r="J17" s="86"/>
      <c r="K17" s="196">
        <v>0</v>
      </c>
      <c r="L17" s="196"/>
      <c r="M17" s="196"/>
      <c r="N17" s="342">
        <f>K17*L17*M17</f>
        <v>0</v>
      </c>
      <c r="O17" s="211"/>
      <c r="P17" s="294"/>
      <c r="Q17" s="175"/>
      <c r="R17" s="206"/>
      <c r="S17" s="175"/>
      <c r="T17" s="744"/>
      <c r="U17" s="745"/>
      <c r="V17" s="201"/>
    </row>
    <row r="18" spans="2:22" ht="15" customHeight="1">
      <c r="B18" s="763"/>
      <c r="C18" s="86"/>
      <c r="D18" s="86"/>
      <c r="E18" s="91"/>
      <c r="F18" s="86"/>
      <c r="G18" s="179">
        <f>D18*F18</f>
        <v>0</v>
      </c>
      <c r="H18" s="191"/>
      <c r="I18" s="779"/>
      <c r="J18" s="86"/>
      <c r="K18" s="196"/>
      <c r="L18" s="196"/>
      <c r="M18" s="196"/>
      <c r="N18" s="342">
        <f>K18*L18*M18</f>
        <v>0</v>
      </c>
      <c r="O18" s="211"/>
      <c r="P18" s="294"/>
      <c r="Q18" s="175"/>
      <c r="R18" s="206"/>
      <c r="S18" s="175"/>
      <c r="T18" s="744"/>
      <c r="U18" s="745"/>
      <c r="V18" s="201"/>
    </row>
    <row r="19" spans="2:22" ht="15" customHeight="1">
      <c r="B19" s="763"/>
      <c r="C19" s="86"/>
      <c r="D19" s="86"/>
      <c r="E19" s="86"/>
      <c r="F19" s="86"/>
      <c r="G19" s="179">
        <f>D19*F19</f>
        <v>0</v>
      </c>
      <c r="H19" s="191"/>
      <c r="I19" s="779"/>
      <c r="J19" s="86"/>
      <c r="K19" s="196"/>
      <c r="L19" s="196"/>
      <c r="M19" s="196"/>
      <c r="N19" s="342">
        <f>K19*L19*M19</f>
        <v>0</v>
      </c>
      <c r="O19" s="211"/>
      <c r="P19" s="294"/>
      <c r="Q19" s="175"/>
      <c r="R19" s="206"/>
      <c r="S19" s="175"/>
      <c r="T19" s="744"/>
      <c r="U19" s="745"/>
      <c r="V19" s="201"/>
    </row>
    <row r="20" spans="2:22" ht="15" customHeight="1" thickBot="1">
      <c r="B20" s="765"/>
      <c r="C20" s="182" t="s">
        <v>159</v>
      </c>
      <c r="D20" s="183"/>
      <c r="E20" s="183"/>
      <c r="F20" s="183"/>
      <c r="G20" s="184">
        <f>SUM(G17:G19)</f>
        <v>0</v>
      </c>
      <c r="H20" s="191"/>
      <c r="I20" s="780"/>
      <c r="J20" s="295" t="s">
        <v>246</v>
      </c>
      <c r="K20" s="197">
        <f>SUM(K17:K19)</f>
        <v>0</v>
      </c>
      <c r="L20" s="198">
        <f>SUM(L17:L19)</f>
        <v>0</v>
      </c>
      <c r="M20" s="199"/>
      <c r="N20" s="344">
        <f>SUM(N17:N19)</f>
        <v>0</v>
      </c>
      <c r="O20" s="211"/>
      <c r="P20" s="294"/>
      <c r="Q20" s="175"/>
      <c r="R20" s="206"/>
      <c r="S20" s="175"/>
      <c r="T20" s="744"/>
      <c r="U20" s="745"/>
      <c r="V20" s="201"/>
    </row>
    <row r="21" spans="2:22" ht="15" customHeight="1" thickBot="1" thickTop="1">
      <c r="B21" s="762" t="s">
        <v>179</v>
      </c>
      <c r="C21" s="86" t="s">
        <v>445</v>
      </c>
      <c r="D21" s="86">
        <f>189*4.3</f>
        <v>812.6999999999999</v>
      </c>
      <c r="E21" s="91" t="s">
        <v>286</v>
      </c>
      <c r="F21" s="86">
        <f>510/20</f>
        <v>25.5</v>
      </c>
      <c r="G21" s="179">
        <f>D21*F21</f>
        <v>20723.85</v>
      </c>
      <c r="H21" s="191"/>
      <c r="I21" s="778" t="s">
        <v>187</v>
      </c>
      <c r="J21" s="86" t="s">
        <v>302</v>
      </c>
      <c r="K21" s="196">
        <v>28.2</v>
      </c>
      <c r="L21" s="196">
        <v>6.1</v>
      </c>
      <c r="M21" s="357">
        <v>102.1</v>
      </c>
      <c r="N21" s="342">
        <f>K21*L21*M21</f>
        <v>17563.242</v>
      </c>
      <c r="O21" s="211"/>
      <c r="P21" s="202" t="s">
        <v>29</v>
      </c>
      <c r="Q21" s="203"/>
      <c r="R21" s="203"/>
      <c r="S21" s="203"/>
      <c r="T21" s="743"/>
      <c r="U21" s="736"/>
      <c r="V21" s="204">
        <f>SUM(V5:V20)</f>
        <v>5806.666666666667</v>
      </c>
    </row>
    <row r="22" spans="2:15" ht="15" customHeight="1">
      <c r="B22" s="763"/>
      <c r="C22" s="86"/>
      <c r="D22" s="86"/>
      <c r="E22" s="91"/>
      <c r="F22" s="86"/>
      <c r="G22" s="179">
        <f>D22*F22</f>
        <v>0</v>
      </c>
      <c r="H22" s="191"/>
      <c r="I22" s="779"/>
      <c r="J22" s="86"/>
      <c r="K22" s="196"/>
      <c r="L22" s="196"/>
      <c r="M22" s="196"/>
      <c r="N22" s="342">
        <f>K22*L22*M22</f>
        <v>0</v>
      </c>
      <c r="O22" s="211"/>
    </row>
    <row r="23" spans="2:16" ht="15" customHeight="1" thickBot="1">
      <c r="B23" s="763"/>
      <c r="C23" s="86"/>
      <c r="D23" s="86"/>
      <c r="E23" s="91"/>
      <c r="F23" s="86"/>
      <c r="G23" s="179">
        <f>D23*F23</f>
        <v>0</v>
      </c>
      <c r="H23" s="191"/>
      <c r="I23" s="779"/>
      <c r="J23" s="86"/>
      <c r="K23" s="196"/>
      <c r="L23" s="196"/>
      <c r="M23" s="196"/>
      <c r="N23" s="342">
        <f>K23*L23*M23</f>
        <v>0</v>
      </c>
      <c r="O23" s="211"/>
      <c r="P23" s="87" t="s">
        <v>242</v>
      </c>
    </row>
    <row r="24" spans="2:22" ht="15" customHeight="1" thickBot="1">
      <c r="B24" s="764"/>
      <c r="C24" s="185" t="s">
        <v>160</v>
      </c>
      <c r="D24" s="186"/>
      <c r="E24" s="186"/>
      <c r="F24" s="186"/>
      <c r="G24" s="187">
        <f>SUM(G21:G23)</f>
        <v>20723.85</v>
      </c>
      <c r="H24" s="191"/>
      <c r="I24" s="780"/>
      <c r="J24" s="295" t="s">
        <v>246</v>
      </c>
      <c r="K24" s="197">
        <f>SUM(K21:K23)</f>
        <v>28.2</v>
      </c>
      <c r="L24" s="198">
        <f>SUM(L21:L23)</f>
        <v>6.1</v>
      </c>
      <c r="M24" s="199"/>
      <c r="N24" s="344">
        <f>SUM(N21:N23)</f>
        <v>17563.242</v>
      </c>
      <c r="O24" s="211"/>
      <c r="P24" s="291" t="s">
        <v>194</v>
      </c>
      <c r="Q24" s="292" t="s">
        <v>189</v>
      </c>
      <c r="R24" s="292" t="s">
        <v>190</v>
      </c>
      <c r="S24" s="292" t="s">
        <v>191</v>
      </c>
      <c r="T24" s="292" t="s">
        <v>192</v>
      </c>
      <c r="U24" s="171" t="s">
        <v>195</v>
      </c>
      <c r="V24" s="293" t="s">
        <v>193</v>
      </c>
    </row>
    <row r="25" spans="9:22" ht="15" customHeight="1" thickTop="1">
      <c r="I25" s="778" t="s">
        <v>266</v>
      </c>
      <c r="J25" s="86"/>
      <c r="K25" s="196"/>
      <c r="L25" s="196"/>
      <c r="M25" s="196"/>
      <c r="N25" s="342">
        <f>K25*L25*M25</f>
        <v>0</v>
      </c>
      <c r="O25" s="211"/>
      <c r="P25" s="294" t="s">
        <v>313</v>
      </c>
      <c r="Q25" s="175">
        <v>10</v>
      </c>
      <c r="R25" s="206" t="s">
        <v>245</v>
      </c>
      <c r="S25" s="250">
        <v>500</v>
      </c>
      <c r="T25" s="175">
        <v>2</v>
      </c>
      <c r="U25" s="176">
        <v>30</v>
      </c>
      <c r="V25" s="201">
        <f>Q25*S25/T25/U25</f>
        <v>83.33333333333333</v>
      </c>
    </row>
    <row r="26" spans="2:28" ht="15" customHeight="1" thickBot="1">
      <c r="B26" s="13" t="s">
        <v>250</v>
      </c>
      <c r="C26" s="13"/>
      <c r="D26" s="89"/>
      <c r="E26" s="13"/>
      <c r="F26" s="89"/>
      <c r="G26" s="90"/>
      <c r="H26" s="192"/>
      <c r="I26" s="779"/>
      <c r="J26" s="86"/>
      <c r="K26" s="196"/>
      <c r="L26" s="196"/>
      <c r="M26" s="196"/>
      <c r="N26" s="342">
        <f>K26*L26*M26</f>
        <v>0</v>
      </c>
      <c r="O26" s="211"/>
      <c r="P26" s="294"/>
      <c r="Q26" s="175"/>
      <c r="R26" s="206"/>
      <c r="S26" s="175"/>
      <c r="T26" s="175"/>
      <c r="U26" s="176"/>
      <c r="V26" s="201"/>
      <c r="AA26" s="87" t="s">
        <v>311</v>
      </c>
      <c r="AB26" s="87" t="s">
        <v>312</v>
      </c>
    </row>
    <row r="27" spans="2:22" ht="15" customHeight="1">
      <c r="B27" s="290" t="s">
        <v>89</v>
      </c>
      <c r="C27" s="189" t="s">
        <v>152</v>
      </c>
      <c r="D27" s="189" t="s">
        <v>153</v>
      </c>
      <c r="E27" s="189" t="s">
        <v>154</v>
      </c>
      <c r="F27" s="354" t="s">
        <v>24</v>
      </c>
      <c r="G27" s="177" t="s">
        <v>155</v>
      </c>
      <c r="H27" s="190"/>
      <c r="I27" s="779"/>
      <c r="J27" s="86"/>
      <c r="K27" s="196"/>
      <c r="L27" s="196"/>
      <c r="M27" s="196"/>
      <c r="N27" s="342">
        <f>K27*L27*M27</f>
        <v>0</v>
      </c>
      <c r="O27" s="211"/>
      <c r="P27" s="294"/>
      <c r="Q27" s="175"/>
      <c r="R27" s="206"/>
      <c r="S27" s="175"/>
      <c r="T27" s="175"/>
      <c r="U27" s="176"/>
      <c r="V27" s="201"/>
    </row>
    <row r="28" spans="2:22" ht="15" customHeight="1" thickBot="1">
      <c r="B28" s="766" t="s">
        <v>30</v>
      </c>
      <c r="C28" s="92" t="s">
        <v>446</v>
      </c>
      <c r="D28" s="92">
        <v>300</v>
      </c>
      <c r="E28" s="381" t="s">
        <v>293</v>
      </c>
      <c r="F28" s="92">
        <f>62610/10000</f>
        <v>6.261</v>
      </c>
      <c r="G28" s="178">
        <f>D28*F28</f>
        <v>1878.3</v>
      </c>
      <c r="H28" s="191"/>
      <c r="I28" s="780"/>
      <c r="J28" s="295" t="s">
        <v>246</v>
      </c>
      <c r="K28" s="197">
        <f>SUM(K25:K27)</f>
        <v>0</v>
      </c>
      <c r="L28" s="198">
        <f>SUM(L25:L27)</f>
        <v>0</v>
      </c>
      <c r="M28" s="199"/>
      <c r="N28" s="344">
        <f>SUM(N25:N27)</f>
        <v>0</v>
      </c>
      <c r="O28" s="211"/>
      <c r="P28" s="294"/>
      <c r="Q28" s="175"/>
      <c r="R28" s="206"/>
      <c r="S28" s="175"/>
      <c r="T28" s="175"/>
      <c r="U28" s="176"/>
      <c r="V28" s="201"/>
    </row>
    <row r="29" spans="2:22" ht="15" customHeight="1" thickTop="1">
      <c r="B29" s="763"/>
      <c r="C29" s="339" t="s">
        <v>447</v>
      </c>
      <c r="D29" s="92">
        <f>1*189</f>
        <v>189</v>
      </c>
      <c r="E29" s="381" t="s">
        <v>293</v>
      </c>
      <c r="F29" s="92">
        <f>4180/500</f>
        <v>8.36</v>
      </c>
      <c r="G29" s="178">
        <f>D29*F29</f>
        <v>1580.04</v>
      </c>
      <c r="H29" s="191"/>
      <c r="I29" s="778" t="s">
        <v>183</v>
      </c>
      <c r="J29" s="86" t="s">
        <v>302</v>
      </c>
      <c r="K29" s="196">
        <v>31.4</v>
      </c>
      <c r="L29" s="196">
        <v>3.2</v>
      </c>
      <c r="M29" s="196">
        <v>14</v>
      </c>
      <c r="N29" s="342">
        <f>K29*L29*M29</f>
        <v>1406.72</v>
      </c>
      <c r="O29" s="211"/>
      <c r="P29" s="294"/>
      <c r="Q29" s="175"/>
      <c r="R29" s="206"/>
      <c r="S29" s="175"/>
      <c r="T29" s="175"/>
      <c r="U29" s="176"/>
      <c r="V29" s="201"/>
    </row>
    <row r="30" spans="2:22" ht="15" customHeight="1">
      <c r="B30" s="763"/>
      <c r="C30" s="92" t="s">
        <v>30</v>
      </c>
      <c r="D30" s="92">
        <v>833</v>
      </c>
      <c r="E30" s="381" t="s">
        <v>307</v>
      </c>
      <c r="F30" s="92">
        <f>10590/5000</f>
        <v>2.118</v>
      </c>
      <c r="G30" s="178">
        <f>D30*F30</f>
        <v>1764.2939999999999</v>
      </c>
      <c r="H30" s="191"/>
      <c r="I30" s="779"/>
      <c r="J30" s="86" t="s">
        <v>304</v>
      </c>
      <c r="K30" s="196">
        <v>4</v>
      </c>
      <c r="L30" s="196">
        <v>1.9</v>
      </c>
      <c r="M30" s="196">
        <v>14</v>
      </c>
      <c r="N30" s="342">
        <f>K30*L30*M30</f>
        <v>106.39999999999999</v>
      </c>
      <c r="O30" s="88"/>
      <c r="P30" s="294"/>
      <c r="Q30" s="175"/>
      <c r="R30" s="206"/>
      <c r="S30" s="175"/>
      <c r="T30" s="175"/>
      <c r="U30" s="176"/>
      <c r="V30" s="201"/>
    </row>
    <row r="31" spans="2:22" ht="15" customHeight="1">
      <c r="B31" s="763"/>
      <c r="C31" s="339"/>
      <c r="D31" s="86"/>
      <c r="E31" s="91"/>
      <c r="F31" s="86"/>
      <c r="G31" s="179">
        <v>0</v>
      </c>
      <c r="H31" s="191"/>
      <c r="I31" s="779"/>
      <c r="J31" s="86" t="s">
        <v>305</v>
      </c>
      <c r="K31" s="196">
        <v>24.5</v>
      </c>
      <c r="L31" s="196">
        <v>6.7</v>
      </c>
      <c r="M31" s="196">
        <v>14</v>
      </c>
      <c r="N31" s="342">
        <f>K31*L31*M31</f>
        <v>2298.1</v>
      </c>
      <c r="P31" s="294"/>
      <c r="Q31" s="175"/>
      <c r="R31" s="206"/>
      <c r="S31" s="175"/>
      <c r="T31" s="175"/>
      <c r="U31" s="176"/>
      <c r="V31" s="201"/>
    </row>
    <row r="32" spans="2:22" ht="15" customHeight="1" thickBot="1">
      <c r="B32" s="763"/>
      <c r="C32" s="86"/>
      <c r="D32" s="86"/>
      <c r="E32" s="91"/>
      <c r="F32" s="86"/>
      <c r="G32" s="179">
        <f aca="true" t="shared" si="1" ref="G32:G37">D32*F32</f>
        <v>0</v>
      </c>
      <c r="H32" s="191"/>
      <c r="I32" s="787"/>
      <c r="J32" s="345" t="s">
        <v>246</v>
      </c>
      <c r="K32" s="346">
        <f>SUM(K29:K31)</f>
        <v>59.9</v>
      </c>
      <c r="L32" s="347">
        <f>SUM(L29:L31)</f>
        <v>11.8</v>
      </c>
      <c r="M32" s="348"/>
      <c r="N32" s="349">
        <f>SUM(N29:N31)</f>
        <v>3811.2200000000003</v>
      </c>
      <c r="P32" s="294"/>
      <c r="Q32" s="175"/>
      <c r="R32" s="206"/>
      <c r="S32" s="175"/>
      <c r="T32" s="175"/>
      <c r="U32" s="176"/>
      <c r="V32" s="201"/>
    </row>
    <row r="33" spans="2:22" ht="15" customHeight="1">
      <c r="B33" s="763"/>
      <c r="C33" s="86"/>
      <c r="D33" s="86"/>
      <c r="E33" s="91"/>
      <c r="F33" s="86"/>
      <c r="G33" s="179">
        <f t="shared" si="1"/>
        <v>0</v>
      </c>
      <c r="H33" s="191"/>
      <c r="I33" s="170"/>
      <c r="J33" s="170"/>
      <c r="K33" s="170"/>
      <c r="L33" s="170"/>
      <c r="M33" s="170"/>
      <c r="N33" s="170"/>
      <c r="P33" s="294"/>
      <c r="Q33" s="175"/>
      <c r="R33" s="206"/>
      <c r="S33" s="175"/>
      <c r="T33" s="175"/>
      <c r="U33" s="176"/>
      <c r="V33" s="201"/>
    </row>
    <row r="34" spans="2:22" ht="15" customHeight="1" thickBot="1">
      <c r="B34" s="763"/>
      <c r="C34" s="86"/>
      <c r="D34" s="86"/>
      <c r="E34" s="91"/>
      <c r="F34" s="86"/>
      <c r="G34" s="179">
        <f t="shared" si="1"/>
        <v>0</v>
      </c>
      <c r="H34" s="191"/>
      <c r="I34" s="160" t="s">
        <v>240</v>
      </c>
      <c r="J34" s="160"/>
      <c r="K34" s="160"/>
      <c r="L34" s="160"/>
      <c r="M34" s="160"/>
      <c r="P34" s="298" t="s">
        <v>233</v>
      </c>
      <c r="Q34" s="203"/>
      <c r="R34" s="203"/>
      <c r="S34" s="203"/>
      <c r="T34" s="203"/>
      <c r="U34" s="205"/>
      <c r="V34" s="204">
        <f>SUM(V25:V33)</f>
        <v>83.33333333333333</v>
      </c>
    </row>
    <row r="35" spans="2:14" ht="15" customHeight="1" thickBot="1">
      <c r="B35" s="763"/>
      <c r="C35" s="86"/>
      <c r="D35" s="86"/>
      <c r="E35" s="91"/>
      <c r="F35" s="86"/>
      <c r="G35" s="179">
        <f t="shared" si="1"/>
        <v>0</v>
      </c>
      <c r="H35" s="191"/>
      <c r="I35" s="272" t="s">
        <v>228</v>
      </c>
      <c r="J35" s="273" t="s">
        <v>5</v>
      </c>
      <c r="K35" s="785" t="s">
        <v>229</v>
      </c>
      <c r="L35" s="786"/>
      <c r="M35" s="296" t="s">
        <v>195</v>
      </c>
      <c r="N35" s="297" t="s">
        <v>252</v>
      </c>
    </row>
    <row r="36" spans="2:20" ht="15" customHeight="1" thickBot="1" thickTop="1">
      <c r="B36" s="763"/>
      <c r="C36" s="86"/>
      <c r="D36" s="86"/>
      <c r="E36" s="91"/>
      <c r="F36" s="86"/>
      <c r="G36" s="179">
        <f t="shared" si="1"/>
        <v>0</v>
      </c>
      <c r="H36" s="191"/>
      <c r="I36" s="767" t="s">
        <v>2</v>
      </c>
      <c r="J36" s="188" t="str">
        <f>'６　資本装備と減価償却'!C5</f>
        <v>農機具庫</v>
      </c>
      <c r="K36" s="737">
        <f>'６　資本装備と減価償却'!I5</f>
        <v>5940000</v>
      </c>
      <c r="L36" s="737"/>
      <c r="M36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285">
        <f>+K36/M36*0.014*0.3</f>
        <v>831.6</v>
      </c>
      <c r="P36" s="160" t="s">
        <v>234</v>
      </c>
      <c r="Q36" s="160"/>
      <c r="R36" s="160"/>
      <c r="S36" s="160"/>
      <c r="T36" s="160"/>
    </row>
    <row r="37" spans="2:22" ht="15" customHeight="1" thickBot="1" thickTop="1">
      <c r="B37" s="763"/>
      <c r="C37" s="86"/>
      <c r="D37" s="86"/>
      <c r="E37" s="91"/>
      <c r="F37" s="86"/>
      <c r="G37" s="179">
        <f t="shared" si="1"/>
        <v>0</v>
      </c>
      <c r="H37" s="191"/>
      <c r="I37" s="783"/>
      <c r="J37" s="188" t="str">
        <f>'６　資本装備と減価償却'!C6</f>
        <v>乾燥調製施設</v>
      </c>
      <c r="K37" s="737">
        <f>'６　資本装備と減価償却'!I6</f>
        <v>10692000</v>
      </c>
      <c r="L37" s="737"/>
      <c r="M37" s="277">
        <f>'１　対象経営の概要，２　前提条件'!$N$7+'１　対象経営の概要，２　前提条件'!$N$8+'１　対象経営の概要，２　前提条件'!$N$9</f>
        <v>30</v>
      </c>
      <c r="N37" s="285">
        <f>+K37/M37*0.014*0.3</f>
        <v>1496.88</v>
      </c>
      <c r="P37" s="272" t="s">
        <v>227</v>
      </c>
      <c r="Q37" s="749" t="s">
        <v>235</v>
      </c>
      <c r="R37" s="749"/>
      <c r="S37" s="284" t="s">
        <v>238</v>
      </c>
      <c r="T37" s="284" t="s">
        <v>237</v>
      </c>
      <c r="U37" s="299" t="s">
        <v>195</v>
      </c>
      <c r="V37" s="300" t="s">
        <v>252</v>
      </c>
    </row>
    <row r="38" spans="2:22" ht="15" customHeight="1" thickBot="1" thickTop="1">
      <c r="B38" s="765"/>
      <c r="C38" s="180" t="s">
        <v>158</v>
      </c>
      <c r="D38" s="180"/>
      <c r="E38" s="180"/>
      <c r="F38" s="180"/>
      <c r="G38" s="181">
        <f>SUM(G28:G37)</f>
        <v>5222.634</v>
      </c>
      <c r="H38" s="191"/>
      <c r="I38" s="783"/>
      <c r="J38" s="188" t="str">
        <f>'６　資本装備と減価償却'!C7</f>
        <v>育苗ハウス</v>
      </c>
      <c r="K38" s="737">
        <f>'６　資本装備と減価償却'!I7</f>
        <v>4301100</v>
      </c>
      <c r="L38" s="737"/>
      <c r="M38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285">
        <f>+K38/M38*0.014*0.3</f>
        <v>602.154</v>
      </c>
      <c r="O38" s="200"/>
      <c r="P38" s="781" t="s">
        <v>236</v>
      </c>
      <c r="Q38" s="278" t="s">
        <v>226</v>
      </c>
      <c r="R38" s="303"/>
      <c r="S38" s="412"/>
      <c r="T38" s="304"/>
      <c r="U38" s="279"/>
      <c r="V38" s="285">
        <v>3880</v>
      </c>
    </row>
    <row r="39" spans="2:22" ht="15" customHeight="1" thickTop="1">
      <c r="B39" s="762" t="s">
        <v>180</v>
      </c>
      <c r="C39" s="420" t="s">
        <v>448</v>
      </c>
      <c r="D39" s="92">
        <v>833</v>
      </c>
      <c r="E39" s="381" t="s">
        <v>307</v>
      </c>
      <c r="F39" s="92">
        <f>49110/10000</f>
        <v>4.911</v>
      </c>
      <c r="G39" s="419">
        <f>D39*F39</f>
        <v>4090.863</v>
      </c>
      <c r="H39" s="191"/>
      <c r="I39" s="783"/>
      <c r="J39" s="188"/>
      <c r="K39" s="737"/>
      <c r="L39" s="737"/>
      <c r="M39" s="271"/>
      <c r="N39" s="285"/>
      <c r="O39" s="200"/>
      <c r="P39" s="733"/>
      <c r="Q39" s="278"/>
      <c r="R39" s="303"/>
      <c r="S39" s="412"/>
      <c r="T39" s="304"/>
      <c r="U39" s="279"/>
      <c r="V39" s="285"/>
    </row>
    <row r="40" spans="2:22" ht="15" customHeight="1">
      <c r="B40" s="763"/>
      <c r="C40" s="86"/>
      <c r="D40" s="92"/>
      <c r="E40" s="91"/>
      <c r="F40" s="86"/>
      <c r="G40" s="179">
        <f>D40*F40</f>
        <v>0</v>
      </c>
      <c r="H40" s="191"/>
      <c r="I40" s="783"/>
      <c r="J40" s="188"/>
      <c r="K40" s="737"/>
      <c r="L40" s="737"/>
      <c r="M40" s="271"/>
      <c r="N40" s="285"/>
      <c r="O40" s="200"/>
      <c r="P40" s="733"/>
      <c r="Q40" s="278"/>
      <c r="R40" s="303"/>
      <c r="S40" s="279"/>
      <c r="T40" s="304"/>
      <c r="U40" s="279"/>
      <c r="V40" s="285"/>
    </row>
    <row r="41" spans="2:22" ht="15" customHeight="1">
      <c r="B41" s="763"/>
      <c r="C41" s="86"/>
      <c r="D41" s="86"/>
      <c r="E41" s="91"/>
      <c r="F41" s="86"/>
      <c r="G41" s="179">
        <f>D41*F41</f>
        <v>0</v>
      </c>
      <c r="H41" s="191"/>
      <c r="I41" s="783"/>
      <c r="J41" s="188"/>
      <c r="K41" s="737"/>
      <c r="L41" s="737"/>
      <c r="M41" s="271"/>
      <c r="N41" s="285"/>
      <c r="O41" s="200"/>
      <c r="P41" s="733"/>
      <c r="Q41" s="278"/>
      <c r="R41" s="303"/>
      <c r="S41" s="279"/>
      <c r="T41" s="304"/>
      <c r="U41" s="279"/>
      <c r="V41" s="285"/>
    </row>
    <row r="42" spans="2:22" ht="15" customHeight="1" thickBot="1">
      <c r="B42" s="763"/>
      <c r="C42" s="86"/>
      <c r="D42" s="86"/>
      <c r="E42" s="91"/>
      <c r="F42" s="86"/>
      <c r="G42" s="179">
        <f aca="true" t="shared" si="2" ref="G42:G52">D42*F42</f>
        <v>0</v>
      </c>
      <c r="H42" s="191"/>
      <c r="I42" s="784"/>
      <c r="J42" s="274" t="s">
        <v>159</v>
      </c>
      <c r="K42" s="759"/>
      <c r="L42" s="760"/>
      <c r="M42" s="275"/>
      <c r="N42" s="282">
        <f>SUM(N36:N41)</f>
        <v>2930.634</v>
      </c>
      <c r="O42" s="200"/>
      <c r="P42" s="733"/>
      <c r="Q42" s="278"/>
      <c r="R42" s="303"/>
      <c r="S42" s="279"/>
      <c r="T42" s="304"/>
      <c r="U42" s="279"/>
      <c r="V42" s="285"/>
    </row>
    <row r="43" spans="2:22" ht="15" customHeight="1" thickTop="1">
      <c r="B43" s="763"/>
      <c r="C43" s="86"/>
      <c r="D43" s="86"/>
      <c r="E43" s="91"/>
      <c r="F43" s="86"/>
      <c r="G43" s="179"/>
      <c r="H43" s="191"/>
      <c r="I43" s="740" t="s">
        <v>230</v>
      </c>
      <c r="J43" s="276" t="s">
        <v>253</v>
      </c>
      <c r="K43" s="761">
        <v>8200</v>
      </c>
      <c r="L43" s="761"/>
      <c r="M43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02">
        <f>+K43/M43</f>
        <v>273.3333333333333</v>
      </c>
      <c r="O43" s="200"/>
      <c r="P43" s="733"/>
      <c r="Q43" s="278"/>
      <c r="R43" s="303"/>
      <c r="S43" s="279"/>
      <c r="T43" s="304"/>
      <c r="U43" s="279"/>
      <c r="V43" s="285"/>
    </row>
    <row r="44" spans="2:22" ht="15" customHeight="1" thickBot="1">
      <c r="B44" s="763"/>
      <c r="C44" s="86"/>
      <c r="D44" s="86"/>
      <c r="E44" s="91"/>
      <c r="F44" s="86"/>
      <c r="G44" s="179"/>
      <c r="H44" s="191"/>
      <c r="I44" s="741"/>
      <c r="J44" s="278"/>
      <c r="K44" s="737"/>
      <c r="L44" s="737"/>
      <c r="M44" s="271"/>
      <c r="N44" s="285"/>
      <c r="O44" s="200"/>
      <c r="P44" s="782"/>
      <c r="Q44" s="286" t="s">
        <v>239</v>
      </c>
      <c r="R44" s="287"/>
      <c r="S44" s="287"/>
      <c r="T44" s="287"/>
      <c r="U44" s="287"/>
      <c r="V44" s="288">
        <f>SUM(V38:V43)</f>
        <v>3880</v>
      </c>
    </row>
    <row r="45" spans="2:22" ht="15" customHeight="1" thickTop="1">
      <c r="B45" s="763"/>
      <c r="C45" s="86"/>
      <c r="D45" s="86"/>
      <c r="E45" s="91"/>
      <c r="F45" s="86"/>
      <c r="G45" s="179"/>
      <c r="H45" s="191"/>
      <c r="I45" s="741"/>
      <c r="J45" s="188"/>
      <c r="K45" s="737"/>
      <c r="L45" s="737"/>
      <c r="M45" s="271"/>
      <c r="N45" s="285"/>
      <c r="O45" s="200"/>
      <c r="P45" s="732" t="s">
        <v>244</v>
      </c>
      <c r="Q45" s="729" t="s">
        <v>255</v>
      </c>
      <c r="R45" s="305" t="s">
        <v>256</v>
      </c>
      <c r="S45" s="276">
        <v>35750</v>
      </c>
      <c r="T45" s="306">
        <v>1</v>
      </c>
      <c r="U45" s="276">
        <v>30</v>
      </c>
      <c r="V45" s="301">
        <f>+S45*T45/U45</f>
        <v>1191.6666666666667</v>
      </c>
    </row>
    <row r="46" spans="2:22" ht="15" customHeight="1" thickBot="1">
      <c r="B46" s="763"/>
      <c r="C46" s="86"/>
      <c r="D46" s="86"/>
      <c r="E46" s="91"/>
      <c r="F46" s="86"/>
      <c r="G46" s="179">
        <f t="shared" si="2"/>
        <v>0</v>
      </c>
      <c r="H46" s="191"/>
      <c r="I46" s="742"/>
      <c r="J46" s="274" t="s">
        <v>159</v>
      </c>
      <c r="K46" s="759"/>
      <c r="L46" s="760"/>
      <c r="M46" s="275"/>
      <c r="N46" s="282">
        <f>SUM(N43:N45)</f>
        <v>273.3333333333333</v>
      </c>
      <c r="O46" s="200"/>
      <c r="P46" s="733"/>
      <c r="Q46" s="730"/>
      <c r="R46" s="307" t="s">
        <v>243</v>
      </c>
      <c r="S46" s="278">
        <v>15600</v>
      </c>
      <c r="T46" s="304">
        <v>1</v>
      </c>
      <c r="U46" s="278">
        <v>30</v>
      </c>
      <c r="V46" s="285">
        <f>+S46*T46/U46</f>
        <v>520</v>
      </c>
    </row>
    <row r="47" spans="2:22" ht="15" customHeight="1" thickTop="1">
      <c r="B47" s="763"/>
      <c r="C47" s="86"/>
      <c r="D47" s="86"/>
      <c r="E47" s="91"/>
      <c r="F47" s="86"/>
      <c r="G47" s="179">
        <f t="shared" si="2"/>
        <v>0</v>
      </c>
      <c r="H47" s="191"/>
      <c r="I47" s="740" t="s">
        <v>231</v>
      </c>
      <c r="J47" s="276" t="s">
        <v>253</v>
      </c>
      <c r="K47" s="761">
        <v>11500</v>
      </c>
      <c r="L47" s="761"/>
      <c r="M47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01">
        <f>K47/M47</f>
        <v>383.3333333333333</v>
      </c>
      <c r="O47" s="200"/>
      <c r="P47" s="733"/>
      <c r="Q47" s="730"/>
      <c r="R47" s="307"/>
      <c r="S47" s="278"/>
      <c r="T47" s="278"/>
      <c r="U47" s="188"/>
      <c r="V47" s="308"/>
    </row>
    <row r="48" spans="2:22" ht="15" customHeight="1">
      <c r="B48" s="763"/>
      <c r="C48" s="86"/>
      <c r="D48" s="86"/>
      <c r="E48" s="91"/>
      <c r="F48" s="86"/>
      <c r="G48" s="179">
        <f t="shared" si="2"/>
        <v>0</v>
      </c>
      <c r="H48" s="191"/>
      <c r="I48" s="741"/>
      <c r="J48" s="278"/>
      <c r="K48" s="737"/>
      <c r="L48" s="737"/>
      <c r="M48" s="271"/>
      <c r="N48" s="285"/>
      <c r="O48" s="200"/>
      <c r="P48" s="733"/>
      <c r="Q48" s="730"/>
      <c r="R48" s="307"/>
      <c r="S48" s="278"/>
      <c r="T48" s="304"/>
      <c r="U48" s="278"/>
      <c r="V48" s="285"/>
    </row>
    <row r="49" spans="2:22" ht="15" customHeight="1" thickBot="1">
      <c r="B49" s="765"/>
      <c r="C49" s="182" t="s">
        <v>159</v>
      </c>
      <c r="D49" s="183"/>
      <c r="E49" s="183"/>
      <c r="F49" s="183"/>
      <c r="G49" s="184">
        <f>SUM(G39:G48)</f>
        <v>4090.863</v>
      </c>
      <c r="H49" s="191"/>
      <c r="I49" s="741"/>
      <c r="J49" s="188"/>
      <c r="K49" s="737"/>
      <c r="L49" s="737"/>
      <c r="M49" s="271"/>
      <c r="N49" s="285"/>
      <c r="O49" s="200"/>
      <c r="P49" s="733"/>
      <c r="Q49" s="731"/>
      <c r="R49" s="307"/>
      <c r="S49" s="278"/>
      <c r="T49" s="278"/>
      <c r="U49" s="188"/>
      <c r="V49" s="308"/>
    </row>
    <row r="50" spans="2:22" ht="15" customHeight="1" thickBot="1" thickTop="1">
      <c r="B50" s="762" t="s">
        <v>32</v>
      </c>
      <c r="C50" s="86" t="s">
        <v>449</v>
      </c>
      <c r="D50" s="86">
        <v>10</v>
      </c>
      <c r="E50" s="91" t="s">
        <v>286</v>
      </c>
      <c r="F50" s="86">
        <f>24330/10</f>
        <v>2433</v>
      </c>
      <c r="G50" s="179">
        <f t="shared" si="2"/>
        <v>24330</v>
      </c>
      <c r="H50" s="191"/>
      <c r="I50" s="742"/>
      <c r="J50" s="274" t="s">
        <v>159</v>
      </c>
      <c r="K50" s="759"/>
      <c r="L50" s="760"/>
      <c r="M50" s="275"/>
      <c r="N50" s="282">
        <f>SUM(N47:N49)</f>
        <v>383.3333333333333</v>
      </c>
      <c r="O50" s="200"/>
      <c r="P50" s="733"/>
      <c r="Q50" s="286" t="s">
        <v>239</v>
      </c>
      <c r="R50" s="287"/>
      <c r="S50" s="287"/>
      <c r="T50" s="287"/>
      <c r="U50" s="287"/>
      <c r="V50" s="288">
        <f>SUM(V45:V49)</f>
        <v>1711.6666666666667</v>
      </c>
    </row>
    <row r="51" spans="2:22" ht="15" customHeight="1" thickTop="1">
      <c r="B51" s="763"/>
      <c r="C51" s="86"/>
      <c r="D51" s="86"/>
      <c r="E51" s="86"/>
      <c r="F51" s="86"/>
      <c r="G51" s="179">
        <f t="shared" si="2"/>
        <v>0</v>
      </c>
      <c r="H51" s="191"/>
      <c r="I51" s="740" t="s">
        <v>232</v>
      </c>
      <c r="J51" s="413" t="s">
        <v>54</v>
      </c>
      <c r="K51" s="768">
        <v>2400</v>
      </c>
      <c r="L51" s="769"/>
      <c r="M51" s="414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415">
        <f>+K51/M51</f>
        <v>80</v>
      </c>
      <c r="O51" s="200"/>
      <c r="P51" s="733"/>
      <c r="Q51" s="729" t="s">
        <v>257</v>
      </c>
      <c r="R51" s="305" t="s">
        <v>256</v>
      </c>
      <c r="S51" s="276">
        <v>60000</v>
      </c>
      <c r="T51" s="306">
        <v>1</v>
      </c>
      <c r="U51" s="276">
        <v>36</v>
      </c>
      <c r="V51" s="301">
        <f>+S51*T51/U51</f>
        <v>1666.6666666666667</v>
      </c>
    </row>
    <row r="52" spans="2:22" ht="15" customHeight="1">
      <c r="B52" s="763"/>
      <c r="C52" s="86"/>
      <c r="D52" s="86"/>
      <c r="E52" s="86"/>
      <c r="F52" s="86"/>
      <c r="G52" s="179">
        <f t="shared" si="2"/>
        <v>0</v>
      </c>
      <c r="H52" s="191"/>
      <c r="I52" s="741"/>
      <c r="J52" s="279" t="s">
        <v>54</v>
      </c>
      <c r="K52" s="770">
        <v>2400</v>
      </c>
      <c r="L52" s="771"/>
      <c r="M52" s="416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417">
        <f>+K52/M52</f>
        <v>80</v>
      </c>
      <c r="O52" s="200"/>
      <c r="P52" s="733"/>
      <c r="Q52" s="730"/>
      <c r="R52" s="307" t="s">
        <v>243</v>
      </c>
      <c r="S52" s="278">
        <v>25000</v>
      </c>
      <c r="T52" s="304">
        <v>1</v>
      </c>
      <c r="U52" s="278">
        <v>36</v>
      </c>
      <c r="V52" s="285">
        <f>+S52*T52/U52</f>
        <v>694.4444444444445</v>
      </c>
    </row>
    <row r="53" spans="2:22" ht="15" customHeight="1" thickBot="1">
      <c r="B53" s="765"/>
      <c r="C53" s="182" t="s">
        <v>159</v>
      </c>
      <c r="D53" s="183"/>
      <c r="E53" s="183"/>
      <c r="F53" s="183"/>
      <c r="G53" s="184">
        <f>SUM(G50:G52)</f>
        <v>24330</v>
      </c>
      <c r="H53" s="191"/>
      <c r="I53" s="741"/>
      <c r="J53" s="279" t="s">
        <v>56</v>
      </c>
      <c r="K53" s="772">
        <v>2400</v>
      </c>
      <c r="L53" s="773"/>
      <c r="M53" s="289">
        <f>'１　対象経営の概要，２　前提条件'!N7</f>
        <v>30</v>
      </c>
      <c r="N53" s="417">
        <f>+K53/M53</f>
        <v>80</v>
      </c>
      <c r="O53" s="200"/>
      <c r="P53" s="733"/>
      <c r="Q53" s="730"/>
      <c r="R53" s="307"/>
      <c r="S53" s="278"/>
      <c r="T53" s="278"/>
      <c r="U53" s="188"/>
      <c r="V53" s="308"/>
    </row>
    <row r="54" spans="2:22" ht="13.5" customHeight="1" thickTop="1">
      <c r="B54" s="762" t="s">
        <v>327</v>
      </c>
      <c r="C54" s="86" t="s">
        <v>450</v>
      </c>
      <c r="D54" s="356">
        <f>131*50/1000</f>
        <v>6.55</v>
      </c>
      <c r="E54" s="91" t="s">
        <v>286</v>
      </c>
      <c r="F54" s="86">
        <f>9650/3</f>
        <v>3216.6666666666665</v>
      </c>
      <c r="G54" s="178">
        <f>D54*F54</f>
        <v>21069.166666666664</v>
      </c>
      <c r="I54" s="741"/>
      <c r="J54" s="279" t="s">
        <v>56</v>
      </c>
      <c r="K54" s="772">
        <v>2400</v>
      </c>
      <c r="L54" s="773"/>
      <c r="M54" s="289">
        <f>'１　対象経営の概要，２　前提条件'!N7</f>
        <v>30</v>
      </c>
      <c r="N54" s="417">
        <f>+K54/M54</f>
        <v>80</v>
      </c>
      <c r="O54" s="200"/>
      <c r="P54" s="733"/>
      <c r="Q54" s="730"/>
      <c r="R54" s="307"/>
      <c r="S54" s="278"/>
      <c r="T54" s="304"/>
      <c r="U54" s="278"/>
      <c r="V54" s="285"/>
    </row>
    <row r="55" spans="2:22" ht="13.5">
      <c r="B55" s="763"/>
      <c r="C55" s="92" t="s">
        <v>451</v>
      </c>
      <c r="D55" s="92">
        <v>1667</v>
      </c>
      <c r="E55" s="381" t="s">
        <v>293</v>
      </c>
      <c r="F55" s="92">
        <f>90790/20000</f>
        <v>4.5395</v>
      </c>
      <c r="G55" s="419">
        <f>D55*F55</f>
        <v>7567.346500000001</v>
      </c>
      <c r="I55" s="741"/>
      <c r="J55" s="418" t="s">
        <v>243</v>
      </c>
      <c r="K55" s="774">
        <v>5000</v>
      </c>
      <c r="L55" s="775"/>
      <c r="M55" s="416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417">
        <f>+K55/M55</f>
        <v>166.66666666666666</v>
      </c>
      <c r="O55" s="200"/>
      <c r="P55" s="733"/>
      <c r="Q55" s="731"/>
      <c r="R55" s="307"/>
      <c r="S55" s="278"/>
      <c r="T55" s="278"/>
      <c r="U55" s="188"/>
      <c r="V55" s="308"/>
    </row>
    <row r="56" spans="2:22" ht="13.5">
      <c r="B56" s="763"/>
      <c r="C56" s="86"/>
      <c r="D56" s="86"/>
      <c r="E56" s="91"/>
      <c r="F56" s="86"/>
      <c r="G56" s="179">
        <f>D56*F56</f>
        <v>0</v>
      </c>
      <c r="I56" s="767"/>
      <c r="J56" s="280" t="s">
        <v>159</v>
      </c>
      <c r="K56" s="776"/>
      <c r="L56" s="777"/>
      <c r="M56" s="281"/>
      <c r="N56" s="283">
        <f>SUM(N51:N55)</f>
        <v>486.66666666666663</v>
      </c>
      <c r="O56" s="200"/>
      <c r="P56" s="734"/>
      <c r="Q56" s="309" t="s">
        <v>239</v>
      </c>
      <c r="R56" s="310"/>
      <c r="S56" s="310"/>
      <c r="T56" s="310"/>
      <c r="U56" s="310"/>
      <c r="V56" s="311">
        <f>SUM(V51:V55)</f>
        <v>2361.1111111111113</v>
      </c>
    </row>
    <row r="57" spans="2:22" ht="14.25" thickBot="1">
      <c r="B57" s="764"/>
      <c r="C57" s="185" t="s">
        <v>160</v>
      </c>
      <c r="D57" s="186"/>
      <c r="E57" s="186"/>
      <c r="F57" s="186"/>
      <c r="G57" s="187">
        <f>SUM(G54:G56)</f>
        <v>28636.513166666664</v>
      </c>
      <c r="I57" s="735" t="s">
        <v>233</v>
      </c>
      <c r="J57" s="736"/>
      <c r="K57" s="738"/>
      <c r="L57" s="739"/>
      <c r="M57" s="205"/>
      <c r="N57" s="194">
        <f>SUM(N42,N46,N50,N56)</f>
        <v>4073.9673333333335</v>
      </c>
      <c r="O57" s="200"/>
      <c r="P57" s="727" t="s">
        <v>233</v>
      </c>
      <c r="Q57" s="728"/>
      <c r="R57" s="203"/>
      <c r="S57" s="203"/>
      <c r="T57" s="203"/>
      <c r="U57" s="203"/>
      <c r="V57" s="194">
        <f>SUM(V44,V50,V56)</f>
        <v>7952.777777777778</v>
      </c>
    </row>
    <row r="58" spans="15:22" ht="13.5">
      <c r="O58" s="200"/>
      <c r="V58" s="87"/>
    </row>
    <row r="59" spans="9:15" ht="13.5">
      <c r="I59" s="200"/>
      <c r="J59" s="200"/>
      <c r="K59" s="200"/>
      <c r="L59" s="200"/>
      <c r="M59" s="200"/>
      <c r="N59" s="200"/>
      <c r="O59" s="200"/>
    </row>
    <row r="60" spans="9:15" ht="13.5">
      <c r="I60" s="200"/>
      <c r="J60" s="200"/>
      <c r="K60" s="200"/>
      <c r="L60" s="200"/>
      <c r="M60" s="200"/>
      <c r="N60" s="200"/>
      <c r="O60" s="200"/>
    </row>
    <row r="61" spans="9:15" ht="13.5">
      <c r="I61" s="200"/>
      <c r="J61" s="200"/>
      <c r="K61" s="200"/>
      <c r="L61" s="200"/>
      <c r="M61" s="200"/>
      <c r="N61" s="200"/>
      <c r="O61" s="200"/>
    </row>
    <row r="62" spans="9:15" ht="13.5">
      <c r="I62" s="200"/>
      <c r="J62" s="200"/>
      <c r="K62" s="200"/>
      <c r="L62" s="200"/>
      <c r="M62" s="200"/>
      <c r="N62" s="200"/>
      <c r="O62" s="200"/>
    </row>
    <row r="63" spans="9:15" ht="13.5">
      <c r="I63" s="200"/>
      <c r="J63" s="200"/>
      <c r="K63" s="200"/>
      <c r="L63" s="200"/>
      <c r="M63" s="200"/>
      <c r="N63" s="200"/>
      <c r="O63" s="200"/>
    </row>
    <row r="64" spans="9:15" ht="13.5">
      <c r="I64" s="200"/>
      <c r="J64" s="200"/>
      <c r="K64" s="200"/>
      <c r="L64" s="200"/>
      <c r="M64" s="200"/>
      <c r="N64" s="200"/>
      <c r="O64" s="200"/>
    </row>
    <row r="65" spans="9:15" ht="13.5">
      <c r="I65" s="200"/>
      <c r="J65" s="200"/>
      <c r="K65" s="200"/>
      <c r="L65" s="200"/>
      <c r="M65" s="200"/>
      <c r="N65" s="200"/>
      <c r="O65" s="200"/>
    </row>
    <row r="66" spans="9:15" ht="13.5">
      <c r="I66" s="200"/>
      <c r="J66" s="200"/>
      <c r="K66" s="200"/>
      <c r="L66" s="200"/>
      <c r="M66" s="200"/>
      <c r="N66" s="200"/>
      <c r="O66" s="200"/>
    </row>
    <row r="67" spans="9:15" ht="13.5">
      <c r="I67" s="200"/>
      <c r="J67" s="200"/>
      <c r="K67" s="200"/>
      <c r="L67" s="200"/>
      <c r="M67" s="200"/>
      <c r="N67" s="200"/>
      <c r="O67" s="200"/>
    </row>
    <row r="68" spans="9:15" ht="13.5">
      <c r="I68" s="200"/>
      <c r="J68" s="200"/>
      <c r="K68" s="200"/>
      <c r="L68" s="200"/>
      <c r="M68" s="200"/>
      <c r="N68" s="200"/>
      <c r="O68" s="200"/>
    </row>
    <row r="69" spans="9:15" ht="13.5">
      <c r="I69" s="200"/>
      <c r="J69" s="200"/>
      <c r="K69" s="200"/>
      <c r="L69" s="200"/>
      <c r="M69" s="200"/>
      <c r="N69" s="200"/>
      <c r="O69" s="200"/>
    </row>
    <row r="70" spans="9:15" ht="13.5">
      <c r="I70" s="200"/>
      <c r="J70" s="200"/>
      <c r="K70" s="200"/>
      <c r="L70" s="200"/>
      <c r="M70" s="200"/>
      <c r="N70" s="200"/>
      <c r="O70" s="200"/>
    </row>
    <row r="71" spans="9:15" ht="13.5">
      <c r="I71" s="200"/>
      <c r="J71" s="200"/>
      <c r="K71" s="200"/>
      <c r="L71" s="200"/>
      <c r="M71" s="200"/>
      <c r="N71" s="200"/>
      <c r="O71" s="200"/>
    </row>
    <row r="72" spans="9:15" ht="13.5">
      <c r="I72" s="200"/>
      <c r="J72" s="200"/>
      <c r="K72" s="200"/>
      <c r="L72" s="200"/>
      <c r="M72" s="200"/>
      <c r="N72" s="200"/>
      <c r="O72" s="200"/>
    </row>
    <row r="73" spans="9:15" ht="13.5">
      <c r="I73" s="200"/>
      <c r="J73" s="200"/>
      <c r="K73" s="200"/>
      <c r="L73" s="200"/>
      <c r="M73" s="200"/>
      <c r="N73" s="200"/>
      <c r="O73" s="200"/>
    </row>
    <row r="74" spans="9:15" ht="13.5">
      <c r="I74" s="200"/>
      <c r="J74" s="200"/>
      <c r="K74" s="200"/>
      <c r="L74" s="200"/>
      <c r="M74" s="200"/>
      <c r="N74" s="200"/>
      <c r="O74" s="200"/>
    </row>
    <row r="75" spans="9:15" ht="13.5">
      <c r="I75" s="200"/>
      <c r="J75" s="200"/>
      <c r="K75" s="200"/>
      <c r="L75" s="200"/>
      <c r="M75" s="200"/>
      <c r="N75" s="200"/>
      <c r="O75" s="200"/>
    </row>
    <row r="76" spans="9:15" ht="13.5">
      <c r="I76" s="200"/>
      <c r="J76" s="200"/>
      <c r="K76" s="200"/>
      <c r="L76" s="200"/>
      <c r="M76" s="200"/>
      <c r="N76" s="200"/>
      <c r="O76" s="200"/>
    </row>
    <row r="77" spans="9:15" ht="13.5">
      <c r="I77" s="200"/>
      <c r="J77" s="200"/>
      <c r="K77" s="200"/>
      <c r="L77" s="200"/>
      <c r="M77" s="200"/>
      <c r="N77" s="200"/>
      <c r="O77" s="200"/>
    </row>
    <row r="78" spans="9:15" ht="13.5">
      <c r="I78" s="200"/>
      <c r="J78" s="200"/>
      <c r="K78" s="200"/>
      <c r="L78" s="200"/>
      <c r="M78" s="200"/>
      <c r="N78" s="200"/>
      <c r="O78" s="200"/>
    </row>
    <row r="79" spans="9:15" ht="13.5">
      <c r="I79" s="200"/>
      <c r="J79" s="200"/>
      <c r="K79" s="200"/>
      <c r="L79" s="200"/>
      <c r="M79" s="200"/>
      <c r="N79" s="200"/>
      <c r="O79" s="200"/>
    </row>
    <row r="80" spans="9:15" ht="13.5">
      <c r="I80" s="200"/>
      <c r="J80" s="200"/>
      <c r="K80" s="200"/>
      <c r="L80" s="200"/>
      <c r="M80" s="200"/>
      <c r="N80" s="200"/>
      <c r="O80" s="200"/>
    </row>
    <row r="81" spans="9:15" ht="13.5">
      <c r="I81" s="200"/>
      <c r="J81" s="200"/>
      <c r="K81" s="200"/>
      <c r="L81" s="200"/>
      <c r="M81" s="200"/>
      <c r="N81" s="200"/>
      <c r="O81" s="200"/>
    </row>
    <row r="82" spans="9:15" ht="13.5">
      <c r="I82" s="200"/>
      <c r="J82" s="200"/>
      <c r="K82" s="200"/>
      <c r="L82" s="200"/>
      <c r="M82" s="200"/>
      <c r="N82" s="200"/>
      <c r="O82" s="200"/>
    </row>
    <row r="83" spans="2:15" ht="13.5">
      <c r="B83" s="190"/>
      <c r="C83" s="191"/>
      <c r="D83" s="191"/>
      <c r="E83" s="191"/>
      <c r="F83" s="191"/>
      <c r="I83" s="200"/>
      <c r="J83" s="200"/>
      <c r="K83" s="200"/>
      <c r="L83" s="200"/>
      <c r="M83" s="200"/>
      <c r="N83" s="200"/>
      <c r="O83" s="200"/>
    </row>
    <row r="84" spans="2:15" ht="13.5">
      <c r="B84" s="190"/>
      <c r="C84" s="191"/>
      <c r="D84" s="191"/>
      <c r="E84" s="191"/>
      <c r="F84" s="191"/>
      <c r="I84" s="200"/>
      <c r="J84" s="200"/>
      <c r="K84" s="200"/>
      <c r="L84" s="200"/>
      <c r="M84" s="200"/>
      <c r="N84" s="200"/>
      <c r="O84" s="200"/>
    </row>
    <row r="85" spans="9:15" ht="13.5">
      <c r="I85" s="200"/>
      <c r="J85" s="200"/>
      <c r="K85" s="200"/>
      <c r="L85" s="200"/>
      <c r="M85" s="200"/>
      <c r="N85" s="200"/>
      <c r="O85" s="200"/>
    </row>
    <row r="86" spans="9:15" ht="13.5">
      <c r="I86" s="200"/>
      <c r="J86" s="200"/>
      <c r="K86" s="200"/>
      <c r="L86" s="200"/>
      <c r="M86" s="200"/>
      <c r="N86" s="200"/>
      <c r="O86" s="200"/>
    </row>
    <row r="87" spans="9:15" ht="13.5">
      <c r="I87" s="200"/>
      <c r="J87" s="200"/>
      <c r="K87" s="200"/>
      <c r="L87" s="200"/>
      <c r="M87" s="200"/>
      <c r="N87" s="200"/>
      <c r="O87" s="200"/>
    </row>
    <row r="88" spans="9:15" ht="13.5">
      <c r="I88" s="200"/>
      <c r="J88" s="200"/>
      <c r="K88" s="200"/>
      <c r="L88" s="200"/>
      <c r="M88" s="200"/>
      <c r="N88" s="200"/>
      <c r="O88" s="200"/>
    </row>
    <row r="89" spans="9:15" ht="13.5">
      <c r="I89" s="200"/>
      <c r="J89" s="200"/>
      <c r="K89" s="200"/>
      <c r="L89" s="200"/>
      <c r="M89" s="200"/>
      <c r="N89" s="200"/>
      <c r="O89" s="200"/>
    </row>
    <row r="90" spans="9:15" ht="13.5">
      <c r="I90" s="200"/>
      <c r="J90" s="200"/>
      <c r="K90" s="200"/>
      <c r="L90" s="200"/>
      <c r="M90" s="200"/>
      <c r="N90" s="200"/>
      <c r="O90" s="200"/>
    </row>
    <row r="91" spans="9:15" ht="13.5">
      <c r="I91" s="200"/>
      <c r="J91" s="200"/>
      <c r="K91" s="200"/>
      <c r="L91" s="200"/>
      <c r="M91" s="200"/>
      <c r="N91" s="200"/>
      <c r="O91" s="200"/>
    </row>
    <row r="92" spans="9:15" ht="13.5">
      <c r="I92" s="200"/>
      <c r="J92" s="200"/>
      <c r="K92" s="200"/>
      <c r="L92" s="200"/>
      <c r="M92" s="200"/>
      <c r="N92" s="200"/>
      <c r="O92" s="200"/>
    </row>
    <row r="93" spans="9:15" ht="13.5">
      <c r="I93" s="200"/>
      <c r="J93" s="200"/>
      <c r="K93" s="200"/>
      <c r="L93" s="200"/>
      <c r="M93" s="200"/>
      <c r="N93" s="200"/>
      <c r="O93" s="200"/>
    </row>
    <row r="94" spans="9:15" ht="13.5">
      <c r="I94" s="200"/>
      <c r="J94" s="200"/>
      <c r="K94" s="200"/>
      <c r="L94" s="200"/>
      <c r="M94" s="200"/>
      <c r="N94" s="200"/>
      <c r="O94" s="200"/>
    </row>
    <row r="95" spans="9:15" ht="13.5">
      <c r="I95" s="200"/>
      <c r="J95" s="200"/>
      <c r="K95" s="200"/>
      <c r="L95" s="200"/>
      <c r="M95" s="200"/>
      <c r="N95" s="200"/>
      <c r="O95" s="200"/>
    </row>
    <row r="96" spans="9:15" ht="13.5">
      <c r="I96" s="200"/>
      <c r="J96" s="200"/>
      <c r="K96" s="200"/>
      <c r="L96" s="200"/>
      <c r="M96" s="200"/>
      <c r="N96" s="200"/>
      <c r="O96" s="200"/>
    </row>
    <row r="97" spans="9:15" ht="13.5">
      <c r="I97" s="200"/>
      <c r="J97" s="200"/>
      <c r="K97" s="200"/>
      <c r="L97" s="200"/>
      <c r="M97" s="200"/>
      <c r="N97" s="200"/>
      <c r="O97" s="200"/>
    </row>
    <row r="98" spans="9:15" ht="13.5">
      <c r="I98" s="200"/>
      <c r="J98" s="200"/>
      <c r="K98" s="200"/>
      <c r="L98" s="200"/>
      <c r="M98" s="200"/>
      <c r="N98" s="200"/>
      <c r="O98" s="200"/>
    </row>
    <row r="99" spans="9:15" ht="13.5">
      <c r="I99" s="200"/>
      <c r="J99" s="200"/>
      <c r="K99" s="200"/>
      <c r="L99" s="200"/>
      <c r="M99" s="200"/>
      <c r="N99" s="200"/>
      <c r="O99" s="200"/>
    </row>
    <row r="100" spans="9:15" ht="13.5">
      <c r="I100" s="200"/>
      <c r="J100" s="200"/>
      <c r="K100" s="200"/>
      <c r="L100" s="200"/>
      <c r="M100" s="200"/>
      <c r="N100" s="200"/>
      <c r="O100" s="200"/>
    </row>
    <row r="101" spans="9:15" ht="13.5">
      <c r="I101" s="200"/>
      <c r="J101" s="200"/>
      <c r="K101" s="200"/>
      <c r="L101" s="200"/>
      <c r="M101" s="200"/>
      <c r="N101" s="200"/>
      <c r="O101" s="200"/>
    </row>
    <row r="102" spans="9:15" ht="13.5">
      <c r="I102" s="200"/>
      <c r="J102" s="200"/>
      <c r="K102" s="200"/>
      <c r="L102" s="200"/>
      <c r="M102" s="200"/>
      <c r="N102" s="200"/>
      <c r="O102" s="200"/>
    </row>
    <row r="103" spans="9:15" ht="13.5">
      <c r="I103" s="200"/>
      <c r="J103" s="200"/>
      <c r="K103" s="200"/>
      <c r="L103" s="200"/>
      <c r="M103" s="200"/>
      <c r="N103" s="200"/>
      <c r="O103" s="200"/>
    </row>
    <row r="104" spans="9:15" ht="13.5">
      <c r="I104" s="200"/>
      <c r="J104" s="200"/>
      <c r="K104" s="200"/>
      <c r="L104" s="200"/>
      <c r="M104" s="200"/>
      <c r="N104" s="200"/>
      <c r="O104" s="200"/>
    </row>
    <row r="105" spans="9:15" ht="13.5">
      <c r="I105" s="200"/>
      <c r="J105" s="200"/>
      <c r="K105" s="200"/>
      <c r="L105" s="200"/>
      <c r="M105" s="200"/>
      <c r="N105" s="200"/>
      <c r="O105" s="200"/>
    </row>
    <row r="106" spans="9:15" ht="13.5">
      <c r="I106" s="200"/>
      <c r="J106" s="200"/>
      <c r="K106" s="200"/>
      <c r="L106" s="200"/>
      <c r="M106" s="200"/>
      <c r="N106" s="200"/>
      <c r="O106" s="200"/>
    </row>
    <row r="107" spans="9:15" ht="13.5">
      <c r="I107" s="200"/>
      <c r="J107" s="200"/>
      <c r="K107" s="200"/>
      <c r="L107" s="200"/>
      <c r="M107" s="200"/>
      <c r="N107" s="200"/>
      <c r="O107" s="200"/>
    </row>
    <row r="108" spans="9:15" ht="13.5">
      <c r="I108" s="200"/>
      <c r="J108" s="200"/>
      <c r="K108" s="200"/>
      <c r="L108" s="200"/>
      <c r="M108" s="200"/>
      <c r="N108" s="200"/>
      <c r="O108" s="200"/>
    </row>
    <row r="109" spans="9:15" ht="13.5">
      <c r="I109" s="200"/>
      <c r="J109" s="200"/>
      <c r="K109" s="200"/>
      <c r="L109" s="200"/>
      <c r="M109" s="200"/>
      <c r="N109" s="200"/>
      <c r="O109" s="200"/>
    </row>
    <row r="110" spans="9:15" ht="13.5">
      <c r="I110" s="200"/>
      <c r="J110" s="200"/>
      <c r="K110" s="200"/>
      <c r="L110" s="200"/>
      <c r="M110" s="200"/>
      <c r="N110" s="200"/>
      <c r="O110" s="200"/>
    </row>
    <row r="111" spans="9:15" ht="13.5">
      <c r="I111" s="200"/>
      <c r="J111" s="200"/>
      <c r="K111" s="200"/>
      <c r="L111" s="200"/>
      <c r="M111" s="200"/>
      <c r="N111" s="200"/>
      <c r="O111" s="200"/>
    </row>
    <row r="112" spans="9:15" ht="13.5">
      <c r="I112" s="200"/>
      <c r="J112" s="200"/>
      <c r="K112" s="200"/>
      <c r="L112" s="200"/>
      <c r="M112" s="200"/>
      <c r="N112" s="200"/>
      <c r="O112" s="200"/>
    </row>
    <row r="113" spans="9:15" ht="13.5">
      <c r="I113" s="200"/>
      <c r="J113" s="200"/>
      <c r="K113" s="200"/>
      <c r="L113" s="200"/>
      <c r="M113" s="200"/>
      <c r="N113" s="200"/>
      <c r="O113" s="200"/>
    </row>
    <row r="114" spans="9:15" ht="13.5">
      <c r="I114" s="200"/>
      <c r="J114" s="200"/>
      <c r="K114" s="200"/>
      <c r="L114" s="200"/>
      <c r="M114" s="200"/>
      <c r="N114" s="200"/>
      <c r="O114" s="200"/>
    </row>
    <row r="115" spans="9:15" ht="13.5">
      <c r="I115" s="200"/>
      <c r="J115" s="200"/>
      <c r="K115" s="200"/>
      <c r="L115" s="200"/>
      <c r="M115" s="200"/>
      <c r="N115" s="200"/>
      <c r="O115" s="200"/>
    </row>
    <row r="116" spans="9:15" ht="13.5">
      <c r="I116" s="200"/>
      <c r="J116" s="200"/>
      <c r="K116" s="200"/>
      <c r="L116" s="200"/>
      <c r="M116" s="200"/>
      <c r="N116" s="200"/>
      <c r="O116" s="200"/>
    </row>
    <row r="117" spans="9:15" ht="13.5">
      <c r="I117" s="200"/>
      <c r="J117" s="200"/>
      <c r="K117" s="200"/>
      <c r="L117" s="200"/>
      <c r="M117" s="200"/>
      <c r="N117" s="200"/>
      <c r="O117" s="200"/>
    </row>
    <row r="118" spans="9:15" ht="13.5">
      <c r="I118" s="200"/>
      <c r="J118" s="200"/>
      <c r="K118" s="200"/>
      <c r="L118" s="200"/>
      <c r="M118" s="200"/>
      <c r="N118" s="200"/>
      <c r="O118" s="200"/>
    </row>
    <row r="119" spans="9:15" ht="13.5">
      <c r="I119" s="200"/>
      <c r="J119" s="200"/>
      <c r="K119" s="200"/>
      <c r="L119" s="200"/>
      <c r="M119" s="200"/>
      <c r="N119" s="200"/>
      <c r="O119" s="200"/>
    </row>
    <row r="120" spans="9:15" ht="13.5">
      <c r="I120" s="200"/>
      <c r="J120" s="200"/>
      <c r="K120" s="200"/>
      <c r="L120" s="200"/>
      <c r="M120" s="200"/>
      <c r="N120" s="200"/>
      <c r="O120" s="200"/>
    </row>
    <row r="121" spans="9:15" ht="13.5">
      <c r="I121" s="200"/>
      <c r="J121" s="200"/>
      <c r="K121" s="200"/>
      <c r="L121" s="200"/>
      <c r="M121" s="200"/>
      <c r="N121" s="200"/>
      <c r="O121" s="200"/>
    </row>
    <row r="122" spans="9:15" ht="13.5">
      <c r="I122" s="200"/>
      <c r="J122" s="200"/>
      <c r="K122" s="200"/>
      <c r="L122" s="200"/>
      <c r="M122" s="200"/>
      <c r="N122" s="200"/>
      <c r="O122" s="200"/>
    </row>
    <row r="123" spans="9:15" ht="13.5">
      <c r="I123" s="200"/>
      <c r="J123" s="200"/>
      <c r="K123" s="200"/>
      <c r="L123" s="200"/>
      <c r="M123" s="200"/>
      <c r="N123" s="200"/>
      <c r="O123" s="200"/>
    </row>
    <row r="124" spans="9:15" ht="13.5">
      <c r="I124" s="200"/>
      <c r="J124" s="200"/>
      <c r="K124" s="200"/>
      <c r="L124" s="200"/>
      <c r="M124" s="200"/>
      <c r="N124" s="200"/>
      <c r="O124" s="200"/>
    </row>
    <row r="125" spans="9:15" ht="13.5">
      <c r="I125" s="200"/>
      <c r="J125" s="200"/>
      <c r="K125" s="200"/>
      <c r="L125" s="200"/>
      <c r="M125" s="200"/>
      <c r="N125" s="200"/>
      <c r="O125" s="200"/>
    </row>
    <row r="126" spans="9:15" ht="13.5">
      <c r="I126" s="200"/>
      <c r="J126" s="200"/>
      <c r="K126" s="200"/>
      <c r="L126" s="200"/>
      <c r="M126" s="200"/>
      <c r="N126" s="200"/>
      <c r="O126" s="200"/>
    </row>
    <row r="127" spans="9:15" ht="13.5">
      <c r="I127" s="200"/>
      <c r="J127" s="200"/>
      <c r="K127" s="200"/>
      <c r="L127" s="200"/>
      <c r="M127" s="200"/>
      <c r="N127" s="200"/>
      <c r="O127" s="200"/>
    </row>
    <row r="128" spans="9:15" ht="13.5">
      <c r="I128" s="200"/>
      <c r="J128" s="200"/>
      <c r="K128" s="200"/>
      <c r="L128" s="200"/>
      <c r="M128" s="200"/>
      <c r="N128" s="200"/>
      <c r="O128" s="200"/>
    </row>
    <row r="129" spans="9:15" ht="13.5">
      <c r="I129" s="200"/>
      <c r="J129" s="200"/>
      <c r="K129" s="200"/>
      <c r="L129" s="200"/>
      <c r="M129" s="200"/>
      <c r="N129" s="200"/>
      <c r="O129" s="200"/>
    </row>
    <row r="130" spans="9:15" ht="13.5">
      <c r="I130" s="200"/>
      <c r="J130" s="200"/>
      <c r="K130" s="200"/>
      <c r="L130" s="200"/>
      <c r="M130" s="200"/>
      <c r="N130" s="200"/>
      <c r="O130" s="200"/>
    </row>
    <row r="131" spans="9:15" ht="13.5">
      <c r="I131" s="200"/>
      <c r="J131" s="200"/>
      <c r="K131" s="200"/>
      <c r="L131" s="200"/>
      <c r="M131" s="200"/>
      <c r="N131" s="200"/>
      <c r="O131" s="200"/>
    </row>
    <row r="132" spans="9:15" ht="13.5">
      <c r="I132" s="200"/>
      <c r="J132" s="200"/>
      <c r="K132" s="200"/>
      <c r="L132" s="200"/>
      <c r="M132" s="200"/>
      <c r="N132" s="200"/>
      <c r="O132" s="200"/>
    </row>
    <row r="133" spans="9:15" ht="13.5">
      <c r="I133" s="200"/>
      <c r="J133" s="200"/>
      <c r="K133" s="200"/>
      <c r="L133" s="200"/>
      <c r="M133" s="200"/>
      <c r="N133" s="200"/>
      <c r="O133" s="200"/>
    </row>
    <row r="134" spans="9:15" ht="13.5">
      <c r="I134" s="200"/>
      <c r="J134" s="200"/>
      <c r="K134" s="200"/>
      <c r="L134" s="200"/>
      <c r="M134" s="200"/>
      <c r="N134" s="200"/>
      <c r="O134" s="200"/>
    </row>
    <row r="135" spans="9:15" ht="13.5">
      <c r="I135" s="200"/>
      <c r="J135" s="200"/>
      <c r="K135" s="200"/>
      <c r="L135" s="200"/>
      <c r="M135" s="200"/>
      <c r="N135" s="200"/>
      <c r="O135" s="200"/>
    </row>
    <row r="136" spans="9:15" ht="13.5">
      <c r="I136" s="200"/>
      <c r="J136" s="200"/>
      <c r="K136" s="200"/>
      <c r="L136" s="200"/>
      <c r="M136" s="200"/>
      <c r="N136" s="200"/>
      <c r="O136" s="200"/>
    </row>
    <row r="137" spans="9:15" ht="13.5">
      <c r="I137" s="200"/>
      <c r="J137" s="200"/>
      <c r="K137" s="200"/>
      <c r="L137" s="200"/>
      <c r="M137" s="200"/>
      <c r="N137" s="200"/>
      <c r="O137" s="200"/>
    </row>
    <row r="138" spans="9:15" ht="13.5">
      <c r="I138" s="200"/>
      <c r="J138" s="200"/>
      <c r="K138" s="200"/>
      <c r="L138" s="200"/>
      <c r="M138" s="200"/>
      <c r="N138" s="200"/>
      <c r="O138" s="200"/>
    </row>
    <row r="139" spans="9:15" ht="13.5">
      <c r="I139" s="200"/>
      <c r="J139" s="200"/>
      <c r="K139" s="200"/>
      <c r="L139" s="200"/>
      <c r="M139" s="200"/>
      <c r="N139" s="200"/>
      <c r="O139" s="200"/>
    </row>
    <row r="140" spans="9:14" ht="13.5">
      <c r="I140" s="200"/>
      <c r="J140" s="200"/>
      <c r="K140" s="200"/>
      <c r="L140" s="200"/>
      <c r="M140" s="200"/>
      <c r="N140" s="200"/>
    </row>
    <row r="141" spans="9:14" ht="13.5">
      <c r="I141" s="200"/>
      <c r="J141" s="200"/>
      <c r="K141" s="200"/>
      <c r="L141" s="200"/>
      <c r="M141" s="200"/>
      <c r="N141" s="200"/>
    </row>
    <row r="142" spans="9:14" ht="13.5">
      <c r="I142" s="200"/>
      <c r="J142" s="200"/>
      <c r="K142" s="200"/>
      <c r="L142" s="200"/>
      <c r="M142" s="200"/>
      <c r="N142" s="200"/>
    </row>
    <row r="143" spans="9:14" ht="13.5">
      <c r="I143" s="200"/>
      <c r="J143" s="200"/>
      <c r="K143" s="200"/>
      <c r="L143" s="200"/>
      <c r="M143" s="200"/>
      <c r="N143" s="200"/>
    </row>
    <row r="144" spans="9:14" ht="13.5">
      <c r="I144" s="200"/>
      <c r="J144" s="200"/>
      <c r="K144" s="200"/>
      <c r="L144" s="200"/>
      <c r="M144" s="200"/>
      <c r="N144" s="200"/>
    </row>
    <row r="145" spans="9:14" ht="13.5">
      <c r="I145" s="200"/>
      <c r="J145" s="200"/>
      <c r="K145" s="200"/>
      <c r="L145" s="200"/>
      <c r="M145" s="200"/>
      <c r="N145" s="200"/>
    </row>
    <row r="146" spans="9:14" ht="13.5">
      <c r="I146" s="200"/>
      <c r="J146" s="200"/>
      <c r="K146" s="200"/>
      <c r="L146" s="200"/>
      <c r="M146" s="200"/>
      <c r="N146" s="200"/>
    </row>
    <row r="147" spans="9:14" ht="13.5">
      <c r="I147" s="200"/>
      <c r="J147" s="200"/>
      <c r="K147" s="200"/>
      <c r="L147" s="200"/>
      <c r="M147" s="200"/>
      <c r="N147" s="200"/>
    </row>
    <row r="148" spans="9:14" ht="13.5">
      <c r="I148" s="200"/>
      <c r="J148" s="200"/>
      <c r="K148" s="200"/>
      <c r="L148" s="200"/>
      <c r="M148" s="200"/>
      <c r="N148" s="200"/>
    </row>
    <row r="149" spans="9:14" ht="13.5">
      <c r="I149" s="200"/>
      <c r="J149" s="200"/>
      <c r="K149" s="200"/>
      <c r="L149" s="200"/>
      <c r="M149" s="200"/>
      <c r="N149" s="200"/>
    </row>
    <row r="150" spans="9:14" ht="13.5">
      <c r="I150" s="200"/>
      <c r="J150" s="200"/>
      <c r="K150" s="200"/>
      <c r="L150" s="200"/>
      <c r="M150" s="200"/>
      <c r="N150" s="200"/>
    </row>
    <row r="151" spans="9:14" ht="13.5">
      <c r="I151" s="200"/>
      <c r="J151" s="200"/>
      <c r="K151" s="200"/>
      <c r="L151" s="200"/>
      <c r="M151" s="200"/>
      <c r="N151" s="200"/>
    </row>
    <row r="152" spans="9:14" ht="13.5">
      <c r="I152" s="200"/>
      <c r="J152" s="200"/>
      <c r="K152" s="200"/>
      <c r="L152" s="200"/>
      <c r="M152" s="200"/>
      <c r="N152" s="200"/>
    </row>
    <row r="153" spans="9:14" ht="13.5">
      <c r="I153" s="200"/>
      <c r="J153" s="200"/>
      <c r="K153" s="200"/>
      <c r="L153" s="200"/>
      <c r="M153" s="200"/>
      <c r="N153" s="200"/>
    </row>
    <row r="154" spans="9:14" ht="13.5">
      <c r="I154" s="200"/>
      <c r="J154" s="200"/>
      <c r="K154" s="200"/>
      <c r="L154" s="200"/>
      <c r="M154" s="200"/>
      <c r="N154" s="200"/>
    </row>
    <row r="155" spans="10:14" ht="13.5">
      <c r="J155" s="200"/>
      <c r="K155" s="200"/>
      <c r="L155" s="200"/>
      <c r="M155" s="200"/>
      <c r="N155" s="200"/>
    </row>
    <row r="156" spans="10:14" ht="13.5">
      <c r="J156" s="200"/>
      <c r="K156" s="200"/>
      <c r="L156" s="200"/>
      <c r="M156" s="200"/>
      <c r="N156" s="200"/>
    </row>
    <row r="173" ht="13.5">
      <c r="O173" s="200"/>
    </row>
    <row r="174" ht="13.5">
      <c r="O174" s="200"/>
    </row>
    <row r="175" ht="13.5">
      <c r="O175" s="200"/>
    </row>
    <row r="176" ht="13.5">
      <c r="O176" s="200"/>
    </row>
    <row r="177" ht="13.5">
      <c r="O177" s="200"/>
    </row>
    <row r="178" ht="13.5">
      <c r="O178" s="200"/>
    </row>
    <row r="179" ht="13.5">
      <c r="O179" s="200"/>
    </row>
    <row r="180" ht="13.5">
      <c r="O180" s="200"/>
    </row>
    <row r="181" ht="13.5">
      <c r="O181" s="200"/>
    </row>
    <row r="182" ht="13.5">
      <c r="O182" s="200"/>
    </row>
    <row r="183" ht="13.5">
      <c r="O183" s="200"/>
    </row>
    <row r="184" ht="13.5">
      <c r="O184" s="200"/>
    </row>
    <row r="185" ht="13.5">
      <c r="O185" s="200"/>
    </row>
    <row r="186" ht="13.5">
      <c r="O186" s="200"/>
    </row>
    <row r="187" ht="13.5">
      <c r="O187" s="200"/>
    </row>
    <row r="188" ht="13.5">
      <c r="O188" s="200"/>
    </row>
    <row r="189" ht="13.5">
      <c r="O189" s="200"/>
    </row>
    <row r="190" ht="13.5">
      <c r="O190" s="200"/>
    </row>
    <row r="191" ht="13.5">
      <c r="O191" s="200"/>
    </row>
    <row r="192" ht="13.5">
      <c r="O192" s="200"/>
    </row>
  </sheetData>
  <sheetProtection/>
  <mergeCells count="70">
    <mergeCell ref="Q51:Q55"/>
    <mergeCell ref="K52:L52"/>
    <mergeCell ref="B54:B57"/>
    <mergeCell ref="K54:L54"/>
    <mergeCell ref="K55:L55"/>
    <mergeCell ref="B50:B53"/>
    <mergeCell ref="K53:L53"/>
    <mergeCell ref="K50:L50"/>
    <mergeCell ref="Q45:Q49"/>
    <mergeCell ref="I57:J57"/>
    <mergeCell ref="K57:L57"/>
    <mergeCell ref="P57:Q57"/>
    <mergeCell ref="P45:P56"/>
    <mergeCell ref="K46:L46"/>
    <mergeCell ref="K49:L49"/>
    <mergeCell ref="K56:L56"/>
    <mergeCell ref="I51:I56"/>
    <mergeCell ref="K51:L51"/>
    <mergeCell ref="K48:L48"/>
    <mergeCell ref="K47:L47"/>
    <mergeCell ref="B39:B49"/>
    <mergeCell ref="I36:I42"/>
    <mergeCell ref="I43:I46"/>
    <mergeCell ref="K43:L43"/>
    <mergeCell ref="K44:L44"/>
    <mergeCell ref="K45:L45"/>
    <mergeCell ref="K39:L39"/>
    <mergeCell ref="I47:I50"/>
    <mergeCell ref="K41:L41"/>
    <mergeCell ref="B28:B38"/>
    <mergeCell ref="K36:L36"/>
    <mergeCell ref="K37:L37"/>
    <mergeCell ref="K38:L38"/>
    <mergeCell ref="K40:L40"/>
    <mergeCell ref="I17:I20"/>
    <mergeCell ref="T19:U19"/>
    <mergeCell ref="T20:U20"/>
    <mergeCell ref="B12:B16"/>
    <mergeCell ref="I13:I16"/>
    <mergeCell ref="B17:B20"/>
    <mergeCell ref="B8:B11"/>
    <mergeCell ref="I29:I32"/>
    <mergeCell ref="P38:P44"/>
    <mergeCell ref="T8:U8"/>
    <mergeCell ref="T9:U9"/>
    <mergeCell ref="T17:U17"/>
    <mergeCell ref="Q37:R37"/>
    <mergeCell ref="I25:I28"/>
    <mergeCell ref="K35:L35"/>
    <mergeCell ref="B21:B24"/>
    <mergeCell ref="T4:U4"/>
    <mergeCell ref="K42:L42"/>
    <mergeCell ref="T13:U13"/>
    <mergeCell ref="T14:U14"/>
    <mergeCell ref="T15:U15"/>
    <mergeCell ref="T16:U16"/>
    <mergeCell ref="T11:U11"/>
    <mergeCell ref="T12:U12"/>
    <mergeCell ref="M4:M5"/>
    <mergeCell ref="N4:N5"/>
    <mergeCell ref="I21:I24"/>
    <mergeCell ref="T21:U21"/>
    <mergeCell ref="T18:U18"/>
    <mergeCell ref="B5:B7"/>
    <mergeCell ref="T5:U5"/>
    <mergeCell ref="I6:I12"/>
    <mergeCell ref="T6:U6"/>
    <mergeCell ref="T7:U7"/>
    <mergeCell ref="I4:I5"/>
    <mergeCell ref="J4:J5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M12"/>
  <sheetViews>
    <sheetView zoomScale="75" zoomScaleNormal="75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114" customWidth="1"/>
    <col min="2" max="2" width="7.625" style="114" customWidth="1"/>
    <col min="3" max="3" width="25.625" style="114" customWidth="1"/>
    <col min="4" max="13" width="15.625" style="114" customWidth="1"/>
    <col min="14" max="16384" width="9.00390625" style="114" customWidth="1"/>
  </cols>
  <sheetData>
    <row r="1" spans="2:12" ht="9.7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2:10" ht="24.75" customHeight="1" thickBot="1">
      <c r="B2" s="387" t="s">
        <v>436</v>
      </c>
      <c r="F2" s="318" t="s">
        <v>259</v>
      </c>
      <c r="G2" s="387" t="s">
        <v>441</v>
      </c>
      <c r="I2" s="318" t="s">
        <v>260</v>
      </c>
      <c r="J2" s="387" t="s">
        <v>381</v>
      </c>
    </row>
    <row r="3" spans="2:13" ht="19.5" customHeight="1">
      <c r="B3" s="584" t="s">
        <v>115</v>
      </c>
      <c r="C3" s="585"/>
      <c r="D3" s="388" t="s">
        <v>382</v>
      </c>
      <c r="E3" s="400" t="s">
        <v>394</v>
      </c>
      <c r="F3" s="388" t="s">
        <v>317</v>
      </c>
      <c r="G3" s="435" t="s">
        <v>318</v>
      </c>
      <c r="H3" s="388" t="s">
        <v>66</v>
      </c>
      <c r="I3" s="388" t="s">
        <v>320</v>
      </c>
      <c r="J3" s="388" t="s">
        <v>383</v>
      </c>
      <c r="K3" s="388" t="s">
        <v>401</v>
      </c>
      <c r="L3" s="388"/>
      <c r="M3" s="389"/>
    </row>
    <row r="4" spans="2:13" ht="177" customHeight="1">
      <c r="B4" s="583" t="s">
        <v>109</v>
      </c>
      <c r="C4" s="397" t="s">
        <v>110</v>
      </c>
      <c r="D4" s="788" t="s">
        <v>384</v>
      </c>
      <c r="E4" s="788" t="s">
        <v>424</v>
      </c>
      <c r="F4" s="788" t="s">
        <v>425</v>
      </c>
      <c r="G4" s="788" t="s">
        <v>426</v>
      </c>
      <c r="H4" s="788" t="s">
        <v>385</v>
      </c>
      <c r="I4" s="788" t="s">
        <v>386</v>
      </c>
      <c r="J4" s="788" t="s">
        <v>387</v>
      </c>
      <c r="K4" s="788"/>
      <c r="L4" s="788"/>
      <c r="M4" s="789"/>
    </row>
    <row r="5" spans="2:13" ht="19.5" customHeight="1">
      <c r="B5" s="583"/>
      <c r="C5" s="397" t="s">
        <v>111</v>
      </c>
      <c r="D5" s="790" t="s">
        <v>395</v>
      </c>
      <c r="E5" s="790" t="s">
        <v>396</v>
      </c>
      <c r="F5" s="790" t="s">
        <v>388</v>
      </c>
      <c r="G5" s="790"/>
      <c r="H5" s="790" t="s">
        <v>412</v>
      </c>
      <c r="I5" s="790" t="s">
        <v>389</v>
      </c>
      <c r="J5" s="790" t="s">
        <v>397</v>
      </c>
      <c r="K5" s="790"/>
      <c r="L5" s="397"/>
      <c r="M5" s="398"/>
    </row>
    <row r="6" spans="2:13" ht="133.5" customHeight="1">
      <c r="B6" s="583"/>
      <c r="C6" s="436" t="s">
        <v>114</v>
      </c>
      <c r="D6" s="437" t="s">
        <v>289</v>
      </c>
      <c r="E6" s="437" t="s">
        <v>435</v>
      </c>
      <c r="F6" s="437" t="s">
        <v>390</v>
      </c>
      <c r="G6" s="437" t="s">
        <v>285</v>
      </c>
      <c r="H6" s="437"/>
      <c r="I6" s="437" t="s">
        <v>285</v>
      </c>
      <c r="J6" s="437" t="s">
        <v>391</v>
      </c>
      <c r="K6" s="437"/>
      <c r="L6" s="437"/>
      <c r="M6" s="438"/>
    </row>
    <row r="7" spans="2:13" ht="19.5" customHeight="1">
      <c r="B7" s="583"/>
      <c r="C7" s="439" t="s">
        <v>427</v>
      </c>
      <c r="D7" s="440"/>
      <c r="E7" s="440">
        <f>19.7+1.2</f>
        <v>20.9</v>
      </c>
      <c r="F7" s="440">
        <v>4.4</v>
      </c>
      <c r="G7" s="441">
        <v>-1</v>
      </c>
      <c r="H7" s="440"/>
      <c r="I7" s="397">
        <v>2</v>
      </c>
      <c r="J7" s="397">
        <v>6.9</v>
      </c>
      <c r="K7" s="397"/>
      <c r="L7" s="397"/>
      <c r="M7" s="398"/>
    </row>
    <row r="8" spans="2:13" ht="19.5" customHeight="1">
      <c r="B8" s="583"/>
      <c r="C8" s="440" t="s">
        <v>428</v>
      </c>
      <c r="D8" s="440">
        <v>17.2</v>
      </c>
      <c r="E8" s="440">
        <v>1.2</v>
      </c>
      <c r="F8" s="440">
        <v>13.2</v>
      </c>
      <c r="G8" s="441">
        <v>-1</v>
      </c>
      <c r="H8" s="440"/>
      <c r="I8" s="397">
        <v>5.1</v>
      </c>
      <c r="J8" s="397">
        <v>23.3</v>
      </c>
      <c r="K8" s="397">
        <v>2</v>
      </c>
      <c r="L8" s="397"/>
      <c r="M8" s="398"/>
    </row>
    <row r="9" spans="2:13" ht="19.5" customHeight="1">
      <c r="B9" s="583"/>
      <c r="C9" s="397" t="s">
        <v>113</v>
      </c>
      <c r="D9" s="397">
        <v>6</v>
      </c>
      <c r="E9" s="397">
        <v>2</v>
      </c>
      <c r="F9" s="397">
        <v>3</v>
      </c>
      <c r="G9" s="397"/>
      <c r="H9" s="397"/>
      <c r="I9" s="397">
        <v>3</v>
      </c>
      <c r="J9" s="397">
        <v>3</v>
      </c>
      <c r="K9" s="397"/>
      <c r="L9" s="397"/>
      <c r="M9" s="398"/>
    </row>
    <row r="10" spans="2:13" ht="150" customHeight="1">
      <c r="B10" s="588" t="s">
        <v>429</v>
      </c>
      <c r="C10" s="589"/>
      <c r="D10" s="390" t="s">
        <v>430</v>
      </c>
      <c r="E10" s="390" t="s">
        <v>392</v>
      </c>
      <c r="F10" s="391" t="s">
        <v>433</v>
      </c>
      <c r="G10" s="390"/>
      <c r="H10" s="390"/>
      <c r="I10" s="391" t="s">
        <v>393</v>
      </c>
      <c r="J10" s="391" t="s">
        <v>345</v>
      </c>
      <c r="K10" s="392"/>
      <c r="L10" s="390"/>
      <c r="M10" s="393"/>
    </row>
    <row r="11" spans="2:13" ht="150" customHeight="1" thickBot="1">
      <c r="B11" s="586" t="s">
        <v>112</v>
      </c>
      <c r="C11" s="587"/>
      <c r="D11" s="442" t="s">
        <v>418</v>
      </c>
      <c r="E11" s="442" t="s">
        <v>431</v>
      </c>
      <c r="F11" s="442" t="s">
        <v>419</v>
      </c>
      <c r="G11" s="442" t="s">
        <v>420</v>
      </c>
      <c r="H11" s="442" t="s">
        <v>421</v>
      </c>
      <c r="I11" s="442" t="s">
        <v>422</v>
      </c>
      <c r="J11" s="394" t="s">
        <v>423</v>
      </c>
      <c r="K11" s="394"/>
      <c r="L11" s="395"/>
      <c r="M11" s="396"/>
    </row>
    <row r="12" ht="9.75" customHeight="1">
      <c r="B12" s="116"/>
    </row>
  </sheetData>
  <sheetProtection/>
  <mergeCells count="4">
    <mergeCell ref="B4:B9"/>
    <mergeCell ref="B3:C3"/>
    <mergeCell ref="B11:C11"/>
    <mergeCell ref="B10:C10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I50"/>
  <sheetViews>
    <sheetView zoomScale="75" zoomScaleNormal="75" zoomScalePageLayoutView="69" workbookViewId="0" topLeftCell="A1">
      <selection activeCell="A1" sqref="A1"/>
    </sheetView>
  </sheetViews>
  <sheetFormatPr defaultColWidth="9.00390625" defaultRowHeight="13.5"/>
  <cols>
    <col min="1" max="1" width="1.625" style="48" customWidth="1"/>
    <col min="2" max="2" width="7.625" style="48" customWidth="1"/>
    <col min="3" max="3" width="15.625" style="48" customWidth="1"/>
    <col min="4" max="8" width="20.625" style="48" customWidth="1"/>
    <col min="9" max="9" width="84.625" style="48" customWidth="1"/>
    <col min="10" max="10" width="9.25390625" style="48" bestFit="1" customWidth="1"/>
    <col min="11" max="16384" width="9.00390625" style="48" customWidth="1"/>
  </cols>
  <sheetData>
    <row r="1" ht="9.75" customHeight="1"/>
    <row r="2" spans="2:9" ht="24.75" customHeight="1" thickBot="1">
      <c r="B2" s="49" t="s">
        <v>107</v>
      </c>
      <c r="C2" s="50"/>
      <c r="D2" s="50"/>
      <c r="I2" s="51"/>
    </row>
    <row r="3" spans="2:9" ht="19.5" customHeight="1">
      <c r="B3" s="604" t="s">
        <v>272</v>
      </c>
      <c r="C3" s="605"/>
      <c r="D3" s="605"/>
      <c r="E3" s="605"/>
      <c r="F3" s="52" t="s">
        <v>273</v>
      </c>
      <c r="G3" s="52" t="s">
        <v>336</v>
      </c>
      <c r="H3" s="52" t="s">
        <v>337</v>
      </c>
      <c r="I3" s="608" t="s">
        <v>271</v>
      </c>
    </row>
    <row r="4" spans="2:9" ht="19.5" customHeight="1" thickBot="1">
      <c r="B4" s="606"/>
      <c r="C4" s="607"/>
      <c r="D4" s="607"/>
      <c r="E4" s="607"/>
      <c r="F4" s="359"/>
      <c r="G4" s="359">
        <f>'１　対象経営の概要，２　前提条件'!F13</f>
        <v>20</v>
      </c>
      <c r="H4" s="359">
        <f>'１　対象経営の概要，２　前提条件'!F14</f>
        <v>10</v>
      </c>
      <c r="I4" s="609"/>
    </row>
    <row r="5" spans="2:9" ht="19.5" customHeight="1">
      <c r="B5" s="610" t="s">
        <v>90</v>
      </c>
      <c r="C5" s="613" t="s">
        <v>58</v>
      </c>
      <c r="D5" s="53" t="s">
        <v>217</v>
      </c>
      <c r="E5" s="54"/>
      <c r="F5" s="55">
        <f>SUM(G5:H5)</f>
        <v>26040000</v>
      </c>
      <c r="G5" s="317">
        <f>'７－１　水稲部門（コシヒカリ）収支'!F4*('１　対象経営の概要，２　前提条件'!$AB$26+'１　対象経営の概要，２　前提条件'!$AM$26+'１　対象経営の概要，２　前提条件'!$AB$28)+'７－２　水稲部門（こいもみじ）収支 '!F4*('１　対象経営の概要，２　前提条件'!$AB$27+'１　対象経営の概要，２　前提条件'!$AM$27)</f>
        <v>18060000</v>
      </c>
      <c r="H5" s="317">
        <f>'７－３　水稲部門（加工用米）収支'!F4*'１　対象経営の概要，２　前提条件'!$AM$28</f>
        <v>7980000</v>
      </c>
      <c r="I5" s="56"/>
    </row>
    <row r="6" spans="2:9" ht="19.5" customHeight="1">
      <c r="B6" s="611"/>
      <c r="C6" s="614"/>
      <c r="D6" s="57" t="s">
        <v>91</v>
      </c>
      <c r="E6" s="58"/>
      <c r="F6" s="59">
        <f>SUM(G6:H6)</f>
        <v>0</v>
      </c>
      <c r="G6" s="63">
        <f>'７－１　水稲部門（コシヒカリ）収支'!F5*('１　対象経営の概要，２　前提条件'!$AB$26+'１　対象経営の概要，２　前提条件'!$AM$26+'１　対象経営の概要，２　前提条件'!$AB$28)+'７－２　水稲部門（こいもみじ）収支 '!F5*('１　対象経営の概要，２　前提条件'!$AB$27+'１　対象経営の概要，２　前提条件'!$AM$27)</f>
        <v>0</v>
      </c>
      <c r="H6" s="63">
        <f>'７－３　水稲部門（加工用米）収支'!F5*'１　対象経営の概要，２　前提条件'!$AM$28</f>
        <v>0</v>
      </c>
      <c r="I6" s="60"/>
    </row>
    <row r="7" spans="2:9" ht="19.5" customHeight="1">
      <c r="B7" s="611"/>
      <c r="C7" s="615"/>
      <c r="D7" s="592" t="s">
        <v>205</v>
      </c>
      <c r="E7" s="594"/>
      <c r="F7" s="61">
        <f>SUM(F5:F6)</f>
        <v>26040000</v>
      </c>
      <c r="G7" s="62">
        <f>G5+G6</f>
        <v>18060000</v>
      </c>
      <c r="H7" s="62">
        <f>SUM(H5:H6)</f>
        <v>7980000</v>
      </c>
      <c r="I7" s="60"/>
    </row>
    <row r="8" spans="2:9" ht="19.5" customHeight="1">
      <c r="B8" s="611"/>
      <c r="C8" s="616" t="s">
        <v>208</v>
      </c>
      <c r="D8" s="57" t="s">
        <v>59</v>
      </c>
      <c r="E8" s="58"/>
      <c r="F8" s="59">
        <f aca="true" t="shared" si="0" ref="F8:F27">SUM(G8:H8)</f>
        <v>513000</v>
      </c>
      <c r="G8" s="63">
        <f>'７－１　水稲部門（コシヒカリ）収支'!F6*('１　対象経営の概要，２　前提条件'!$AB$26+'１　対象経営の概要，２　前提条件'!$AM$26+'１　対象経営の概要，２　前提条件'!$AB$28)+'７－２　水稲部門（こいもみじ）収支 '!F6*('１　対象経営の概要，２　前提条件'!$AB$27+'１　対象経営の概要，２　前提条件'!$AM$27)</f>
        <v>348000</v>
      </c>
      <c r="H8" s="63">
        <f>'７－３　水稲部門（加工用米）収支'!F6*'１　対象経営の概要，２　前提条件'!$AM$28</f>
        <v>165000</v>
      </c>
      <c r="I8" s="60"/>
    </row>
    <row r="9" spans="2:9" ht="19.5" customHeight="1">
      <c r="B9" s="611"/>
      <c r="C9" s="617"/>
      <c r="D9" s="57" t="s">
        <v>60</v>
      </c>
      <c r="E9" s="58"/>
      <c r="F9" s="59">
        <f t="shared" si="0"/>
        <v>3694146.5</v>
      </c>
      <c r="G9" s="63">
        <f>'７－１　水稲部門（コシヒカリ）収支'!F7*('１　対象経営の概要，２　前提条件'!$AB$26+'１　対象経営の概要，２　前提条件'!$AM$26+'１　対象経営の概要，２　前提条件'!$AB$28)+'７－２　水稲部門（こいもみじ）収支 '!F7*('１　対象経営の概要，２　前提条件'!$AB$27+'１　対象経営の概要，２　前提条件'!$AM$27)</f>
        <v>2297908</v>
      </c>
      <c r="H9" s="63">
        <f>'７－３　水稲部門（加工用米）収支'!F7*'１　対象経営の概要，２　前提条件'!$AM$28</f>
        <v>1396238.5</v>
      </c>
      <c r="I9" s="60"/>
    </row>
    <row r="10" spans="2:9" ht="19.5" customHeight="1">
      <c r="B10" s="611"/>
      <c r="C10" s="617"/>
      <c r="D10" s="57" t="s">
        <v>61</v>
      </c>
      <c r="E10" s="58"/>
      <c r="F10" s="59">
        <f t="shared" si="0"/>
        <v>1868400.3050000002</v>
      </c>
      <c r="G10" s="63">
        <f>'７－１　水稲部門（コシヒカリ）収支'!F8*('１　対象経営の概要，２　前提条件'!$AB$26+'１　対象経営の概要，２　前提条件'!$AM$26+'１　対象経営の概要，２　前提条件'!$AB$28)+'７－２　水稲部門（こいもみじ）収支 '!F8*('１　対象経営の概要，２　前提条件'!$AB$27+'１　対象経営の概要，２　前提条件'!$AM$27)</f>
        <v>1245600.2033333334</v>
      </c>
      <c r="H10" s="63">
        <f>'７－３　水稲部門（加工用米）収支'!F8*'１　対象経営の概要，２　前提条件'!$AM$28</f>
        <v>622800.1016666667</v>
      </c>
      <c r="I10" s="60"/>
    </row>
    <row r="11" spans="2:9" ht="19.5" customHeight="1">
      <c r="B11" s="611"/>
      <c r="C11" s="617"/>
      <c r="D11" s="57" t="s">
        <v>92</v>
      </c>
      <c r="E11" s="58"/>
      <c r="F11" s="59">
        <f t="shared" si="0"/>
        <v>1074230.4239999999</v>
      </c>
      <c r="G11" s="63">
        <f>'７－１　水稲部門（コシヒカリ）収支'!F9*('１　対象経営の概要，２　前提条件'!$AB$26+'１　対象経営の概要，２　前提条件'!$AM$26+'１　対象経営の概要，２　前提条件'!$AB$28)+'７－２　水稲部門（こいもみじ）収支 '!F9*('１　対象経営の概要，２　前提条件'!$AB$27+'１　対象経営の概要，２　前提条件'!$AM$27)</f>
        <v>716153.6159999999</v>
      </c>
      <c r="H11" s="63">
        <f>'７－３　水稲部門（加工用米）収支'!F9*'１　対象経営の概要，２　前提条件'!$AM$28</f>
        <v>358076.80799999996</v>
      </c>
      <c r="I11" s="60"/>
    </row>
    <row r="12" spans="2:9" ht="19.5" customHeight="1">
      <c r="B12" s="611"/>
      <c r="C12" s="617"/>
      <c r="D12" s="57" t="s">
        <v>62</v>
      </c>
      <c r="E12" s="58"/>
      <c r="F12" s="59">
        <f t="shared" si="0"/>
        <v>174200</v>
      </c>
      <c r="G12" s="63">
        <f>'７－１　水稲部門（コシヒカリ）収支'!F10*('１　対象経営の概要，２　前提条件'!$AB$26+'１　対象経営の概要，２　前提条件'!$AM$26+'１　対象経営の概要，２　前提条件'!$AB$28)+'７－２　水稲部門（こいもみじ）収支 '!F10*('１　対象経営の概要，２　前提条件'!$AB$27+'１　対象経営の概要，２　前提条件'!$AM$27)</f>
        <v>116133.33333333334</v>
      </c>
      <c r="H12" s="63">
        <f>'７－３　水稲部門（加工用米）収支'!F10*'１　対象経営の概要，２　前提条件'!$AM$28</f>
        <v>58066.66666666667</v>
      </c>
      <c r="I12" s="60"/>
    </row>
    <row r="13" spans="2:9" ht="19.5" customHeight="1">
      <c r="B13" s="611"/>
      <c r="C13" s="617"/>
      <c r="D13" s="57" t="s">
        <v>6</v>
      </c>
      <c r="E13" s="58"/>
      <c r="F13" s="59">
        <f t="shared" si="0"/>
        <v>2500</v>
      </c>
      <c r="G13" s="63">
        <f>'７－１　水稲部門（コシヒカリ）収支'!F11*('１　対象経営の概要，２　前提条件'!$AB$26+'１　対象経営の概要，２　前提条件'!$AM$26+'１　対象経営の概要，２　前提条件'!$AB$28)+'７－２　水稲部門（こいもみじ）収支 '!F11*('１　対象経営の概要，２　前提条件'!$AB$27+'１　対象経営の概要，２　前提条件'!$AM$27)</f>
        <v>1666.6666666666665</v>
      </c>
      <c r="H13" s="63">
        <f>'７－３　水稲部門（加工用米）収支'!F11*'１　対象経営の概要，２　前提条件'!$AM$28</f>
        <v>833.3333333333333</v>
      </c>
      <c r="I13" s="60"/>
    </row>
    <row r="14" spans="2:9" ht="19.5" customHeight="1">
      <c r="B14" s="611"/>
      <c r="C14" s="617"/>
      <c r="D14" s="57" t="s">
        <v>7</v>
      </c>
      <c r="E14" s="58"/>
      <c r="F14" s="63">
        <f t="shared" si="0"/>
        <v>324000</v>
      </c>
      <c r="G14" s="63">
        <f>'７－１　水稲部門（コシヒカリ）収支'!F12*('１　対象経営の概要，２　前提条件'!$AB$26+'１　対象経営の概要，２　前提条件'!$AM$26+'１　対象経営の概要，２　前提条件'!$AB$28)+'７－２　水稲部門（こいもみじ）収支 '!F12*('１　対象経営の概要，２　前提条件'!$AB$27+'１　対象経営の概要，２　前提条件'!$AM$27)</f>
        <v>216000</v>
      </c>
      <c r="H14" s="63">
        <f>'７－３　水稲部門（加工用米）収支'!F12*'１　対象経営の概要，２　前提条件'!$AM$28</f>
        <v>108000</v>
      </c>
      <c r="I14" s="60" t="s">
        <v>398</v>
      </c>
    </row>
    <row r="15" spans="2:9" ht="19.5" customHeight="1">
      <c r="B15" s="611"/>
      <c r="C15" s="617"/>
      <c r="D15" s="619" t="s">
        <v>63</v>
      </c>
      <c r="E15" s="64" t="s">
        <v>196</v>
      </c>
      <c r="F15" s="63">
        <f t="shared" si="0"/>
        <v>209331</v>
      </c>
      <c r="G15" s="63">
        <f>'７－１　水稲部門（コシヒカリ）収支'!F13*('１　対象経営の概要，２　前提条件'!$AB$26+'１　対象経営の概要，２　前提条件'!$AM$26+'１　対象経営の概要，２　前提条件'!$AB$28)+'７－２　水稲部門（こいもみじ）収支 '!F13*('１　対象経営の概要，２　前提条件'!$AB$27+'１　対象経営の概要，２　前提条件'!$AM$27)</f>
        <v>139554</v>
      </c>
      <c r="H15" s="63">
        <f>'７－３　水稲部門（加工用米）収支'!F13*'１　対象経営の概要，２　前提条件'!$AM$28</f>
        <v>69777</v>
      </c>
      <c r="I15" s="60"/>
    </row>
    <row r="16" spans="2:9" ht="19.5" customHeight="1">
      <c r="B16" s="611"/>
      <c r="C16" s="617"/>
      <c r="D16" s="620"/>
      <c r="E16" s="64" t="s">
        <v>197</v>
      </c>
      <c r="F16" s="63">
        <f t="shared" si="0"/>
        <v>2202687.6000000006</v>
      </c>
      <c r="G16" s="63">
        <f>'７－１　水稲部門（コシヒカリ）収支'!F14*('１　対象経営の概要，２　前提条件'!$AB$26+'１　対象経営の概要，２　前提条件'!$AM$26+'１　対象経営の概要，２　前提条件'!$AB$28)+'７－２　水稲部門（こいもみじ）収支 '!F14*('１　対象経営の概要，２　前提条件'!$AB$27+'１　対象経営の概要，２　前提条件'!$AM$27)</f>
        <v>1468458.4000000004</v>
      </c>
      <c r="H16" s="63">
        <f>'７－３　水稲部門（加工用米）収支'!F14*'１　対象経営の概要，２　前提条件'!$AM$28</f>
        <v>734229.2000000002</v>
      </c>
      <c r="I16" s="60"/>
    </row>
    <row r="17" spans="2:9" ht="19.5" customHeight="1">
      <c r="B17" s="611"/>
      <c r="C17" s="617"/>
      <c r="D17" s="621" t="s">
        <v>93</v>
      </c>
      <c r="E17" s="64" t="s">
        <v>196</v>
      </c>
      <c r="F17" s="63">
        <f t="shared" si="0"/>
        <v>1095390</v>
      </c>
      <c r="G17" s="63">
        <f>'７－１　水稲部門（コシヒカリ）収支'!F15*('１　対象経営の概要，２　前提条件'!$AB$26+'１　対象経営の概要，２　前提条件'!$AM$26+'１　対象経営の概要，２　前提条件'!$AB$28)+'７－２　水稲部門（こいもみじ）収支 '!F15*('１　対象経営の概要，２　前提条件'!$AB$27+'１　対象経営の概要，２　前提条件'!$AM$27)</f>
        <v>730260</v>
      </c>
      <c r="H17" s="63">
        <f>'７－３　水稲部門（加工用米）収支'!F15*'１　対象経営の概要，２　前提条件'!$AM$28</f>
        <v>365130</v>
      </c>
      <c r="I17" s="60"/>
    </row>
    <row r="18" spans="2:9" ht="19.5" customHeight="1">
      <c r="B18" s="611"/>
      <c r="C18" s="617"/>
      <c r="D18" s="622"/>
      <c r="E18" s="64" t="s">
        <v>197</v>
      </c>
      <c r="F18" s="63">
        <f t="shared" si="0"/>
        <v>6552678.857142856</v>
      </c>
      <c r="G18" s="63">
        <f>'７－１　水稲部門（コシヒカリ）収支'!F16*('１　対象経営の概要，２　前提条件'!$AB$26+'１　対象経営の概要，２　前提条件'!$AM$26+'１　対象経営の概要，２　前提条件'!$AB$28)+'７－２　水稲部門（こいもみじ）収支 '!F16*('１　対象経営の概要，２　前提条件'!$AB$27+'１　対象経営の概要，２　前提条件'!$AM$27)</f>
        <v>4368452.571428571</v>
      </c>
      <c r="H18" s="63">
        <f>'７－３　水稲部門（加工用米）収支'!F16*'１　対象経営の概要，２　前提条件'!$AM$28</f>
        <v>2184226.2857142854</v>
      </c>
      <c r="I18" s="60" t="s">
        <v>410</v>
      </c>
    </row>
    <row r="19" spans="2:9" ht="19.5" customHeight="1">
      <c r="B19" s="611"/>
      <c r="C19" s="617"/>
      <c r="D19" s="620"/>
      <c r="E19" s="67" t="s">
        <v>64</v>
      </c>
      <c r="F19" s="63">
        <f t="shared" si="0"/>
        <v>0</v>
      </c>
      <c r="G19" s="63">
        <f>'７－１　水稲部門（コシヒカリ）収支'!F17*('１　対象経営の概要，２　前提条件'!$AB$26+'１　対象経営の概要，２　前提条件'!$AM$26+'１　対象経営の概要，２　前提条件'!$AB$28)+'７－２　水稲部門（こいもみじ）収支 '!F17*('１　対象経営の概要，２　前提条件'!$AB$27+'１　対象経営の概要，２　前提条件'!$AM$27)</f>
        <v>0</v>
      </c>
      <c r="H19" s="63">
        <f>'７－３　水稲部門（加工用米）収支'!F17*'１　対象経営の概要，２　前提条件'!$AM$28</f>
        <v>0</v>
      </c>
      <c r="I19" s="60"/>
    </row>
    <row r="20" spans="2:9" ht="19.5" customHeight="1">
      <c r="B20" s="611"/>
      <c r="C20" s="617"/>
      <c r="D20" s="623" t="s">
        <v>268</v>
      </c>
      <c r="E20" s="67" t="s">
        <v>127</v>
      </c>
      <c r="F20" s="63">
        <f t="shared" si="0"/>
        <v>0</v>
      </c>
      <c r="G20" s="63">
        <f>'７－１　水稲部門（コシヒカリ）収支'!F18*('１　対象経営の概要，２　前提条件'!$AB$26+'１　対象経営の概要，２　前提条件'!$AM$26+'１　対象経営の概要，２　前提条件'!$AB$28)+'７－２　水稲部門（こいもみじ）収支 '!F18*('１　対象経営の概要，２　前提条件'!$AB$27+'１　対象経営の概要，２　前提条件'!$AM$27)</f>
        <v>0</v>
      </c>
      <c r="H20" s="63">
        <f>'７－３　水稲部門（加工用米）収支'!F18*'１　対象経営の概要，２　前提条件'!$AM$28</f>
        <v>0</v>
      </c>
      <c r="I20" s="60"/>
    </row>
    <row r="21" spans="2:9" ht="19.5" customHeight="1">
      <c r="B21" s="611"/>
      <c r="C21" s="617"/>
      <c r="D21" s="623"/>
      <c r="E21" s="67" t="s">
        <v>123</v>
      </c>
      <c r="F21" s="63">
        <f t="shared" si="0"/>
        <v>1118700.0000000002</v>
      </c>
      <c r="G21" s="63">
        <f>'７－１　水稲部門（コシヒカリ）収支'!F19*('１　対象経営の概要，２　前提条件'!$AB$26+'１　対象経営の概要，２　前提条件'!$AM$26+'１　対象経営の概要，２　前提条件'!$AB$28)+'７－２　水稲部門（こいもみじ）収支 '!F19*('１　対象経営の概要，２　前提条件'!$AB$27+'１　対象経営の概要，２　前提条件'!$AM$27)</f>
        <v>745800.0000000001</v>
      </c>
      <c r="H21" s="63">
        <f>'７－３　水稲部門（加工用米）収支'!F19*'１　対象経営の概要，２　前提条件'!$AM$28</f>
        <v>372900.00000000006</v>
      </c>
      <c r="I21" s="60"/>
    </row>
    <row r="22" spans="2:9" ht="19.5" customHeight="1">
      <c r="B22" s="611"/>
      <c r="C22" s="617"/>
      <c r="D22" s="623"/>
      <c r="E22" s="67" t="s">
        <v>124</v>
      </c>
      <c r="F22" s="63">
        <f t="shared" si="0"/>
        <v>1674000</v>
      </c>
      <c r="G22" s="63">
        <f>'７－１　水稲部門（コシヒカリ）収支'!F20*('１　対象経営の概要，２　前提条件'!$AB$26+'１　対象経営の概要，２　前提条件'!$AM$26+'１　対象経営の概要，２　前提条件'!$AB$28)+'７－２　水稲部門（こいもみじ）収支 '!F20*('１　対象経営の概要，２　前提条件'!$AB$27+'１　対象経営の概要，２　前提条件'!$AM$27)</f>
        <v>1116000</v>
      </c>
      <c r="H22" s="63">
        <f>'７－３　水稲部門（加工用米）収支'!F20*'１　対象経営の概要，２　前提条件'!$AM$28</f>
        <v>558000</v>
      </c>
      <c r="I22" s="60"/>
    </row>
    <row r="23" spans="2:9" ht="19.5" customHeight="1">
      <c r="B23" s="611"/>
      <c r="C23" s="617"/>
      <c r="D23" s="623"/>
      <c r="E23" s="210" t="s">
        <v>126</v>
      </c>
      <c r="F23" s="63">
        <f t="shared" si="0"/>
        <v>33512.399999999994</v>
      </c>
      <c r="G23" s="63">
        <f>'７－１　水稲部門（コシヒカリ）収支'!F21*('１　対象経営の概要，２　前提条件'!$AB$26+'１　対象経営の概要，２　前提条件'!$AM$26+'１　対象経営の概要，２　前提条件'!$AB$28)+'７－２　水稲部門（こいもみじ）収支 '!F21*('１　対象経営の概要，２　前提条件'!$AB$27+'１　対象経営の概要，２　前提条件'!$AM$27)</f>
        <v>22341.6</v>
      </c>
      <c r="H23" s="63">
        <f>'７－３　水稲部門（加工用米）収支'!F21*'１　対象経営の概要，２　前提条件'!$AM$28</f>
        <v>11170.8</v>
      </c>
      <c r="I23" s="60"/>
    </row>
    <row r="24" spans="2:9" ht="19.5" customHeight="1">
      <c r="B24" s="611"/>
      <c r="C24" s="617"/>
      <c r="D24" s="621" t="s">
        <v>65</v>
      </c>
      <c r="E24" s="58" t="s">
        <v>66</v>
      </c>
      <c r="F24" s="63">
        <f t="shared" si="0"/>
        <v>712800</v>
      </c>
      <c r="G24" s="63">
        <f>'７－１　水稲部門（コシヒカリ）収支'!F22*('１　対象経営の概要，２　前提条件'!$AB$26+'１　対象経営の概要，２　前提条件'!$AM$26+'１　対象経営の概要，２　前提条件'!$AB$28)+'７－２　水稲部門（こいもみじ）収支 '!F22*('１　対象経営の概要，２　前提条件'!$AB$27+'１　対象経営の概要，２　前提条件'!$AM$27)</f>
        <v>475200</v>
      </c>
      <c r="H24" s="63">
        <f>'７－３　水稲部門（加工用米）収支'!F22*'１　対象経営の概要，２　前提条件'!$AM$28</f>
        <v>237600</v>
      </c>
      <c r="I24" s="60"/>
    </row>
    <row r="25" spans="2:9" ht="19.5" customHeight="1">
      <c r="B25" s="611"/>
      <c r="C25" s="617"/>
      <c r="D25" s="620"/>
      <c r="E25" s="58" t="s">
        <v>94</v>
      </c>
      <c r="F25" s="59">
        <f t="shared" si="0"/>
        <v>1500000</v>
      </c>
      <c r="G25" s="63">
        <f>'７－１　水稲部門（コシヒカリ）収支'!F23*('１　対象経営の概要，２　前提条件'!$AB$26+'１　対象経営の概要，２　前提条件'!$AM$26+'１　対象経営の概要，２　前提条件'!$AB$28)+'７－２　水稲部門（こいもみじ）収支 '!F23*('１　対象経営の概要，２　前提条件'!$AB$27+'１　対象経営の概要，２　前提条件'!$AM$27)</f>
        <v>1000000</v>
      </c>
      <c r="H25" s="63">
        <f>'７－３　水稲部門（加工用米）収支'!F23*'１　対象経営の概要，２　前提条件'!$AM$28</f>
        <v>500000</v>
      </c>
      <c r="I25" s="60"/>
    </row>
    <row r="26" spans="2:9" ht="19.5" customHeight="1">
      <c r="B26" s="611"/>
      <c r="C26" s="617"/>
      <c r="D26" s="57" t="s">
        <v>67</v>
      </c>
      <c r="E26" s="58"/>
      <c r="F26" s="59">
        <f t="shared" si="0"/>
        <v>900000</v>
      </c>
      <c r="G26" s="63">
        <f>'７－１　水稲部門（コシヒカリ）収支'!F24*('１　対象経営の概要，２　前提条件'!$AB$26+'１　対象経営の概要，２　前提条件'!$AM$26+'１　対象経営の概要，２　前提条件'!$AB$28)+'７－２　水稲部門（こいもみじ）収支 '!F24*('１　対象経営の概要，２　前提条件'!$AB$27+'１　対象経営の概要，２　前提条件'!$AM$27)</f>
        <v>600000</v>
      </c>
      <c r="H26" s="63">
        <f>'７－３　水稲部門（加工用米）収支'!F24*'１　対象経営の概要，２　前提条件'!$AM$28</f>
        <v>300000</v>
      </c>
      <c r="I26" s="60"/>
    </row>
    <row r="27" spans="2:9" ht="19.5" customHeight="1">
      <c r="B27" s="611"/>
      <c r="C27" s="617"/>
      <c r="D27" s="57" t="s">
        <v>174</v>
      </c>
      <c r="E27" s="58"/>
      <c r="F27" s="59">
        <f t="shared" si="0"/>
        <v>238884.61703174605</v>
      </c>
      <c r="G27" s="63">
        <f>'７－１　水稲部門（コシヒカリ）収支'!F25*('１　対象経営の概要，２　前提条件'!$AB$26+'１　対象経営の概要，２　前提条件'!$AM$26+'１　対象経営の概要，２　前提条件'!$AB$28)+'７－２　水稲部門（こいもみじ）収支 '!F25*('１　対象経営の概要，２　前提条件'!$AB$27+'１　対象経営の概要，２　前提条件'!$AM$27)</f>
        <v>157651.80192688794</v>
      </c>
      <c r="H27" s="63">
        <f>'７－３　水稲部門（加工用米）収支'!F25*'１　対象経営の概要，２　前提条件'!$AM$28</f>
        <v>81232.8151048581</v>
      </c>
      <c r="I27" s="60"/>
    </row>
    <row r="28" spans="2:9" ht="19.5" customHeight="1">
      <c r="B28" s="611"/>
      <c r="C28" s="618"/>
      <c r="D28" s="590" t="s">
        <v>209</v>
      </c>
      <c r="E28" s="591"/>
      <c r="F28" s="65">
        <f>SUM(F8:F27)</f>
        <v>23888461.7031746</v>
      </c>
      <c r="G28" s="65">
        <f>SUM(G8:G27)</f>
        <v>15765180.192688793</v>
      </c>
      <c r="H28" s="65">
        <f>SUM(H8:H27)</f>
        <v>8123281.51048581</v>
      </c>
      <c r="I28" s="60"/>
    </row>
    <row r="29" spans="2:9" ht="19.5" customHeight="1">
      <c r="B29" s="611"/>
      <c r="C29" s="592" t="s">
        <v>206</v>
      </c>
      <c r="D29" s="593"/>
      <c r="E29" s="594"/>
      <c r="F29" s="61">
        <f>F7-F28</f>
        <v>2151538.2968254015</v>
      </c>
      <c r="G29" s="61">
        <f>G7-G28</f>
        <v>2294819.807311207</v>
      </c>
      <c r="H29" s="61">
        <f>H7-H28</f>
        <v>-143281.51048581023</v>
      </c>
      <c r="I29" s="60"/>
    </row>
    <row r="30" spans="2:9" ht="19.5" customHeight="1">
      <c r="B30" s="611"/>
      <c r="C30" s="595" t="s">
        <v>203</v>
      </c>
      <c r="D30" s="598" t="s">
        <v>68</v>
      </c>
      <c r="E30" s="78" t="s">
        <v>3</v>
      </c>
      <c r="F30" s="66">
        <f>SUM(G30:H30)</f>
        <v>444000</v>
      </c>
      <c r="G30" s="63">
        <f>'７－１　水稲部門（コシヒカリ）収支'!F27*('１　対象経営の概要，２　前提条件'!$AB$26+'１　対象経営の概要，２　前提条件'!$AM$26+'１　対象経営の概要，２　前提条件'!$AB$28)+'７－２　水稲部門（こいもみじ）収支 '!F27*('１　対象経営の概要，２　前提条件'!$AB$27+'１　対象経営の概要，２　前提条件'!$AM$27)</f>
        <v>284000</v>
      </c>
      <c r="H30" s="63">
        <f>'７－３　水稲部門（加工用米）収支'!F27*'１　対象経営の概要，２　前提条件'!$AM$28</f>
        <v>160000</v>
      </c>
      <c r="I30" s="60"/>
    </row>
    <row r="31" spans="2:9" ht="19.5" customHeight="1">
      <c r="B31" s="611"/>
      <c r="C31" s="596"/>
      <c r="D31" s="599"/>
      <c r="E31" s="78" t="s">
        <v>4</v>
      </c>
      <c r="F31" s="66">
        <f>SUM(G31:H31)</f>
        <v>0</v>
      </c>
      <c r="G31" s="63">
        <f>'７－１　水稲部門（コシヒカリ）収支'!F28*('１　対象経営の概要，２　前提条件'!$AB$26+'１　対象経営の概要，２　前提条件'!$AM$26+'１　対象経営の概要，２　前提条件'!$AB$28)+'７－２　水稲部門（こいもみじ）収支 '!F28*('１　対象経営の概要，２　前提条件'!$AB$27+'１　対象経営の概要，２　前提条件'!$AM$27)</f>
        <v>0</v>
      </c>
      <c r="H31" s="63">
        <f>'７－３　水稲部門（加工用米）収支'!F28*'１　対象経営の概要，２　前提条件'!$AM$28</f>
        <v>0</v>
      </c>
      <c r="I31" s="60"/>
    </row>
    <row r="32" spans="2:9" ht="19.5" customHeight="1">
      <c r="B32" s="611"/>
      <c r="C32" s="596"/>
      <c r="D32" s="600"/>
      <c r="E32" s="78" t="s">
        <v>8</v>
      </c>
      <c r="F32" s="66">
        <f>SUM(G32:H32)</f>
        <v>138750</v>
      </c>
      <c r="G32" s="63">
        <f>'７－１　水稲部門（コシヒカリ）収支'!F29*('１　対象経営の概要，２　前提条件'!$AB$26+'１　対象経営の概要，２　前提条件'!$AM$26+'１　対象経営の概要，２　前提条件'!$AB$28)+'７－２　水稲部門（こいもみじ）収支 '!F29*('１　対象経営の概要，２　前提条件'!$AB$27+'１　対象経営の概要，２　前提条件'!$AM$27)</f>
        <v>88750</v>
      </c>
      <c r="H32" s="63">
        <f>'７－３　水稲部門（加工用米）収支'!F29*'１　対象経営の概要，２　前提条件'!$AM$28</f>
        <v>50000</v>
      </c>
      <c r="I32" s="60"/>
    </row>
    <row r="33" spans="2:9" ht="19.5" customHeight="1">
      <c r="B33" s="611"/>
      <c r="C33" s="596"/>
      <c r="D33" s="78" t="s">
        <v>69</v>
      </c>
      <c r="E33" s="79"/>
      <c r="F33" s="443">
        <v>0</v>
      </c>
      <c r="G33" s="443">
        <v>0</v>
      </c>
      <c r="H33" s="443">
        <v>0</v>
      </c>
      <c r="I33" s="444"/>
    </row>
    <row r="34" spans="2:9" ht="19.5" customHeight="1">
      <c r="B34" s="611"/>
      <c r="C34" s="596"/>
      <c r="D34" s="603" t="s">
        <v>269</v>
      </c>
      <c r="E34" s="67" t="s">
        <v>127</v>
      </c>
      <c r="F34" s="443">
        <v>0</v>
      </c>
      <c r="G34" s="443">
        <v>0</v>
      </c>
      <c r="H34" s="443">
        <v>0</v>
      </c>
      <c r="I34" s="444"/>
    </row>
    <row r="35" spans="2:9" ht="19.5" customHeight="1">
      <c r="B35" s="611"/>
      <c r="C35" s="596"/>
      <c r="D35" s="603"/>
      <c r="E35" s="67" t="s">
        <v>126</v>
      </c>
      <c r="F35" s="443">
        <v>0</v>
      </c>
      <c r="G35" s="443">
        <v>0</v>
      </c>
      <c r="H35" s="443">
        <v>0</v>
      </c>
      <c r="I35" s="444"/>
    </row>
    <row r="36" spans="2:9" ht="19.5" customHeight="1">
      <c r="B36" s="611"/>
      <c r="C36" s="596"/>
      <c r="D36" s="78" t="s">
        <v>70</v>
      </c>
      <c r="E36" s="79"/>
      <c r="F36" s="443">
        <v>0</v>
      </c>
      <c r="G36" s="443">
        <v>0</v>
      </c>
      <c r="H36" s="443">
        <v>0</v>
      </c>
      <c r="I36" s="444"/>
    </row>
    <row r="37" spans="2:9" ht="19.5" customHeight="1">
      <c r="B37" s="611"/>
      <c r="C37" s="596"/>
      <c r="D37" s="78" t="s">
        <v>95</v>
      </c>
      <c r="E37" s="79"/>
      <c r="F37" s="443">
        <v>0</v>
      </c>
      <c r="G37" s="443">
        <v>0</v>
      </c>
      <c r="H37" s="443">
        <v>0</v>
      </c>
      <c r="I37" s="444"/>
    </row>
    <row r="38" spans="2:9" ht="19.5" customHeight="1">
      <c r="B38" s="611"/>
      <c r="C38" s="596"/>
      <c r="D38" s="78" t="s">
        <v>130</v>
      </c>
      <c r="E38" s="79"/>
      <c r="F38" s="59">
        <f>SUM(G38:H38)</f>
        <v>238583.33333333334</v>
      </c>
      <c r="G38" s="63">
        <f>'７－１　水稲部門（コシヒカリ）収支'!F35*('１　対象経営の概要，２　前提条件'!$AB$26+'１　対象経営の概要，２　前提条件'!$AM$26+'１　対象経営の概要，２　前提条件'!$AB$28)+'７－２　水稲部門（こいもみじ）収支 '!F35*('１　対象経営の概要，２　前提条件'!$AB$27+'１　対象経営の概要，２　前提条件'!$AM$27)</f>
        <v>159055.55555555556</v>
      </c>
      <c r="H38" s="63">
        <f>'７－３　水稲部門（加工用米）収支'!F35*'１　対象経営の概要，２　前提条件'!$AM$28</f>
        <v>79527.77777777778</v>
      </c>
      <c r="I38" s="60"/>
    </row>
    <row r="39" spans="2:9" ht="19.5" customHeight="1">
      <c r="B39" s="611"/>
      <c r="C39" s="596"/>
      <c r="D39" s="78" t="s">
        <v>96</v>
      </c>
      <c r="E39" s="79"/>
      <c r="F39" s="59">
        <f>SUM(G39:H39)</f>
        <v>0</v>
      </c>
      <c r="G39" s="63">
        <f>'７－１　水稲部門（コシヒカリ）収支'!F36*('１　対象経営の概要，２　前提条件'!$AB$26+'１　対象経営の概要，２　前提条件'!$AM$26+'１　対象経営の概要，２　前提条件'!$AB$28)+'７－２　水稲部門（こいもみじ）収支 '!F36*('１　対象経営の概要，２　前提条件'!$AB$27+'１　対象経営の概要，２　前提条件'!$AM$27)</f>
        <v>0</v>
      </c>
      <c r="H39" s="63">
        <f>'７－３　水稲部門（加工用米）収支'!F36*'１　対象経営の概要，２　前提条件'!$AM$28</f>
        <v>0</v>
      </c>
      <c r="I39" s="60"/>
    </row>
    <row r="40" spans="2:9" ht="19.5" customHeight="1">
      <c r="B40" s="611"/>
      <c r="C40" s="596"/>
      <c r="D40" s="78" t="s">
        <v>71</v>
      </c>
      <c r="E40" s="79"/>
      <c r="F40" s="59">
        <f>SUM(G40:H40)</f>
        <v>122219.01999999999</v>
      </c>
      <c r="G40" s="63">
        <f>'７－１　水稲部門（コシヒカリ）収支'!F37*('１　対象経営の概要，２　前提条件'!$AB$26+'１　対象経営の概要，２　前提条件'!$AM$26+'１　対象経営の概要，２　前提条件'!$AB$28)+'７－２　水稲部門（こいもみじ）収支 '!F37*('１　対象経営の概要，２　前提条件'!$AB$27+'１　対象経営の概要，２　前提条件'!$AM$27)</f>
        <v>81479.34666666666</v>
      </c>
      <c r="H40" s="63">
        <f>'７－３　水稲部門（加工用米）収支'!F37*'１　対象経営の概要，２　前提条件'!$AM$28</f>
        <v>40739.67333333333</v>
      </c>
      <c r="I40" s="60"/>
    </row>
    <row r="41" spans="2:9" ht="19.5" customHeight="1">
      <c r="B41" s="611"/>
      <c r="C41" s="596"/>
      <c r="D41" s="78" t="s">
        <v>0</v>
      </c>
      <c r="E41" s="79"/>
      <c r="F41" s="59"/>
      <c r="G41" s="63">
        <f>'７－１　水稲部門（コシヒカリ）収支'!F38*('１　対象経営の概要，２　前提条件'!$AB$26+'１　対象経営の概要，２　前提条件'!$AM$26+'１　対象経営の概要，２　前提条件'!$AB$28)+'７－２　水稲部門（こいもみじ）収支 '!F38*('１　対象経営の概要，２　前提条件'!$AB$27+'１　対象経営の概要，２　前提条件'!$AM$27)</f>
        <v>0</v>
      </c>
      <c r="H41" s="63">
        <f>'７－３　水稲部門（加工用米）収支'!F38*'１　対象経営の概要，２　前提条件'!$AM$28</f>
        <v>0</v>
      </c>
      <c r="I41" s="60"/>
    </row>
    <row r="42" spans="2:9" ht="19.5" customHeight="1" thickBot="1">
      <c r="B42" s="612"/>
      <c r="C42" s="597"/>
      <c r="D42" s="601" t="s">
        <v>207</v>
      </c>
      <c r="E42" s="602"/>
      <c r="F42" s="69">
        <f aca="true" t="shared" si="1" ref="F42:F50">SUM(G42:H42)</f>
        <v>943552.3533333333</v>
      </c>
      <c r="G42" s="69">
        <f>SUM(G30:G41)</f>
        <v>613284.9022222222</v>
      </c>
      <c r="H42" s="69">
        <f>SUM(H30:H41)</f>
        <v>330267.4511111111</v>
      </c>
      <c r="I42" s="70"/>
    </row>
    <row r="43" spans="2:9" ht="19.5" customHeight="1" thickBot="1">
      <c r="B43" s="626" t="s">
        <v>210</v>
      </c>
      <c r="C43" s="627"/>
      <c r="D43" s="627"/>
      <c r="E43" s="627"/>
      <c r="F43" s="71">
        <f t="shared" si="1"/>
        <v>1207985.9434920636</v>
      </c>
      <c r="G43" s="315">
        <f>G29-G42</f>
        <v>1681534.9050889849</v>
      </c>
      <c r="H43" s="315">
        <f>H29-H42</f>
        <v>-473548.9615969213</v>
      </c>
      <c r="I43" s="72"/>
    </row>
    <row r="44" spans="2:9" ht="19.5" customHeight="1">
      <c r="B44" s="610" t="s">
        <v>97</v>
      </c>
      <c r="C44" s="629" t="s">
        <v>211</v>
      </c>
      <c r="D44" s="73" t="s">
        <v>129</v>
      </c>
      <c r="E44" s="74"/>
      <c r="F44" s="75">
        <f t="shared" si="1"/>
        <v>6192500</v>
      </c>
      <c r="G44" s="314">
        <f>'７－１　水稲部門（コシヒカリ）収支'!F40*('１　対象経営の概要，２　前提条件'!$AB$26+'１　対象経営の概要，２　前提条件'!$AM$26+'１　対象経営の概要，２　前提条件'!$AB$28)+'７－２　水稲部門（こいもみじ）収支 '!F40*('１　対象経営の概要，２　前提条件'!$AB$27+'１　対象経営の概要，２　前提条件'!$AM$27)-7500</f>
        <v>1492500</v>
      </c>
      <c r="H44" s="55">
        <f>'７－３　水稲部門（加工用米）収支'!F40*'１　対象経営の概要，２　前提条件'!$AM$28</f>
        <v>4700000</v>
      </c>
      <c r="I44" s="56"/>
    </row>
    <row r="45" spans="2:9" ht="19.5" customHeight="1">
      <c r="B45" s="611"/>
      <c r="C45" s="630"/>
      <c r="D45" s="57" t="s">
        <v>128</v>
      </c>
      <c r="E45" s="58"/>
      <c r="F45" s="76">
        <f t="shared" si="1"/>
        <v>0</v>
      </c>
      <c r="G45" s="314">
        <f>'７－１　水稲部門（コシヒカリ）収支'!F41*('１　対象経営の概要，２　前提条件'!$AB$26+'１　対象経営の概要，２　前提条件'!$AM$26+'１　対象経営の概要，２　前提条件'!$AB$28)+'７－２　水稲部門（こいもみじ）収支 '!F41*('１　対象経営の概要，２　前提条件'!$AB$27+'１　対象経営の概要，２　前提条件'!$AM$27)</f>
        <v>0</v>
      </c>
      <c r="H45" s="336">
        <f>'７－３　水稲部門（加工用米）収支'!F41*'１　対象経営の概要，２　前提条件'!$AM$28</f>
        <v>0</v>
      </c>
      <c r="I45" s="77"/>
    </row>
    <row r="46" spans="2:9" ht="19.5" customHeight="1">
      <c r="B46" s="611"/>
      <c r="C46" s="631"/>
      <c r="D46" s="78" t="s">
        <v>72</v>
      </c>
      <c r="E46" s="58"/>
      <c r="F46" s="76">
        <f t="shared" si="1"/>
        <v>0</v>
      </c>
      <c r="G46" s="314">
        <f>'７－１　水稲部門（コシヒカリ）収支'!F42*('１　対象経営の概要，２　前提条件'!$AB$26+'１　対象経営の概要，２　前提条件'!$AM$26+'１　対象経営の概要，２　前提条件'!$AB$28)+'７－２　水稲部門（こいもみじ）収支 '!F42*('１　対象経営の概要，２　前提条件'!$AB$27+'１　対象経営の概要，２　前提条件'!$AM$27)</f>
        <v>0</v>
      </c>
      <c r="H46" s="336">
        <f>'７－３　水稲部門（加工用米）収支'!F42*'１　対象経営の概要，２　前提条件'!$AM$28</f>
        <v>0</v>
      </c>
      <c r="I46" s="60"/>
    </row>
    <row r="47" spans="2:9" ht="19.5" customHeight="1">
      <c r="B47" s="611"/>
      <c r="C47" s="631" t="s">
        <v>212</v>
      </c>
      <c r="D47" s="78" t="s">
        <v>270</v>
      </c>
      <c r="E47" s="79"/>
      <c r="F47" s="76">
        <f t="shared" si="1"/>
        <v>0</v>
      </c>
      <c r="G47" s="314">
        <f>'７－１　水稲部門（コシヒカリ）収支'!F43*('１　対象経営の概要，２　前提条件'!$AB$26+'１　対象経営の概要，２　前提条件'!$AM$26+'１　対象経営の概要，２　前提条件'!$AB$28)+'７－２　水稲部門（こいもみじ）収支 '!F43*('１　対象経営の概要，２　前提条件'!$AB$27+'１　対象経営の概要，２　前提条件'!$AM$27)</f>
        <v>0</v>
      </c>
      <c r="H47" s="336">
        <f>'７－３　水稲部門（加工用米）収支'!F43*'１　対象経営の概要，２　前提条件'!$AM$28</f>
        <v>0</v>
      </c>
      <c r="I47" s="77"/>
    </row>
    <row r="48" spans="2:9" ht="19.5" customHeight="1">
      <c r="B48" s="611"/>
      <c r="C48" s="595"/>
      <c r="D48" s="80" t="s">
        <v>1</v>
      </c>
      <c r="E48" s="81"/>
      <c r="F48" s="82">
        <f t="shared" si="1"/>
        <v>0</v>
      </c>
      <c r="G48" s="314">
        <f>'７－１　水稲部門（コシヒカリ）収支'!F44*('１　対象経営の概要，２　前提条件'!$AB$26+'１　対象経営の概要，２　前提条件'!$AM$26+'１　対象経営の概要，２　前提条件'!$AB$28)+'７－２　水稲部門（こいもみじ）収支 '!F44*('１　対象経営の概要，２　前提条件'!$AB$27+'１　対象経営の概要，２　前提条件'!$AM$27)</f>
        <v>0</v>
      </c>
      <c r="H48" s="336">
        <f>'７－３　水稲部門（加工用米）収支'!F44*'１　対象経営の概要，２　前提条件'!$AM$28</f>
        <v>0</v>
      </c>
      <c r="I48" s="83"/>
    </row>
    <row r="49" spans="2:9" ht="19.5" customHeight="1" thickBot="1">
      <c r="B49" s="628"/>
      <c r="C49" s="601" t="s">
        <v>213</v>
      </c>
      <c r="D49" s="632"/>
      <c r="E49" s="602"/>
      <c r="F49" s="84">
        <f>SUM(G49:H49)</f>
        <v>6192500</v>
      </c>
      <c r="G49" s="84">
        <f>SUM(G44:G46)-SUM(G47:G48)</f>
        <v>1492500</v>
      </c>
      <c r="H49" s="84">
        <f>SUM(H44:H46)-SUM(H47:H48)</f>
        <v>4700000</v>
      </c>
      <c r="I49" s="70"/>
    </row>
    <row r="50" spans="2:9" ht="19.5" customHeight="1">
      <c r="B50" s="624" t="s">
        <v>214</v>
      </c>
      <c r="C50" s="625"/>
      <c r="D50" s="625"/>
      <c r="E50" s="625"/>
      <c r="F50" s="85">
        <f t="shared" si="1"/>
        <v>7400485.943492064</v>
      </c>
      <c r="G50" s="85">
        <f>G43+G49</f>
        <v>3174034.905088985</v>
      </c>
      <c r="H50" s="85">
        <f>H43+H49</f>
        <v>4226451.038403079</v>
      </c>
      <c r="I50" s="77"/>
    </row>
  </sheetData>
  <sheetProtection/>
  <mergeCells count="22">
    <mergeCell ref="B50:E50"/>
    <mergeCell ref="B43:E43"/>
    <mergeCell ref="B44:B49"/>
    <mergeCell ref="C44:C46"/>
    <mergeCell ref="C47:C48"/>
    <mergeCell ref="C49:E49"/>
    <mergeCell ref="B3:E4"/>
    <mergeCell ref="I3:I4"/>
    <mergeCell ref="B5:B42"/>
    <mergeCell ref="C5:C7"/>
    <mergeCell ref="D7:E7"/>
    <mergeCell ref="C8:C28"/>
    <mergeCell ref="D15:D16"/>
    <mergeCell ref="D17:D19"/>
    <mergeCell ref="D20:D23"/>
    <mergeCell ref="D24:D25"/>
    <mergeCell ref="D28:E28"/>
    <mergeCell ref="C29:E29"/>
    <mergeCell ref="C30:C42"/>
    <mergeCell ref="D30:D32"/>
    <mergeCell ref="D42:E42"/>
    <mergeCell ref="D34:D35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2:BJ34"/>
  <sheetViews>
    <sheetView zoomScale="75" zoomScaleNormal="75" zoomScalePageLayoutView="0" workbookViewId="0" topLeftCell="A1">
      <pane xSplit="2" topLeftCell="C1" activePane="topRight" state="frozen"/>
      <selection pane="topLeft" activeCell="E26" sqref="E25:N32"/>
      <selection pane="topRight" activeCell="A1" sqref="A1"/>
    </sheetView>
  </sheetViews>
  <sheetFormatPr defaultColWidth="9.00390625" defaultRowHeight="13.5"/>
  <cols>
    <col min="1" max="1" width="1.625" style="87" customWidth="1"/>
    <col min="2" max="2" width="22.625" style="87" customWidth="1"/>
    <col min="3" max="38" width="6.125" style="87" customWidth="1"/>
    <col min="39" max="39" width="7.00390625" style="87" customWidth="1"/>
    <col min="40" max="40" width="1.4921875" style="87" customWidth="1"/>
    <col min="41" max="16384" width="9.00390625" style="87" customWidth="1"/>
  </cols>
  <sheetData>
    <row r="1" ht="9.75" customHeight="1"/>
    <row r="2" spans="2:62" ht="24.75" customHeight="1" thickBot="1">
      <c r="B2" s="13" t="s">
        <v>135</v>
      </c>
      <c r="C2" s="13"/>
      <c r="D2" s="13"/>
      <c r="E2" s="13"/>
      <c r="F2" s="13"/>
      <c r="G2" s="13"/>
      <c r="H2" s="13"/>
      <c r="I2" s="13"/>
      <c r="J2" s="13"/>
      <c r="K2" s="318" t="s">
        <v>259</v>
      </c>
      <c r="L2" s="114" t="s">
        <v>261</v>
      </c>
      <c r="M2" s="114"/>
      <c r="N2" s="318" t="s">
        <v>260</v>
      </c>
      <c r="O2" s="114" t="s">
        <v>262</v>
      </c>
      <c r="P2" s="13"/>
      <c r="Q2" s="13"/>
      <c r="R2" s="13"/>
      <c r="S2" s="13"/>
      <c r="T2" s="13"/>
      <c r="U2" s="13"/>
      <c r="V2" s="89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2:43" ht="19.5" customHeight="1">
      <c r="B3" s="639" t="s">
        <v>131</v>
      </c>
      <c r="C3" s="636">
        <v>1</v>
      </c>
      <c r="D3" s="637"/>
      <c r="E3" s="638"/>
      <c r="F3" s="636">
        <v>2</v>
      </c>
      <c r="G3" s="637"/>
      <c r="H3" s="638"/>
      <c r="I3" s="636">
        <v>3</v>
      </c>
      <c r="J3" s="637"/>
      <c r="K3" s="638"/>
      <c r="L3" s="636">
        <v>4</v>
      </c>
      <c r="M3" s="637"/>
      <c r="N3" s="638"/>
      <c r="O3" s="636">
        <v>5</v>
      </c>
      <c r="P3" s="637"/>
      <c r="Q3" s="638"/>
      <c r="R3" s="636">
        <v>6</v>
      </c>
      <c r="S3" s="637"/>
      <c r="T3" s="638"/>
      <c r="U3" s="636">
        <v>7</v>
      </c>
      <c r="V3" s="637"/>
      <c r="W3" s="638"/>
      <c r="X3" s="636">
        <v>8</v>
      </c>
      <c r="Y3" s="637"/>
      <c r="Z3" s="638"/>
      <c r="AA3" s="636">
        <v>9</v>
      </c>
      <c r="AB3" s="637"/>
      <c r="AC3" s="638"/>
      <c r="AD3" s="636">
        <v>10</v>
      </c>
      <c r="AE3" s="637"/>
      <c r="AF3" s="638"/>
      <c r="AG3" s="636">
        <v>11</v>
      </c>
      <c r="AH3" s="637"/>
      <c r="AI3" s="638"/>
      <c r="AJ3" s="636">
        <v>12</v>
      </c>
      <c r="AK3" s="637"/>
      <c r="AL3" s="638"/>
      <c r="AM3" s="640" t="s">
        <v>34</v>
      </c>
      <c r="AO3" s="87" t="s">
        <v>341</v>
      </c>
      <c r="AP3" s="87" t="s">
        <v>342</v>
      </c>
      <c r="AQ3" s="87" t="s">
        <v>343</v>
      </c>
    </row>
    <row r="4" spans="2:39" ht="19.5" customHeight="1">
      <c r="B4" s="635"/>
      <c r="C4" s="93" t="s">
        <v>35</v>
      </c>
      <c r="D4" s="94" t="s">
        <v>36</v>
      </c>
      <c r="E4" s="95" t="s">
        <v>37</v>
      </c>
      <c r="F4" s="93" t="s">
        <v>35</v>
      </c>
      <c r="G4" s="95" t="s">
        <v>36</v>
      </c>
      <c r="H4" s="95" t="s">
        <v>37</v>
      </c>
      <c r="I4" s="93" t="s">
        <v>35</v>
      </c>
      <c r="J4" s="95" t="s">
        <v>36</v>
      </c>
      <c r="K4" s="95" t="s">
        <v>37</v>
      </c>
      <c r="L4" s="93" t="s">
        <v>35</v>
      </c>
      <c r="M4" s="95" t="s">
        <v>36</v>
      </c>
      <c r="N4" s="95" t="s">
        <v>37</v>
      </c>
      <c r="O4" s="93" t="s">
        <v>35</v>
      </c>
      <c r="P4" s="95" t="s">
        <v>36</v>
      </c>
      <c r="Q4" s="95" t="s">
        <v>37</v>
      </c>
      <c r="R4" s="93" t="s">
        <v>35</v>
      </c>
      <c r="S4" s="96" t="s">
        <v>36</v>
      </c>
      <c r="T4" s="96" t="s">
        <v>37</v>
      </c>
      <c r="U4" s="93" t="s">
        <v>35</v>
      </c>
      <c r="V4" s="95" t="s">
        <v>36</v>
      </c>
      <c r="W4" s="95" t="s">
        <v>37</v>
      </c>
      <c r="X4" s="93" t="s">
        <v>35</v>
      </c>
      <c r="Y4" s="95" t="s">
        <v>36</v>
      </c>
      <c r="Z4" s="95" t="s">
        <v>37</v>
      </c>
      <c r="AA4" s="93" t="s">
        <v>35</v>
      </c>
      <c r="AB4" s="95" t="s">
        <v>36</v>
      </c>
      <c r="AC4" s="95" t="s">
        <v>37</v>
      </c>
      <c r="AD4" s="93" t="s">
        <v>35</v>
      </c>
      <c r="AE4" s="95" t="s">
        <v>36</v>
      </c>
      <c r="AF4" s="95" t="s">
        <v>37</v>
      </c>
      <c r="AG4" s="93" t="s">
        <v>35</v>
      </c>
      <c r="AH4" s="95" t="s">
        <v>36</v>
      </c>
      <c r="AI4" s="95" t="s">
        <v>37</v>
      </c>
      <c r="AJ4" s="93" t="s">
        <v>35</v>
      </c>
      <c r="AK4" s="95" t="s">
        <v>36</v>
      </c>
      <c r="AL4" s="95" t="s">
        <v>37</v>
      </c>
      <c r="AM4" s="641"/>
    </row>
    <row r="5" spans="2:39" ht="19.5" customHeight="1">
      <c r="B5" s="633" t="s">
        <v>132</v>
      </c>
      <c r="C5" s="97"/>
      <c r="D5" s="13"/>
      <c r="E5" s="13"/>
      <c r="F5" s="13"/>
      <c r="G5" s="13"/>
      <c r="H5" s="13"/>
      <c r="I5" s="13"/>
      <c r="J5" s="13"/>
      <c r="K5" s="13"/>
      <c r="L5" s="13"/>
      <c r="M5" s="13"/>
      <c r="N5" s="89"/>
      <c r="O5" s="89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98"/>
    </row>
    <row r="6" spans="2:39" ht="19.5" customHeight="1">
      <c r="B6" s="634"/>
      <c r="C6" s="97"/>
      <c r="D6" s="13"/>
      <c r="E6" s="13"/>
      <c r="F6" s="13"/>
      <c r="G6" s="13"/>
      <c r="H6" s="13"/>
      <c r="I6" s="13"/>
      <c r="J6" s="13"/>
      <c r="K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98"/>
    </row>
    <row r="7" spans="2:39" ht="19.5" customHeight="1">
      <c r="B7" s="635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1"/>
    </row>
    <row r="8" spans="2:43" ht="19.5" customHeight="1">
      <c r="B8" s="102" t="s">
        <v>314</v>
      </c>
      <c r="C8" s="103"/>
      <c r="D8" s="104"/>
      <c r="E8" s="104"/>
      <c r="F8" s="103"/>
      <c r="G8" s="104"/>
      <c r="H8" s="104"/>
      <c r="I8" s="103"/>
      <c r="J8" s="104"/>
      <c r="K8" s="104">
        <v>1</v>
      </c>
      <c r="L8" s="103">
        <v>1.2</v>
      </c>
      <c r="M8" s="104">
        <v>1</v>
      </c>
      <c r="N8" s="104"/>
      <c r="O8" s="103"/>
      <c r="P8" s="104"/>
      <c r="Q8" s="104"/>
      <c r="R8" s="103"/>
      <c r="S8" s="104"/>
      <c r="T8" s="104"/>
      <c r="U8" s="103"/>
      <c r="V8" s="104"/>
      <c r="W8" s="104"/>
      <c r="X8" s="103"/>
      <c r="Y8" s="104"/>
      <c r="Z8" s="104"/>
      <c r="AA8" s="103"/>
      <c r="AB8" s="104"/>
      <c r="AC8" s="104"/>
      <c r="AD8" s="103"/>
      <c r="AE8" s="104"/>
      <c r="AF8" s="104"/>
      <c r="AG8" s="103"/>
      <c r="AH8" s="104"/>
      <c r="AI8" s="104"/>
      <c r="AJ8" s="103"/>
      <c r="AK8" s="104"/>
      <c r="AL8" s="104"/>
      <c r="AM8" s="105">
        <f>SUM(C8:AL8)</f>
        <v>3.2</v>
      </c>
      <c r="AO8" s="371"/>
      <c r="AP8" s="371">
        <v>3.2</v>
      </c>
      <c r="AQ8" s="372">
        <f>SUM(AO8:AP8)</f>
        <v>3.2</v>
      </c>
    </row>
    <row r="9" spans="2:43" ht="19.5" customHeight="1">
      <c r="B9" s="102" t="s">
        <v>315</v>
      </c>
      <c r="C9" s="103"/>
      <c r="D9" s="104"/>
      <c r="E9" s="104"/>
      <c r="F9" s="103"/>
      <c r="G9" s="104"/>
      <c r="H9" s="104"/>
      <c r="I9" s="103"/>
      <c r="J9" s="104"/>
      <c r="K9" s="104"/>
      <c r="L9" s="103">
        <v>2</v>
      </c>
      <c r="M9" s="104">
        <v>2.7</v>
      </c>
      <c r="N9" s="104">
        <v>2.7</v>
      </c>
      <c r="O9" s="103">
        <v>2.7</v>
      </c>
      <c r="P9" s="104">
        <v>2.7</v>
      </c>
      <c r="Q9" s="104">
        <v>1.2</v>
      </c>
      <c r="R9" s="103"/>
      <c r="S9" s="104"/>
      <c r="T9" s="104"/>
      <c r="U9" s="103"/>
      <c r="V9" s="104"/>
      <c r="W9" s="104"/>
      <c r="X9" s="103"/>
      <c r="Y9" s="104"/>
      <c r="Z9" s="104"/>
      <c r="AA9" s="103"/>
      <c r="AB9" s="104"/>
      <c r="AC9" s="104"/>
      <c r="AD9" s="103"/>
      <c r="AE9" s="104"/>
      <c r="AF9" s="104"/>
      <c r="AG9" s="103"/>
      <c r="AH9" s="104"/>
      <c r="AI9" s="104"/>
      <c r="AJ9" s="103"/>
      <c r="AK9" s="104"/>
      <c r="AL9" s="104"/>
      <c r="AM9" s="105">
        <f aca="true" t="shared" si="0" ref="AM9:AM33">SUM(C9:AL9)</f>
        <v>14</v>
      </c>
      <c r="AO9" s="371"/>
      <c r="AP9" s="371">
        <f>6.4+4.3+3.3</f>
        <v>14</v>
      </c>
      <c r="AQ9" s="372">
        <f aca="true" t="shared" si="1" ref="AQ9:AQ19">SUM(AO9:AP9)</f>
        <v>14</v>
      </c>
    </row>
    <row r="10" spans="2:43" ht="19.5" customHeight="1">
      <c r="B10" s="102" t="s">
        <v>316</v>
      </c>
      <c r="C10" s="103"/>
      <c r="D10" s="104"/>
      <c r="E10" s="104"/>
      <c r="F10" s="103"/>
      <c r="G10" s="104"/>
      <c r="H10" s="104"/>
      <c r="I10" s="103"/>
      <c r="J10" s="104"/>
      <c r="K10" s="104">
        <v>3</v>
      </c>
      <c r="L10" s="103">
        <v>4</v>
      </c>
      <c r="M10" s="104">
        <v>4.7</v>
      </c>
      <c r="N10" s="104">
        <v>3</v>
      </c>
      <c r="O10" s="103"/>
      <c r="P10" s="104"/>
      <c r="Q10" s="104"/>
      <c r="R10" s="103"/>
      <c r="S10" s="104"/>
      <c r="T10" s="104"/>
      <c r="U10" s="103"/>
      <c r="V10" s="104"/>
      <c r="W10" s="104"/>
      <c r="X10" s="103"/>
      <c r="Y10" s="104"/>
      <c r="Z10" s="104"/>
      <c r="AA10" s="103"/>
      <c r="AB10" s="104"/>
      <c r="AC10" s="104"/>
      <c r="AD10" s="103"/>
      <c r="AE10" s="104"/>
      <c r="AF10" s="104"/>
      <c r="AG10" s="103"/>
      <c r="AH10" s="104"/>
      <c r="AI10" s="104"/>
      <c r="AJ10" s="103"/>
      <c r="AK10" s="104"/>
      <c r="AL10" s="104"/>
      <c r="AM10" s="105">
        <f t="shared" si="0"/>
        <v>14.7</v>
      </c>
      <c r="AO10" s="371">
        <f>8.2+6.5</f>
        <v>14.7</v>
      </c>
      <c r="AP10" s="371"/>
      <c r="AQ10" s="372">
        <f t="shared" si="1"/>
        <v>14.7</v>
      </c>
    </row>
    <row r="11" spans="2:43" ht="19.5" customHeight="1">
      <c r="B11" s="102" t="s">
        <v>291</v>
      </c>
      <c r="C11" s="103"/>
      <c r="D11" s="104"/>
      <c r="E11" s="104"/>
      <c r="F11" s="103"/>
      <c r="G11" s="104"/>
      <c r="H11" s="104"/>
      <c r="I11" s="103"/>
      <c r="J11" s="104"/>
      <c r="K11" s="104"/>
      <c r="L11" s="103"/>
      <c r="M11" s="104"/>
      <c r="N11" s="104"/>
      <c r="O11" s="103">
        <v>2</v>
      </c>
      <c r="P11" s="104">
        <v>2</v>
      </c>
      <c r="Q11" s="104">
        <v>1</v>
      </c>
      <c r="R11" s="103"/>
      <c r="S11" s="104"/>
      <c r="T11" s="104"/>
      <c r="U11" s="103"/>
      <c r="V11" s="104"/>
      <c r="W11" s="104"/>
      <c r="X11" s="103"/>
      <c r="Y11" s="104"/>
      <c r="Z11" s="104"/>
      <c r="AA11" s="103"/>
      <c r="AB11" s="104"/>
      <c r="AC11" s="104"/>
      <c r="AD11" s="103"/>
      <c r="AE11" s="104"/>
      <c r="AF11" s="104"/>
      <c r="AG11" s="103"/>
      <c r="AH11" s="104"/>
      <c r="AI11" s="104"/>
      <c r="AJ11" s="103"/>
      <c r="AK11" s="104"/>
      <c r="AL11" s="104"/>
      <c r="AM11" s="105">
        <f t="shared" si="0"/>
        <v>5</v>
      </c>
      <c r="AO11" s="371">
        <v>5</v>
      </c>
      <c r="AP11" s="371"/>
      <c r="AQ11" s="372">
        <f t="shared" si="1"/>
        <v>5</v>
      </c>
    </row>
    <row r="12" spans="2:43" ht="19.5" customHeight="1">
      <c r="B12" s="102" t="s">
        <v>317</v>
      </c>
      <c r="C12" s="103"/>
      <c r="D12" s="104"/>
      <c r="E12" s="104"/>
      <c r="F12" s="103"/>
      <c r="G12" s="104"/>
      <c r="H12" s="104"/>
      <c r="I12" s="103"/>
      <c r="J12" s="104"/>
      <c r="K12" s="104"/>
      <c r="L12" s="103"/>
      <c r="M12" s="104"/>
      <c r="N12" s="104"/>
      <c r="O12" s="103">
        <v>4</v>
      </c>
      <c r="P12" s="104">
        <v>7.6</v>
      </c>
      <c r="Q12" s="104">
        <v>6</v>
      </c>
      <c r="R12" s="103"/>
      <c r="S12" s="104"/>
      <c r="T12" s="104"/>
      <c r="U12" s="103"/>
      <c r="V12" s="104"/>
      <c r="W12" s="104"/>
      <c r="X12" s="103"/>
      <c r="Y12" s="104"/>
      <c r="Z12" s="104"/>
      <c r="AA12" s="103"/>
      <c r="AB12" s="104"/>
      <c r="AC12" s="104"/>
      <c r="AD12" s="103"/>
      <c r="AE12" s="104"/>
      <c r="AF12" s="104"/>
      <c r="AG12" s="103"/>
      <c r="AH12" s="104"/>
      <c r="AI12" s="104"/>
      <c r="AJ12" s="103"/>
      <c r="AK12" s="104"/>
      <c r="AL12" s="104"/>
      <c r="AM12" s="105">
        <f t="shared" si="0"/>
        <v>17.6</v>
      </c>
      <c r="AO12" s="371">
        <v>4.4</v>
      </c>
      <c r="AP12" s="371">
        <f>4.4+8.8</f>
        <v>13.200000000000001</v>
      </c>
      <c r="AQ12" s="372">
        <f t="shared" si="1"/>
        <v>17.6</v>
      </c>
    </row>
    <row r="13" spans="2:43" ht="19.5" customHeight="1">
      <c r="B13" s="102" t="s">
        <v>318</v>
      </c>
      <c r="C13" s="103"/>
      <c r="D13" s="104"/>
      <c r="E13" s="104"/>
      <c r="F13" s="103"/>
      <c r="G13" s="104"/>
      <c r="H13" s="104"/>
      <c r="I13" s="103"/>
      <c r="J13" s="104"/>
      <c r="K13" s="104"/>
      <c r="L13" s="103"/>
      <c r="M13" s="104"/>
      <c r="N13" s="104"/>
      <c r="O13" s="103"/>
      <c r="P13" s="104"/>
      <c r="Q13" s="104"/>
      <c r="R13" s="103"/>
      <c r="S13" s="104"/>
      <c r="T13" s="104"/>
      <c r="U13" s="103"/>
      <c r="V13" s="104"/>
      <c r="W13" s="104"/>
      <c r="X13" s="103"/>
      <c r="Y13" s="104"/>
      <c r="Z13" s="104"/>
      <c r="AA13" s="103"/>
      <c r="AB13" s="104"/>
      <c r="AC13" s="104"/>
      <c r="AD13" s="103"/>
      <c r="AE13" s="104"/>
      <c r="AF13" s="104"/>
      <c r="AG13" s="103"/>
      <c r="AH13" s="104"/>
      <c r="AI13" s="104"/>
      <c r="AJ13" s="103"/>
      <c r="AK13" s="104"/>
      <c r="AL13" s="104"/>
      <c r="AM13" s="105">
        <f t="shared" si="0"/>
        <v>0</v>
      </c>
      <c r="AO13" s="371"/>
      <c r="AP13" s="371"/>
      <c r="AQ13" s="372">
        <f t="shared" si="1"/>
        <v>0</v>
      </c>
    </row>
    <row r="14" spans="2:43" ht="19.5" customHeight="1">
      <c r="B14" s="102" t="s">
        <v>319</v>
      </c>
      <c r="C14" s="103"/>
      <c r="D14" s="104"/>
      <c r="E14" s="104"/>
      <c r="F14" s="103"/>
      <c r="G14" s="104"/>
      <c r="H14" s="104"/>
      <c r="I14" s="103"/>
      <c r="J14" s="104"/>
      <c r="K14" s="104"/>
      <c r="L14" s="103"/>
      <c r="M14" s="104"/>
      <c r="N14" s="104"/>
      <c r="O14" s="103"/>
      <c r="P14" s="104"/>
      <c r="Q14" s="104"/>
      <c r="R14" s="103"/>
      <c r="S14" s="104"/>
      <c r="T14" s="104"/>
      <c r="U14" s="103"/>
      <c r="V14" s="104"/>
      <c r="W14" s="104"/>
      <c r="X14" s="103"/>
      <c r="Y14" s="104"/>
      <c r="Z14" s="104"/>
      <c r="AA14" s="103"/>
      <c r="AB14" s="104"/>
      <c r="AC14" s="104"/>
      <c r="AD14" s="103"/>
      <c r="AE14" s="104"/>
      <c r="AF14" s="104"/>
      <c r="AG14" s="103"/>
      <c r="AH14" s="104"/>
      <c r="AI14" s="104"/>
      <c r="AJ14" s="103"/>
      <c r="AK14" s="104"/>
      <c r="AL14" s="104"/>
      <c r="AM14" s="105">
        <f t="shared" si="0"/>
        <v>0</v>
      </c>
      <c r="AO14" s="371"/>
      <c r="AP14" s="371"/>
      <c r="AQ14" s="372">
        <f t="shared" si="1"/>
        <v>0</v>
      </c>
    </row>
    <row r="15" spans="2:43" ht="19.5" customHeight="1">
      <c r="B15" s="102" t="s">
        <v>320</v>
      </c>
      <c r="C15" s="103"/>
      <c r="D15" s="104"/>
      <c r="E15" s="104"/>
      <c r="F15" s="103"/>
      <c r="G15" s="104"/>
      <c r="H15" s="104"/>
      <c r="I15" s="103"/>
      <c r="J15" s="104"/>
      <c r="K15" s="104"/>
      <c r="L15" s="103"/>
      <c r="M15" s="104"/>
      <c r="N15" s="104"/>
      <c r="O15" s="103"/>
      <c r="P15" s="104"/>
      <c r="Q15" s="104"/>
      <c r="R15" s="103"/>
      <c r="S15" s="104"/>
      <c r="T15" s="104"/>
      <c r="U15" s="103"/>
      <c r="V15" s="104"/>
      <c r="W15" s="104"/>
      <c r="X15" s="103">
        <v>4</v>
      </c>
      <c r="Y15" s="104">
        <v>2.8</v>
      </c>
      <c r="Z15" s="104"/>
      <c r="AA15" s="103"/>
      <c r="AB15" s="104"/>
      <c r="AC15" s="104"/>
      <c r="AD15" s="103"/>
      <c r="AE15" s="104"/>
      <c r="AF15" s="104"/>
      <c r="AG15" s="103"/>
      <c r="AH15" s="104"/>
      <c r="AI15" s="104"/>
      <c r="AJ15" s="103"/>
      <c r="AK15" s="104"/>
      <c r="AL15" s="104"/>
      <c r="AM15" s="105">
        <f t="shared" si="0"/>
        <v>6.8</v>
      </c>
      <c r="AO15" s="371">
        <v>1.7</v>
      </c>
      <c r="AP15" s="371">
        <v>5.1</v>
      </c>
      <c r="AQ15" s="372">
        <f t="shared" si="1"/>
        <v>6.8</v>
      </c>
    </row>
    <row r="16" spans="2:43" ht="19.5" customHeight="1">
      <c r="B16" s="102" t="s">
        <v>321</v>
      </c>
      <c r="C16" s="103"/>
      <c r="D16" s="104"/>
      <c r="E16" s="104"/>
      <c r="F16" s="103"/>
      <c r="G16" s="104"/>
      <c r="H16" s="104"/>
      <c r="I16" s="103"/>
      <c r="J16" s="104"/>
      <c r="K16" s="104"/>
      <c r="L16" s="103"/>
      <c r="M16" s="104"/>
      <c r="N16" s="104"/>
      <c r="O16" s="103"/>
      <c r="P16" s="104"/>
      <c r="Q16" s="104"/>
      <c r="R16" s="103"/>
      <c r="S16" s="104"/>
      <c r="T16" s="104"/>
      <c r="U16" s="103"/>
      <c r="V16" s="104"/>
      <c r="W16" s="104"/>
      <c r="X16" s="103"/>
      <c r="Y16" s="104"/>
      <c r="Z16" s="104"/>
      <c r="AA16" s="103"/>
      <c r="AB16" s="104">
        <v>7</v>
      </c>
      <c r="AC16" s="104">
        <v>7</v>
      </c>
      <c r="AD16" s="103">
        <v>6.7</v>
      </c>
      <c r="AE16" s="104"/>
      <c r="AF16" s="104"/>
      <c r="AG16" s="103"/>
      <c r="AH16" s="104"/>
      <c r="AI16" s="104"/>
      <c r="AJ16" s="103"/>
      <c r="AK16" s="104"/>
      <c r="AL16" s="104"/>
      <c r="AM16" s="105">
        <f t="shared" si="0"/>
        <v>20.7</v>
      </c>
      <c r="AO16" s="371">
        <v>6.9</v>
      </c>
      <c r="AP16" s="371">
        <v>13.8</v>
      </c>
      <c r="AQ16" s="372">
        <f t="shared" si="1"/>
        <v>20.700000000000003</v>
      </c>
    </row>
    <row r="17" spans="2:43" ht="19.5" customHeight="1">
      <c r="B17" s="102" t="s">
        <v>322</v>
      </c>
      <c r="C17" s="103"/>
      <c r="D17" s="104"/>
      <c r="E17" s="104"/>
      <c r="F17" s="103"/>
      <c r="G17" s="104"/>
      <c r="H17" s="104"/>
      <c r="I17" s="103"/>
      <c r="J17" s="104"/>
      <c r="K17" s="104"/>
      <c r="L17" s="103"/>
      <c r="M17" s="104"/>
      <c r="N17" s="104"/>
      <c r="O17" s="103"/>
      <c r="P17" s="104"/>
      <c r="Q17" s="104"/>
      <c r="R17" s="103"/>
      <c r="S17" s="104"/>
      <c r="T17" s="104"/>
      <c r="U17" s="103"/>
      <c r="V17" s="104"/>
      <c r="W17" s="104"/>
      <c r="X17" s="103"/>
      <c r="Y17" s="104"/>
      <c r="Z17" s="104"/>
      <c r="AA17" s="103"/>
      <c r="AB17" s="104">
        <v>3</v>
      </c>
      <c r="AC17" s="104">
        <v>3</v>
      </c>
      <c r="AD17" s="103">
        <v>3</v>
      </c>
      <c r="AE17" s="104">
        <v>0.5</v>
      </c>
      <c r="AF17" s="104"/>
      <c r="AG17" s="103"/>
      <c r="AH17" s="104"/>
      <c r="AI17" s="104"/>
      <c r="AJ17" s="103"/>
      <c r="AK17" s="104"/>
      <c r="AL17" s="104"/>
      <c r="AM17" s="105">
        <f t="shared" si="0"/>
        <v>9.5</v>
      </c>
      <c r="AO17" s="371"/>
      <c r="AP17" s="371">
        <v>9.5</v>
      </c>
      <c r="AQ17" s="372">
        <f t="shared" si="1"/>
        <v>9.5</v>
      </c>
    </row>
    <row r="18" spans="2:43" ht="19.5" customHeight="1">
      <c r="B18" s="102" t="s">
        <v>323</v>
      </c>
      <c r="C18" s="103"/>
      <c r="D18" s="104"/>
      <c r="E18" s="104"/>
      <c r="F18" s="103"/>
      <c r="G18" s="104"/>
      <c r="H18" s="104"/>
      <c r="I18" s="103"/>
      <c r="J18" s="104"/>
      <c r="K18" s="104">
        <v>1.2</v>
      </c>
      <c r="L18" s="103">
        <v>1.2</v>
      </c>
      <c r="M18" s="104"/>
      <c r="N18" s="104"/>
      <c r="O18" s="103"/>
      <c r="P18" s="104"/>
      <c r="Q18" s="104"/>
      <c r="R18" s="103"/>
      <c r="S18" s="104"/>
      <c r="T18" s="104"/>
      <c r="U18" s="103"/>
      <c r="V18" s="104"/>
      <c r="W18" s="104"/>
      <c r="X18" s="103"/>
      <c r="Y18" s="104"/>
      <c r="Z18" s="104"/>
      <c r="AA18" s="103"/>
      <c r="AB18" s="104"/>
      <c r="AC18" s="104"/>
      <c r="AD18" s="103"/>
      <c r="AE18" s="104"/>
      <c r="AF18" s="104"/>
      <c r="AG18" s="103"/>
      <c r="AH18" s="104"/>
      <c r="AI18" s="104"/>
      <c r="AJ18" s="103"/>
      <c r="AK18" s="104"/>
      <c r="AL18" s="104"/>
      <c r="AM18" s="105">
        <f t="shared" si="0"/>
        <v>2.4</v>
      </c>
      <c r="AO18" s="371">
        <v>1.2</v>
      </c>
      <c r="AP18" s="371">
        <v>1.2</v>
      </c>
      <c r="AQ18" s="372">
        <f t="shared" si="1"/>
        <v>2.4</v>
      </c>
    </row>
    <row r="19" spans="2:43" ht="19.5" customHeight="1">
      <c r="B19" s="102" t="s">
        <v>179</v>
      </c>
      <c r="C19" s="103"/>
      <c r="D19" s="104"/>
      <c r="E19" s="104"/>
      <c r="F19" s="103"/>
      <c r="G19" s="104"/>
      <c r="H19" s="104"/>
      <c r="I19" s="103"/>
      <c r="J19" s="104">
        <v>1</v>
      </c>
      <c r="K19" s="104"/>
      <c r="L19" s="103"/>
      <c r="M19" s="104"/>
      <c r="N19" s="104"/>
      <c r="O19" s="103"/>
      <c r="P19" s="104"/>
      <c r="Q19" s="104"/>
      <c r="R19" s="103"/>
      <c r="S19" s="104"/>
      <c r="T19" s="104"/>
      <c r="U19" s="103"/>
      <c r="V19" s="104"/>
      <c r="W19" s="104"/>
      <c r="X19" s="103"/>
      <c r="Y19" s="104"/>
      <c r="Z19" s="104"/>
      <c r="AA19" s="103"/>
      <c r="AB19" s="104"/>
      <c r="AC19" s="104"/>
      <c r="AD19" s="103"/>
      <c r="AE19" s="104"/>
      <c r="AF19" s="104">
        <v>1</v>
      </c>
      <c r="AG19" s="103"/>
      <c r="AH19" s="104"/>
      <c r="AI19" s="104"/>
      <c r="AJ19" s="103"/>
      <c r="AK19" s="104"/>
      <c r="AL19" s="104"/>
      <c r="AM19" s="105">
        <f t="shared" si="0"/>
        <v>2</v>
      </c>
      <c r="AO19" s="371"/>
      <c r="AP19" s="371">
        <v>2</v>
      </c>
      <c r="AQ19" s="372">
        <f t="shared" si="1"/>
        <v>2</v>
      </c>
    </row>
    <row r="20" spans="2:43" ht="19.5" customHeight="1">
      <c r="B20" s="102"/>
      <c r="C20" s="103"/>
      <c r="D20" s="104"/>
      <c r="E20" s="104"/>
      <c r="F20" s="103"/>
      <c r="G20" s="104"/>
      <c r="H20" s="104"/>
      <c r="I20" s="103"/>
      <c r="J20" s="104"/>
      <c r="K20" s="104"/>
      <c r="L20" s="103"/>
      <c r="M20" s="104"/>
      <c r="N20" s="104"/>
      <c r="O20" s="103"/>
      <c r="P20" s="104"/>
      <c r="Q20" s="104"/>
      <c r="R20" s="103"/>
      <c r="S20" s="104"/>
      <c r="T20" s="104"/>
      <c r="U20" s="103"/>
      <c r="V20" s="104"/>
      <c r="W20" s="104"/>
      <c r="X20" s="103"/>
      <c r="Y20" s="104"/>
      <c r="Z20" s="104"/>
      <c r="AA20" s="103"/>
      <c r="AB20" s="104"/>
      <c r="AC20" s="104"/>
      <c r="AD20" s="103"/>
      <c r="AE20" s="104"/>
      <c r="AF20" s="104"/>
      <c r="AG20" s="103"/>
      <c r="AH20" s="104"/>
      <c r="AI20" s="104"/>
      <c r="AJ20" s="103"/>
      <c r="AK20" s="104"/>
      <c r="AL20" s="104"/>
      <c r="AM20" s="105">
        <f t="shared" si="0"/>
        <v>0</v>
      </c>
      <c r="AO20" s="372"/>
      <c r="AP20" s="372"/>
      <c r="AQ20" s="372">
        <f aca="true" t="shared" si="2" ref="AQ20:AQ33">SUM(AO20:AP20)</f>
        <v>0</v>
      </c>
    </row>
    <row r="21" spans="2:43" ht="19.5" customHeight="1">
      <c r="B21" s="102"/>
      <c r="C21" s="103"/>
      <c r="D21" s="104"/>
      <c r="E21" s="104"/>
      <c r="F21" s="103"/>
      <c r="G21" s="104"/>
      <c r="H21" s="104"/>
      <c r="I21" s="103"/>
      <c r="J21" s="104"/>
      <c r="K21" s="104"/>
      <c r="L21" s="103"/>
      <c r="M21" s="104"/>
      <c r="N21" s="104"/>
      <c r="O21" s="103"/>
      <c r="P21" s="104"/>
      <c r="Q21" s="104"/>
      <c r="R21" s="103"/>
      <c r="S21" s="104"/>
      <c r="T21" s="104"/>
      <c r="U21" s="103"/>
      <c r="V21" s="104"/>
      <c r="W21" s="104"/>
      <c r="X21" s="103"/>
      <c r="Y21" s="104"/>
      <c r="Z21" s="104"/>
      <c r="AA21" s="103"/>
      <c r="AB21" s="104"/>
      <c r="AC21" s="104"/>
      <c r="AD21" s="103"/>
      <c r="AE21" s="104"/>
      <c r="AF21" s="104"/>
      <c r="AG21" s="103"/>
      <c r="AH21" s="104"/>
      <c r="AI21" s="104"/>
      <c r="AJ21" s="103"/>
      <c r="AK21" s="104"/>
      <c r="AL21" s="104"/>
      <c r="AM21" s="105">
        <f t="shared" si="0"/>
        <v>0</v>
      </c>
      <c r="AO21" s="372"/>
      <c r="AP21" s="372"/>
      <c r="AQ21" s="372">
        <f t="shared" si="2"/>
        <v>0</v>
      </c>
    </row>
    <row r="22" spans="2:43" ht="19.5" customHeight="1">
      <c r="B22" s="102"/>
      <c r="C22" s="103"/>
      <c r="D22" s="104"/>
      <c r="E22" s="104"/>
      <c r="F22" s="103"/>
      <c r="G22" s="104"/>
      <c r="H22" s="104"/>
      <c r="I22" s="103"/>
      <c r="J22" s="104"/>
      <c r="K22" s="104"/>
      <c r="L22" s="103"/>
      <c r="M22" s="104"/>
      <c r="N22" s="104"/>
      <c r="O22" s="103"/>
      <c r="P22" s="104"/>
      <c r="Q22" s="104"/>
      <c r="R22" s="103"/>
      <c r="S22" s="104"/>
      <c r="T22" s="104"/>
      <c r="U22" s="103"/>
      <c r="V22" s="104"/>
      <c r="W22" s="104"/>
      <c r="X22" s="103"/>
      <c r="Y22" s="104"/>
      <c r="Z22" s="104"/>
      <c r="AA22" s="103"/>
      <c r="AB22" s="104"/>
      <c r="AC22" s="104"/>
      <c r="AD22" s="103"/>
      <c r="AE22" s="104"/>
      <c r="AF22" s="104"/>
      <c r="AG22" s="103"/>
      <c r="AH22" s="104"/>
      <c r="AI22" s="104"/>
      <c r="AJ22" s="103"/>
      <c r="AK22" s="104"/>
      <c r="AL22" s="104"/>
      <c r="AM22" s="105">
        <f t="shared" si="0"/>
        <v>0</v>
      </c>
      <c r="AO22" s="372"/>
      <c r="AP22" s="372"/>
      <c r="AQ22" s="372">
        <f t="shared" si="2"/>
        <v>0</v>
      </c>
    </row>
    <row r="23" spans="2:43" ht="19.5" customHeight="1">
      <c r="B23" s="102"/>
      <c r="C23" s="103"/>
      <c r="D23" s="104"/>
      <c r="E23" s="104"/>
      <c r="F23" s="103"/>
      <c r="G23" s="104"/>
      <c r="H23" s="104"/>
      <c r="I23" s="103"/>
      <c r="J23" s="104"/>
      <c r="K23" s="104"/>
      <c r="L23" s="103"/>
      <c r="M23" s="104"/>
      <c r="N23" s="104"/>
      <c r="O23" s="103"/>
      <c r="P23" s="104"/>
      <c r="Q23" s="104"/>
      <c r="R23" s="103"/>
      <c r="S23" s="104"/>
      <c r="T23" s="104"/>
      <c r="U23" s="103"/>
      <c r="V23" s="104"/>
      <c r="W23" s="104"/>
      <c r="X23" s="103"/>
      <c r="Y23" s="104"/>
      <c r="Z23" s="104"/>
      <c r="AA23" s="103"/>
      <c r="AB23" s="104"/>
      <c r="AC23" s="104"/>
      <c r="AD23" s="103"/>
      <c r="AE23" s="104"/>
      <c r="AF23" s="104"/>
      <c r="AG23" s="103"/>
      <c r="AH23" s="104"/>
      <c r="AI23" s="104"/>
      <c r="AJ23" s="103"/>
      <c r="AK23" s="104"/>
      <c r="AL23" s="104"/>
      <c r="AM23" s="105">
        <f t="shared" si="0"/>
        <v>0</v>
      </c>
      <c r="AO23" s="372"/>
      <c r="AP23" s="372"/>
      <c r="AQ23" s="372">
        <f t="shared" si="2"/>
        <v>0</v>
      </c>
    </row>
    <row r="24" spans="2:43" ht="19.5" customHeight="1">
      <c r="B24" s="102"/>
      <c r="C24" s="103"/>
      <c r="D24" s="104"/>
      <c r="E24" s="104"/>
      <c r="F24" s="103"/>
      <c r="G24" s="104"/>
      <c r="H24" s="104"/>
      <c r="I24" s="103"/>
      <c r="J24" s="104"/>
      <c r="K24" s="104"/>
      <c r="L24" s="103"/>
      <c r="M24" s="104"/>
      <c r="N24" s="104"/>
      <c r="O24" s="103"/>
      <c r="P24" s="104"/>
      <c r="Q24" s="104"/>
      <c r="R24" s="103"/>
      <c r="S24" s="104"/>
      <c r="T24" s="104"/>
      <c r="U24" s="103"/>
      <c r="V24" s="104"/>
      <c r="W24" s="104"/>
      <c r="X24" s="103"/>
      <c r="Y24" s="104"/>
      <c r="Z24" s="104"/>
      <c r="AA24" s="103"/>
      <c r="AB24" s="104"/>
      <c r="AC24" s="104"/>
      <c r="AD24" s="103"/>
      <c r="AE24" s="104"/>
      <c r="AF24" s="104"/>
      <c r="AG24" s="103"/>
      <c r="AH24" s="104"/>
      <c r="AI24" s="104"/>
      <c r="AJ24" s="103"/>
      <c r="AK24" s="104"/>
      <c r="AL24" s="104"/>
      <c r="AM24" s="105">
        <f t="shared" si="0"/>
        <v>0</v>
      </c>
      <c r="AO24" s="372"/>
      <c r="AP24" s="372"/>
      <c r="AQ24" s="372">
        <f t="shared" si="2"/>
        <v>0</v>
      </c>
    </row>
    <row r="25" spans="2:43" ht="19.5" customHeight="1">
      <c r="B25" s="102"/>
      <c r="C25" s="103"/>
      <c r="D25" s="104"/>
      <c r="E25" s="104"/>
      <c r="F25" s="103"/>
      <c r="G25" s="104"/>
      <c r="H25" s="104"/>
      <c r="I25" s="103"/>
      <c r="J25" s="104"/>
      <c r="K25" s="104"/>
      <c r="L25" s="103"/>
      <c r="M25" s="104"/>
      <c r="N25" s="104"/>
      <c r="O25" s="103"/>
      <c r="P25" s="104"/>
      <c r="Q25" s="104"/>
      <c r="R25" s="103"/>
      <c r="S25" s="104"/>
      <c r="T25" s="104"/>
      <c r="U25" s="103"/>
      <c r="V25" s="104"/>
      <c r="W25" s="104"/>
      <c r="X25" s="103"/>
      <c r="Y25" s="104"/>
      <c r="Z25" s="104"/>
      <c r="AA25" s="103"/>
      <c r="AB25" s="104"/>
      <c r="AC25" s="104"/>
      <c r="AD25" s="103"/>
      <c r="AE25" s="104"/>
      <c r="AF25" s="104"/>
      <c r="AG25" s="103"/>
      <c r="AH25" s="104"/>
      <c r="AI25" s="104"/>
      <c r="AJ25" s="103"/>
      <c r="AK25" s="104"/>
      <c r="AL25" s="104"/>
      <c r="AM25" s="105">
        <f t="shared" si="0"/>
        <v>0</v>
      </c>
      <c r="AO25" s="372"/>
      <c r="AP25" s="372"/>
      <c r="AQ25" s="372">
        <f t="shared" si="2"/>
        <v>0</v>
      </c>
    </row>
    <row r="26" spans="2:43" ht="19.5" customHeight="1">
      <c r="B26" s="102"/>
      <c r="C26" s="103"/>
      <c r="D26" s="104"/>
      <c r="E26" s="104"/>
      <c r="F26" s="103"/>
      <c r="G26" s="104"/>
      <c r="H26" s="104"/>
      <c r="I26" s="103"/>
      <c r="J26" s="104"/>
      <c r="K26" s="104"/>
      <c r="L26" s="103"/>
      <c r="M26" s="104"/>
      <c r="N26" s="104"/>
      <c r="O26" s="103"/>
      <c r="P26" s="104"/>
      <c r="Q26" s="104"/>
      <c r="R26" s="103"/>
      <c r="S26" s="104"/>
      <c r="T26" s="104"/>
      <c r="U26" s="103"/>
      <c r="V26" s="104"/>
      <c r="W26" s="104"/>
      <c r="X26" s="103"/>
      <c r="Y26" s="104"/>
      <c r="Z26" s="104"/>
      <c r="AA26" s="103"/>
      <c r="AB26" s="104"/>
      <c r="AC26" s="104"/>
      <c r="AD26" s="103"/>
      <c r="AE26" s="104"/>
      <c r="AF26" s="104"/>
      <c r="AG26" s="103"/>
      <c r="AH26" s="104"/>
      <c r="AI26" s="104"/>
      <c r="AJ26" s="103"/>
      <c r="AK26" s="104"/>
      <c r="AL26" s="104"/>
      <c r="AM26" s="105">
        <f t="shared" si="0"/>
        <v>0</v>
      </c>
      <c r="AO26" s="372"/>
      <c r="AP26" s="372"/>
      <c r="AQ26" s="372">
        <f t="shared" si="2"/>
        <v>0</v>
      </c>
    </row>
    <row r="27" spans="2:43" ht="19.5" customHeight="1">
      <c r="B27" s="102"/>
      <c r="C27" s="103"/>
      <c r="D27" s="104"/>
      <c r="E27" s="104"/>
      <c r="F27" s="103"/>
      <c r="G27" s="104"/>
      <c r="H27" s="104"/>
      <c r="I27" s="103"/>
      <c r="J27" s="104"/>
      <c r="K27" s="104"/>
      <c r="L27" s="103"/>
      <c r="M27" s="104"/>
      <c r="N27" s="104"/>
      <c r="O27" s="103"/>
      <c r="P27" s="104"/>
      <c r="Q27" s="104"/>
      <c r="R27" s="103"/>
      <c r="S27" s="104"/>
      <c r="T27" s="104"/>
      <c r="U27" s="103"/>
      <c r="V27" s="104"/>
      <c r="W27" s="104"/>
      <c r="X27" s="103"/>
      <c r="Y27" s="104"/>
      <c r="Z27" s="104"/>
      <c r="AA27" s="103"/>
      <c r="AB27" s="104"/>
      <c r="AC27" s="104"/>
      <c r="AD27" s="103"/>
      <c r="AE27" s="104"/>
      <c r="AF27" s="104"/>
      <c r="AG27" s="103"/>
      <c r="AH27" s="104"/>
      <c r="AI27" s="104"/>
      <c r="AJ27" s="103"/>
      <c r="AK27" s="104"/>
      <c r="AL27" s="104"/>
      <c r="AM27" s="105">
        <f t="shared" si="0"/>
        <v>0</v>
      </c>
      <c r="AO27" s="372"/>
      <c r="AP27" s="372"/>
      <c r="AQ27" s="372">
        <f t="shared" si="2"/>
        <v>0</v>
      </c>
    </row>
    <row r="28" spans="2:43" ht="19.5" customHeight="1">
      <c r="B28" s="102"/>
      <c r="C28" s="103"/>
      <c r="D28" s="104"/>
      <c r="E28" s="104"/>
      <c r="F28" s="103"/>
      <c r="G28" s="104"/>
      <c r="H28" s="104"/>
      <c r="I28" s="103"/>
      <c r="J28" s="104"/>
      <c r="K28" s="104"/>
      <c r="L28" s="103"/>
      <c r="M28" s="104"/>
      <c r="N28" s="104"/>
      <c r="O28" s="103"/>
      <c r="P28" s="104"/>
      <c r="Q28" s="104"/>
      <c r="R28" s="103"/>
      <c r="S28" s="104"/>
      <c r="T28" s="104"/>
      <c r="U28" s="103"/>
      <c r="V28" s="104"/>
      <c r="W28" s="104"/>
      <c r="X28" s="103"/>
      <c r="Y28" s="104"/>
      <c r="Z28" s="104"/>
      <c r="AA28" s="103"/>
      <c r="AB28" s="104"/>
      <c r="AC28" s="104"/>
      <c r="AD28" s="103"/>
      <c r="AE28" s="104"/>
      <c r="AF28" s="104"/>
      <c r="AG28" s="103"/>
      <c r="AH28" s="104"/>
      <c r="AI28" s="104"/>
      <c r="AJ28" s="103"/>
      <c r="AK28" s="104"/>
      <c r="AL28" s="104"/>
      <c r="AM28" s="105">
        <f t="shared" si="0"/>
        <v>0</v>
      </c>
      <c r="AO28" s="372"/>
      <c r="AP28" s="372"/>
      <c r="AQ28" s="372">
        <f t="shared" si="2"/>
        <v>0</v>
      </c>
    </row>
    <row r="29" spans="2:43" ht="19.5" customHeight="1">
      <c r="B29" s="102"/>
      <c r="C29" s="103"/>
      <c r="D29" s="104"/>
      <c r="E29" s="104"/>
      <c r="F29" s="103"/>
      <c r="G29" s="104"/>
      <c r="H29" s="104"/>
      <c r="I29" s="103"/>
      <c r="J29" s="104"/>
      <c r="K29" s="104"/>
      <c r="L29" s="103"/>
      <c r="M29" s="104"/>
      <c r="N29" s="104"/>
      <c r="O29" s="103"/>
      <c r="P29" s="104"/>
      <c r="Q29" s="104"/>
      <c r="R29" s="103"/>
      <c r="S29" s="104"/>
      <c r="T29" s="104"/>
      <c r="U29" s="103"/>
      <c r="V29" s="104"/>
      <c r="W29" s="104"/>
      <c r="X29" s="103"/>
      <c r="Y29" s="104"/>
      <c r="Z29" s="104">
        <v>1.5</v>
      </c>
      <c r="AA29" s="103"/>
      <c r="AB29" s="104"/>
      <c r="AC29" s="104"/>
      <c r="AD29" s="103"/>
      <c r="AE29" s="104"/>
      <c r="AF29" s="104"/>
      <c r="AG29" s="103"/>
      <c r="AH29" s="104"/>
      <c r="AI29" s="104"/>
      <c r="AJ29" s="103"/>
      <c r="AK29" s="104"/>
      <c r="AL29" s="104"/>
      <c r="AM29" s="105">
        <f t="shared" si="0"/>
        <v>1.5</v>
      </c>
      <c r="AO29" s="372"/>
      <c r="AP29" s="372"/>
      <c r="AQ29" s="372">
        <f t="shared" si="2"/>
        <v>0</v>
      </c>
    </row>
    <row r="30" spans="2:43" ht="19.5" customHeight="1">
      <c r="B30" s="102"/>
      <c r="C30" s="103"/>
      <c r="D30" s="104"/>
      <c r="E30" s="104"/>
      <c r="F30" s="103"/>
      <c r="G30" s="104"/>
      <c r="H30" s="104"/>
      <c r="I30" s="103"/>
      <c r="J30" s="104"/>
      <c r="K30" s="104"/>
      <c r="L30" s="103"/>
      <c r="M30" s="104"/>
      <c r="N30" s="104"/>
      <c r="O30" s="103"/>
      <c r="P30" s="104"/>
      <c r="Q30" s="104"/>
      <c r="R30" s="103"/>
      <c r="S30" s="104"/>
      <c r="T30" s="104"/>
      <c r="U30" s="103"/>
      <c r="V30" s="104"/>
      <c r="W30" s="104"/>
      <c r="X30" s="103"/>
      <c r="Y30" s="104"/>
      <c r="Z30" s="104"/>
      <c r="AA30" s="103"/>
      <c r="AB30" s="104"/>
      <c r="AC30" s="104"/>
      <c r="AD30" s="103"/>
      <c r="AE30" s="104"/>
      <c r="AF30" s="104"/>
      <c r="AG30" s="103"/>
      <c r="AH30" s="104"/>
      <c r="AI30" s="104"/>
      <c r="AJ30" s="103"/>
      <c r="AK30" s="104"/>
      <c r="AL30" s="104"/>
      <c r="AM30" s="105">
        <f t="shared" si="0"/>
        <v>0</v>
      </c>
      <c r="AO30" s="372"/>
      <c r="AP30" s="372"/>
      <c r="AQ30" s="372">
        <f t="shared" si="2"/>
        <v>0</v>
      </c>
    </row>
    <row r="31" spans="2:43" ht="19.5" customHeight="1">
      <c r="B31" s="102"/>
      <c r="C31" s="103"/>
      <c r="D31" s="104"/>
      <c r="E31" s="104"/>
      <c r="F31" s="103"/>
      <c r="G31" s="104"/>
      <c r="H31" s="104"/>
      <c r="I31" s="103"/>
      <c r="J31" s="104"/>
      <c r="K31" s="104"/>
      <c r="L31" s="103"/>
      <c r="M31" s="104"/>
      <c r="N31" s="104"/>
      <c r="O31" s="103"/>
      <c r="P31" s="104"/>
      <c r="Q31" s="104"/>
      <c r="R31" s="103"/>
      <c r="S31" s="104"/>
      <c r="T31" s="104"/>
      <c r="U31" s="103"/>
      <c r="V31" s="104"/>
      <c r="W31" s="104"/>
      <c r="X31" s="103"/>
      <c r="Y31" s="104"/>
      <c r="Z31" s="104"/>
      <c r="AA31" s="103"/>
      <c r="AB31" s="104"/>
      <c r="AC31" s="104"/>
      <c r="AD31" s="103"/>
      <c r="AE31" s="104"/>
      <c r="AF31" s="104"/>
      <c r="AG31" s="103"/>
      <c r="AH31" s="104"/>
      <c r="AI31" s="104"/>
      <c r="AJ31" s="103"/>
      <c r="AK31" s="104"/>
      <c r="AL31" s="104"/>
      <c r="AM31" s="105">
        <f t="shared" si="0"/>
        <v>0</v>
      </c>
      <c r="AO31" s="372"/>
      <c r="AP31" s="372"/>
      <c r="AQ31" s="372">
        <f t="shared" si="2"/>
        <v>0</v>
      </c>
    </row>
    <row r="32" spans="2:43" ht="19.5" customHeight="1">
      <c r="B32" s="102"/>
      <c r="C32" s="103"/>
      <c r="D32" s="104"/>
      <c r="E32" s="104"/>
      <c r="F32" s="103"/>
      <c r="G32" s="104"/>
      <c r="H32" s="104"/>
      <c r="I32" s="103"/>
      <c r="J32" s="104"/>
      <c r="K32" s="104"/>
      <c r="L32" s="103"/>
      <c r="M32" s="104"/>
      <c r="N32" s="104"/>
      <c r="O32" s="103"/>
      <c r="P32" s="104"/>
      <c r="Q32" s="104"/>
      <c r="R32" s="103"/>
      <c r="S32" s="104"/>
      <c r="T32" s="104"/>
      <c r="U32" s="103"/>
      <c r="V32" s="104"/>
      <c r="W32" s="104"/>
      <c r="X32" s="103"/>
      <c r="Y32" s="104"/>
      <c r="Z32" s="104"/>
      <c r="AA32" s="103"/>
      <c r="AB32" s="104"/>
      <c r="AC32" s="104"/>
      <c r="AD32" s="103"/>
      <c r="AE32" s="104"/>
      <c r="AF32" s="104"/>
      <c r="AG32" s="103"/>
      <c r="AH32" s="104"/>
      <c r="AI32" s="104"/>
      <c r="AJ32" s="103"/>
      <c r="AK32" s="104"/>
      <c r="AL32" s="104"/>
      <c r="AM32" s="105">
        <f t="shared" si="0"/>
        <v>0</v>
      </c>
      <c r="AO32" s="372"/>
      <c r="AP32" s="372"/>
      <c r="AQ32" s="372">
        <f t="shared" si="2"/>
        <v>0</v>
      </c>
    </row>
    <row r="33" spans="2:43" ht="19.5" customHeight="1">
      <c r="B33" s="106" t="s">
        <v>133</v>
      </c>
      <c r="C33" s="103">
        <f aca="true" t="shared" si="3" ref="C33:AL33">SUM(C8:C32)</f>
        <v>0</v>
      </c>
      <c r="D33" s="107">
        <f t="shared" si="3"/>
        <v>0</v>
      </c>
      <c r="E33" s="108">
        <f t="shared" si="3"/>
        <v>0</v>
      </c>
      <c r="F33" s="103">
        <f t="shared" si="3"/>
        <v>0</v>
      </c>
      <c r="G33" s="107">
        <f t="shared" si="3"/>
        <v>0</v>
      </c>
      <c r="H33" s="108">
        <f t="shared" si="3"/>
        <v>0</v>
      </c>
      <c r="I33" s="103">
        <f t="shared" si="3"/>
        <v>0</v>
      </c>
      <c r="J33" s="107">
        <f t="shared" si="3"/>
        <v>1</v>
      </c>
      <c r="K33" s="108">
        <f t="shared" si="3"/>
        <v>5.2</v>
      </c>
      <c r="L33" s="103">
        <f t="shared" si="3"/>
        <v>8.4</v>
      </c>
      <c r="M33" s="107">
        <f t="shared" si="3"/>
        <v>8.4</v>
      </c>
      <c r="N33" s="108">
        <f t="shared" si="3"/>
        <v>5.7</v>
      </c>
      <c r="O33" s="103">
        <f t="shared" si="3"/>
        <v>8.7</v>
      </c>
      <c r="P33" s="107">
        <f t="shared" si="3"/>
        <v>12.3</v>
      </c>
      <c r="Q33" s="108">
        <f t="shared" si="3"/>
        <v>8.2</v>
      </c>
      <c r="R33" s="103">
        <f t="shared" si="3"/>
        <v>0</v>
      </c>
      <c r="S33" s="107">
        <f t="shared" si="3"/>
        <v>0</v>
      </c>
      <c r="T33" s="108">
        <f t="shared" si="3"/>
        <v>0</v>
      </c>
      <c r="U33" s="103">
        <f t="shared" si="3"/>
        <v>0</v>
      </c>
      <c r="V33" s="107">
        <f t="shared" si="3"/>
        <v>0</v>
      </c>
      <c r="W33" s="108">
        <f t="shared" si="3"/>
        <v>0</v>
      </c>
      <c r="X33" s="103">
        <f t="shared" si="3"/>
        <v>4</v>
      </c>
      <c r="Y33" s="107">
        <f t="shared" si="3"/>
        <v>2.8</v>
      </c>
      <c r="Z33" s="108">
        <f t="shared" si="3"/>
        <v>1.5</v>
      </c>
      <c r="AA33" s="103">
        <f t="shared" si="3"/>
        <v>0</v>
      </c>
      <c r="AB33" s="107">
        <f t="shared" si="3"/>
        <v>10</v>
      </c>
      <c r="AC33" s="108">
        <f t="shared" si="3"/>
        <v>10</v>
      </c>
      <c r="AD33" s="103">
        <f t="shared" si="3"/>
        <v>9.7</v>
      </c>
      <c r="AE33" s="107">
        <f t="shared" si="3"/>
        <v>0.5</v>
      </c>
      <c r="AF33" s="108">
        <f t="shared" si="3"/>
        <v>1</v>
      </c>
      <c r="AG33" s="103">
        <f t="shared" si="3"/>
        <v>0</v>
      </c>
      <c r="AH33" s="107">
        <f t="shared" si="3"/>
        <v>0</v>
      </c>
      <c r="AI33" s="108">
        <f t="shared" si="3"/>
        <v>0</v>
      </c>
      <c r="AJ33" s="103">
        <f t="shared" si="3"/>
        <v>0</v>
      </c>
      <c r="AK33" s="107">
        <f t="shared" si="3"/>
        <v>0</v>
      </c>
      <c r="AL33" s="108">
        <f t="shared" si="3"/>
        <v>0</v>
      </c>
      <c r="AM33" s="105">
        <f t="shared" si="0"/>
        <v>97.4</v>
      </c>
      <c r="AO33" s="372"/>
      <c r="AP33" s="372"/>
      <c r="AQ33" s="372">
        <f t="shared" si="2"/>
        <v>0</v>
      </c>
    </row>
    <row r="34" spans="2:43" ht="19.5" customHeight="1" thickBot="1">
      <c r="B34" s="109" t="s">
        <v>134</v>
      </c>
      <c r="C34" s="110"/>
      <c r="D34" s="111">
        <f>SUM(C33:E33)</f>
        <v>0</v>
      </c>
      <c r="E34" s="111"/>
      <c r="F34" s="110"/>
      <c r="G34" s="111">
        <f>SUM(F33:H33)</f>
        <v>0</v>
      </c>
      <c r="H34" s="111"/>
      <c r="I34" s="110"/>
      <c r="J34" s="111">
        <f>SUM(I33:K33)</f>
        <v>6.2</v>
      </c>
      <c r="K34" s="111"/>
      <c r="L34" s="110"/>
      <c r="M34" s="111">
        <f>SUM(L33:N33)</f>
        <v>22.5</v>
      </c>
      <c r="N34" s="111"/>
      <c r="O34" s="110"/>
      <c r="P34" s="111">
        <f>SUM(O33:Q33)</f>
        <v>29.2</v>
      </c>
      <c r="Q34" s="111"/>
      <c r="R34" s="110"/>
      <c r="S34" s="111">
        <f>SUM(R33:T33)</f>
        <v>0</v>
      </c>
      <c r="T34" s="111"/>
      <c r="U34" s="110"/>
      <c r="V34" s="111">
        <f>SUM(U33:W33)</f>
        <v>0</v>
      </c>
      <c r="W34" s="111"/>
      <c r="X34" s="110"/>
      <c r="Y34" s="111">
        <f>SUM(X33:Z33)</f>
        <v>8.3</v>
      </c>
      <c r="Z34" s="111"/>
      <c r="AA34" s="110"/>
      <c r="AB34" s="111">
        <f>SUM(AA33:AC33)</f>
        <v>20</v>
      </c>
      <c r="AC34" s="111"/>
      <c r="AD34" s="110"/>
      <c r="AE34" s="111">
        <f>SUM(AD33:AF33)</f>
        <v>11.2</v>
      </c>
      <c r="AF34" s="111"/>
      <c r="AG34" s="110"/>
      <c r="AH34" s="111">
        <f>SUM(AG33:AI33)</f>
        <v>0</v>
      </c>
      <c r="AI34" s="111"/>
      <c r="AJ34" s="110"/>
      <c r="AK34" s="111">
        <f>SUM(AJ33:AL33)</f>
        <v>0</v>
      </c>
      <c r="AL34" s="111"/>
      <c r="AM34" s="112">
        <f>SUM(AM8:AM32)</f>
        <v>97.4</v>
      </c>
      <c r="AO34" s="372">
        <f>SUM(AO8:AO32)</f>
        <v>33.900000000000006</v>
      </c>
      <c r="AP34" s="372">
        <f>SUM(AP8:AP32)</f>
        <v>62</v>
      </c>
      <c r="AQ34" s="372">
        <f>SUM(AQ8:AQ33)</f>
        <v>95.9</v>
      </c>
    </row>
  </sheetData>
  <sheetProtection/>
  <mergeCells count="15">
    <mergeCell ref="AJ3:AL3"/>
    <mergeCell ref="AM3:AM4"/>
    <mergeCell ref="AG3:AI3"/>
    <mergeCell ref="AA3:AC3"/>
    <mergeCell ref="AD3:AF3"/>
    <mergeCell ref="B5:B7"/>
    <mergeCell ref="R3:T3"/>
    <mergeCell ref="U3:W3"/>
    <mergeCell ref="X3:Z3"/>
    <mergeCell ref="B3:B4"/>
    <mergeCell ref="F3:H3"/>
    <mergeCell ref="I3:K3"/>
    <mergeCell ref="L3:N3"/>
    <mergeCell ref="O3:Q3"/>
    <mergeCell ref="C3:E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Z54"/>
  <sheetViews>
    <sheetView zoomScale="75" zoomScaleNormal="75" zoomScalePageLayoutView="0" workbookViewId="0" topLeftCell="A1">
      <pane xSplit="6" topLeftCell="G1" activePane="topRight" state="frozen"/>
      <selection pane="topLeft" activeCell="E26" sqref="E25:N32"/>
      <selection pane="topRight" activeCell="A1" sqref="A1"/>
    </sheetView>
  </sheetViews>
  <sheetFormatPr defaultColWidth="9.00390625" defaultRowHeight="13.5"/>
  <cols>
    <col min="1" max="1" width="1.625" style="10" customWidth="1"/>
    <col min="2" max="2" width="5.00390625" style="10" customWidth="1"/>
    <col min="3" max="3" width="22.50390625" style="10" bestFit="1" customWidth="1"/>
    <col min="4" max="4" width="30.00390625" style="10" bestFit="1" customWidth="1"/>
    <col min="5" max="6" width="6.00390625" style="10" bestFit="1" customWidth="1"/>
    <col min="7" max="7" width="17.625" style="10" customWidth="1"/>
    <col min="8" max="8" width="10.625" style="10" customWidth="1"/>
    <col min="9" max="9" width="17.625" style="10" customWidth="1"/>
    <col min="10" max="10" width="10.625" style="10" customWidth="1"/>
    <col min="11" max="11" width="15.125" style="12" bestFit="1" customWidth="1"/>
    <col min="12" max="12" width="17.625" style="10" customWidth="1"/>
    <col min="13" max="13" width="10.625" style="10" customWidth="1"/>
    <col min="14" max="14" width="17.625" style="10" customWidth="1"/>
    <col min="15" max="15" width="10.625" style="10" customWidth="1"/>
    <col min="16" max="16" width="19.75390625" style="10" bestFit="1" customWidth="1"/>
    <col min="17" max="17" width="3.50390625" style="10" customWidth="1"/>
    <col min="18" max="18" width="16.00390625" style="10" customWidth="1"/>
    <col min="19" max="19" width="13.75390625" style="10" customWidth="1"/>
    <col min="20" max="16384" width="9.00390625" style="10" customWidth="1"/>
  </cols>
  <sheetData>
    <row r="1" s="5" customFormat="1" ht="9.75" customHeight="1">
      <c r="K1" s="6"/>
    </row>
    <row r="2" spans="2:19" s="5" customFormat="1" ht="24.75" customHeight="1" thickBot="1">
      <c r="B2" s="2" t="s">
        <v>452</v>
      </c>
      <c r="C2" s="7"/>
      <c r="D2" s="7"/>
      <c r="E2" s="8"/>
      <c r="F2" s="647"/>
      <c r="G2" s="648"/>
      <c r="H2" s="145" t="s">
        <v>259</v>
      </c>
      <c r="I2" s="3" t="s">
        <v>261</v>
      </c>
      <c r="J2" s="144"/>
      <c r="K2" s="145" t="s">
        <v>260</v>
      </c>
      <c r="L2" s="3" t="s">
        <v>262</v>
      </c>
      <c r="M2" s="9"/>
      <c r="P2" s="14"/>
      <c r="R2" s="87" t="s">
        <v>356</v>
      </c>
      <c r="S2" s="87" t="s">
        <v>347</v>
      </c>
    </row>
    <row r="3" spans="2:26" s="5" customFormat="1" ht="13.5">
      <c r="B3" s="649" t="s">
        <v>137</v>
      </c>
      <c r="C3" s="642" t="s">
        <v>38</v>
      </c>
      <c r="D3" s="651" t="s">
        <v>136</v>
      </c>
      <c r="E3" s="653" t="s">
        <v>39</v>
      </c>
      <c r="F3" s="654"/>
      <c r="G3" s="368" t="s">
        <v>40</v>
      </c>
      <c r="H3" s="16" t="s">
        <v>139</v>
      </c>
      <c r="I3" s="370" t="s">
        <v>138</v>
      </c>
      <c r="J3" s="642" t="s">
        <v>99</v>
      </c>
      <c r="K3" s="18" t="s">
        <v>100</v>
      </c>
      <c r="L3" s="17" t="s">
        <v>41</v>
      </c>
      <c r="M3" s="16" t="s">
        <v>143</v>
      </c>
      <c r="N3" s="17" t="s">
        <v>42</v>
      </c>
      <c r="O3" s="17" t="s">
        <v>43</v>
      </c>
      <c r="P3" s="323" t="s">
        <v>44</v>
      </c>
      <c r="S3" s="169" t="s">
        <v>348</v>
      </c>
      <c r="T3" s="169" t="s">
        <v>349</v>
      </c>
      <c r="U3" s="169" t="s">
        <v>350</v>
      </c>
      <c r="V3" s="169" t="s">
        <v>351</v>
      </c>
      <c r="W3" s="169" t="s">
        <v>352</v>
      </c>
      <c r="X3" s="169" t="s">
        <v>353</v>
      </c>
      <c r="Y3" s="169" t="s">
        <v>354</v>
      </c>
      <c r="Z3" s="87" t="s">
        <v>355</v>
      </c>
    </row>
    <row r="4" spans="2:26" ht="13.5">
      <c r="B4" s="650"/>
      <c r="C4" s="643"/>
      <c r="D4" s="652"/>
      <c r="E4" s="19" t="s">
        <v>101</v>
      </c>
      <c r="F4" s="19" t="s">
        <v>9</v>
      </c>
      <c r="G4" s="369" t="s">
        <v>141</v>
      </c>
      <c r="H4" s="20" t="s">
        <v>140</v>
      </c>
      <c r="I4" s="369" t="s">
        <v>147</v>
      </c>
      <c r="J4" s="643"/>
      <c r="K4" s="21" t="s">
        <v>142</v>
      </c>
      <c r="L4" s="20" t="s">
        <v>148</v>
      </c>
      <c r="M4" s="20" t="s">
        <v>144</v>
      </c>
      <c r="N4" s="20" t="s">
        <v>149</v>
      </c>
      <c r="O4" s="20" t="s">
        <v>145</v>
      </c>
      <c r="P4" s="324" t="s">
        <v>150</v>
      </c>
      <c r="R4" s="10">
        <f>SUM(S4:Z4)</f>
        <v>30</v>
      </c>
      <c r="S4" s="10">
        <f>'１　対象経営の概要，２　前提条件'!AB26+'１　対象経営の概要，２　前提条件'!AM26+'１　対象経営の概要，２　前提条件'!AB28</f>
        <v>15</v>
      </c>
      <c r="T4" s="10">
        <f>'１　対象経営の概要，２　前提条件'!AB27+'１　対象経営の概要，２　前提条件'!AM27</f>
        <v>5</v>
      </c>
      <c r="U4" s="10">
        <f>'１　対象経営の概要，２　前提条件'!AM28</f>
        <v>10</v>
      </c>
      <c r="V4" s="10">
        <f>'１　対象経営の概要，２　前提条件'!AM29+'１　対象経営の概要，２　前提条件'!AB30</f>
        <v>0</v>
      </c>
      <c r="W4" s="10">
        <f>'１　対象経営の概要，２　前提条件'!AM30</f>
        <v>0</v>
      </c>
      <c r="X4" s="10">
        <f>'１　対象経営の概要，２　前提条件'!F17</f>
        <v>0</v>
      </c>
      <c r="Y4" s="10">
        <f>'１　対象経営の概要，２　前提条件'!F18</f>
        <v>0</v>
      </c>
      <c r="Z4" s="10">
        <f>'１　対象経営の概要，２　前提条件'!F19</f>
        <v>0</v>
      </c>
    </row>
    <row r="5" spans="2:16" ht="13.5">
      <c r="B5" s="644" t="s">
        <v>198</v>
      </c>
      <c r="C5" s="322" t="s">
        <v>310</v>
      </c>
      <c r="D5" s="38" t="s">
        <v>104</v>
      </c>
      <c r="E5" s="38">
        <v>100</v>
      </c>
      <c r="F5" s="38" t="s">
        <v>105</v>
      </c>
      <c r="G5" s="382">
        <f>59400*E5</f>
        <v>5940000</v>
      </c>
      <c r="H5" s="385">
        <v>0</v>
      </c>
      <c r="I5" s="382">
        <f>G5*(1-H5)</f>
        <v>5940000</v>
      </c>
      <c r="J5" s="386">
        <f>SUM('１　対象経営の概要，２　前提条件'!$F$13:$F$16)</f>
        <v>30</v>
      </c>
      <c r="K5" s="383">
        <f>30/30/30</f>
        <v>0.03333333333333333</v>
      </c>
      <c r="L5" s="11">
        <f>I5*K5</f>
        <v>198000</v>
      </c>
      <c r="M5" s="23">
        <v>0</v>
      </c>
      <c r="N5" s="11">
        <f>L5*M5/100</f>
        <v>0</v>
      </c>
      <c r="O5" s="11">
        <v>25</v>
      </c>
      <c r="P5" s="325">
        <f>IF(O5="","",(L5-N5)/O5)</f>
        <v>7920</v>
      </c>
    </row>
    <row r="6" spans="2:16" ht="13.5">
      <c r="B6" s="645"/>
      <c r="C6" s="38" t="s">
        <v>309</v>
      </c>
      <c r="D6" s="382" t="s">
        <v>104</v>
      </c>
      <c r="E6" s="382">
        <v>180</v>
      </c>
      <c r="F6" s="38" t="s">
        <v>105</v>
      </c>
      <c r="G6" s="382">
        <f>59400*E6</f>
        <v>10692000</v>
      </c>
      <c r="H6" s="385">
        <v>0</v>
      </c>
      <c r="I6" s="382">
        <f>G6*(1-H6)</f>
        <v>10692000</v>
      </c>
      <c r="J6" s="386">
        <f>SUM('１　対象経営の概要，２　前提条件'!$F$13:$F$16)</f>
        <v>30</v>
      </c>
      <c r="K6" s="383">
        <f>30/30/30</f>
        <v>0.03333333333333333</v>
      </c>
      <c r="L6" s="11">
        <f>I6*K6</f>
        <v>356400</v>
      </c>
      <c r="M6" s="23">
        <v>0</v>
      </c>
      <c r="N6" s="11">
        <f>L6*M6/100</f>
        <v>0</v>
      </c>
      <c r="O6" s="11">
        <v>25</v>
      </c>
      <c r="P6" s="325">
        <f>IF(O6="","",(L6-N6)/O6)</f>
        <v>14256</v>
      </c>
    </row>
    <row r="7" spans="2:16" ht="13.5">
      <c r="B7" s="645"/>
      <c r="C7" s="322" t="s">
        <v>276</v>
      </c>
      <c r="D7" s="382" t="s">
        <v>47</v>
      </c>
      <c r="E7" s="445">
        <v>1770</v>
      </c>
      <c r="F7" s="43" t="s">
        <v>105</v>
      </c>
      <c r="G7" s="382">
        <f>2430*E7</f>
        <v>4301100</v>
      </c>
      <c r="H7" s="385">
        <v>0</v>
      </c>
      <c r="I7" s="382">
        <f>G7*(1-H7)</f>
        <v>4301100</v>
      </c>
      <c r="J7" s="386">
        <f>SUM('１　対象経営の概要，２　前提条件'!$F$13:$F$16)</f>
        <v>30</v>
      </c>
      <c r="K7" s="383">
        <f>30/30/30</f>
        <v>0.03333333333333333</v>
      </c>
      <c r="L7" s="11">
        <f>I7*K7</f>
        <v>143370</v>
      </c>
      <c r="M7" s="23">
        <v>0</v>
      </c>
      <c r="N7" s="11">
        <f>L7*M7/100</f>
        <v>0</v>
      </c>
      <c r="O7" s="11">
        <v>10</v>
      </c>
      <c r="P7" s="325">
        <f>IF(O7="","",(L7-N7)/O7)</f>
        <v>14337</v>
      </c>
    </row>
    <row r="8" spans="2:16" ht="13.5">
      <c r="B8" s="645"/>
      <c r="C8" s="38"/>
      <c r="D8" s="38"/>
      <c r="E8" s="42"/>
      <c r="F8" s="43"/>
      <c r="G8" s="382"/>
      <c r="H8" s="385"/>
      <c r="I8" s="382"/>
      <c r="J8" s="382"/>
      <c r="K8" s="383"/>
      <c r="L8" s="11"/>
      <c r="M8" s="23"/>
      <c r="N8" s="11"/>
      <c r="O8" s="11"/>
      <c r="P8" s="325"/>
    </row>
    <row r="9" spans="2:16" ht="13.5">
      <c r="B9" s="645"/>
      <c r="C9" s="322"/>
      <c r="D9" s="38"/>
      <c r="E9" s="42"/>
      <c r="F9" s="43"/>
      <c r="G9" s="382"/>
      <c r="H9" s="39"/>
      <c r="I9" s="38"/>
      <c r="J9" s="322"/>
      <c r="K9" s="383"/>
      <c r="L9" s="11"/>
      <c r="M9" s="23"/>
      <c r="N9" s="11"/>
      <c r="O9" s="11"/>
      <c r="P9" s="325"/>
    </row>
    <row r="10" spans="2:16" ht="13.5">
      <c r="B10" s="645"/>
      <c r="C10" s="38"/>
      <c r="D10" s="38"/>
      <c r="E10" s="38"/>
      <c r="F10" s="41"/>
      <c r="G10" s="382"/>
      <c r="H10" s="39"/>
      <c r="I10" s="38"/>
      <c r="J10" s="38"/>
      <c r="K10" s="383"/>
      <c r="L10" s="11"/>
      <c r="M10" s="23"/>
      <c r="N10" s="11"/>
      <c r="O10" s="11"/>
      <c r="P10" s="325"/>
    </row>
    <row r="11" spans="2:16" ht="13.5">
      <c r="B11" s="645"/>
      <c r="C11" s="38"/>
      <c r="D11" s="38"/>
      <c r="E11" s="38"/>
      <c r="F11" s="38"/>
      <c r="G11" s="382"/>
      <c r="H11" s="39"/>
      <c r="I11" s="38"/>
      <c r="J11" s="38"/>
      <c r="K11" s="383"/>
      <c r="L11" s="11"/>
      <c r="M11" s="23"/>
      <c r="N11" s="11"/>
      <c r="O11" s="11"/>
      <c r="P11" s="325"/>
    </row>
    <row r="12" spans="2:16" ht="13.5">
      <c r="B12" s="645"/>
      <c r="C12" s="38"/>
      <c r="D12" s="38"/>
      <c r="E12" s="38"/>
      <c r="F12" s="41"/>
      <c r="G12" s="382"/>
      <c r="H12" s="39"/>
      <c r="I12" s="38"/>
      <c r="J12" s="41"/>
      <c r="K12" s="383"/>
      <c r="L12" s="11"/>
      <c r="M12" s="23"/>
      <c r="N12" s="11"/>
      <c r="O12" s="11"/>
      <c r="P12" s="325"/>
    </row>
    <row r="13" spans="2:16" ht="13.5">
      <c r="B13" s="645"/>
      <c r="C13" s="11"/>
      <c r="D13" s="11"/>
      <c r="E13" s="11"/>
      <c r="F13" s="11"/>
      <c r="G13" s="28"/>
      <c r="H13" s="23"/>
      <c r="I13" s="11"/>
      <c r="J13" s="11"/>
      <c r="K13" s="384"/>
      <c r="L13" s="11"/>
      <c r="M13" s="23"/>
      <c r="N13" s="11"/>
      <c r="O13" s="11"/>
      <c r="P13" s="325"/>
    </row>
    <row r="14" spans="2:16" ht="13.5">
      <c r="B14" s="645"/>
      <c r="C14" s="11"/>
      <c r="D14" s="11"/>
      <c r="E14" s="11"/>
      <c r="F14" s="11"/>
      <c r="G14" s="28"/>
      <c r="H14" s="23"/>
      <c r="I14" s="11"/>
      <c r="J14" s="11"/>
      <c r="K14" s="384"/>
      <c r="L14" s="11"/>
      <c r="M14" s="23"/>
      <c r="N14" s="11"/>
      <c r="O14" s="11"/>
      <c r="P14" s="325"/>
    </row>
    <row r="15" spans="2:18" ht="13.5">
      <c r="B15" s="646"/>
      <c r="C15" s="24" t="s">
        <v>45</v>
      </c>
      <c r="D15" s="25"/>
      <c r="E15" s="25"/>
      <c r="F15" s="26"/>
      <c r="G15" s="25">
        <f>SUM(G5:G14)</f>
        <v>20933100</v>
      </c>
      <c r="H15" s="25"/>
      <c r="I15" s="25">
        <f>SUM(I5:I14)</f>
        <v>20933100</v>
      </c>
      <c r="J15" s="25"/>
      <c r="K15" s="27"/>
      <c r="L15" s="25">
        <f>SUM(L5:L14)</f>
        <v>697770</v>
      </c>
      <c r="M15" s="25"/>
      <c r="N15" s="25"/>
      <c r="O15" s="25"/>
      <c r="P15" s="326">
        <f>SUM(P5:P14)</f>
        <v>36513</v>
      </c>
      <c r="R15" s="25"/>
    </row>
    <row r="16" spans="2:16" ht="13.5">
      <c r="B16" s="644" t="s">
        <v>199</v>
      </c>
      <c r="C16" s="38" t="s">
        <v>54</v>
      </c>
      <c r="D16" s="322" t="s">
        <v>324</v>
      </c>
      <c r="E16" s="382">
        <v>1</v>
      </c>
      <c r="F16" s="382" t="s">
        <v>103</v>
      </c>
      <c r="G16" s="382">
        <f>5302000*1.08</f>
        <v>5726160</v>
      </c>
      <c r="H16" s="385">
        <v>0.5</v>
      </c>
      <c r="I16" s="382">
        <f aca="true" t="shared" si="0" ref="I16:I23">G16*(1-H16)</f>
        <v>2863080</v>
      </c>
      <c r="J16" s="386">
        <f>SUM('１　対象経営の概要，２　前提条件'!$F$13:$F$16)</f>
        <v>30</v>
      </c>
      <c r="K16" s="383">
        <f>30/30/30</f>
        <v>0.03333333333333333</v>
      </c>
      <c r="L16" s="382">
        <f>I16*K16</f>
        <v>95436</v>
      </c>
      <c r="M16" s="35">
        <v>0</v>
      </c>
      <c r="N16" s="11">
        <f>L16*M16</f>
        <v>0</v>
      </c>
      <c r="O16" s="28">
        <v>7</v>
      </c>
      <c r="P16" s="325">
        <f aca="true" t="shared" si="1" ref="P16:P33">IF(O16="","",(L16-N16)/O16)</f>
        <v>13633.714285714286</v>
      </c>
    </row>
    <row r="17" spans="2:16" ht="13.5">
      <c r="B17" s="645"/>
      <c r="C17" s="322" t="s">
        <v>283</v>
      </c>
      <c r="D17" s="322" t="s">
        <v>325</v>
      </c>
      <c r="E17" s="382">
        <v>1</v>
      </c>
      <c r="F17" s="446" t="s">
        <v>277</v>
      </c>
      <c r="G17" s="382">
        <f>4284000*1.08</f>
        <v>4626720</v>
      </c>
      <c r="H17" s="385">
        <v>0.5</v>
      </c>
      <c r="I17" s="382">
        <f t="shared" si="0"/>
        <v>2313360</v>
      </c>
      <c r="J17" s="386">
        <f>SUM('１　対象経営の概要，２　前提条件'!$F$13:$F$16)</f>
        <v>30</v>
      </c>
      <c r="K17" s="383">
        <f>30/30/30</f>
        <v>0.03333333333333333</v>
      </c>
      <c r="L17" s="382">
        <f aca="true" t="shared" si="2" ref="L17:L33">I17*K17</f>
        <v>77112</v>
      </c>
      <c r="M17" s="35">
        <v>0</v>
      </c>
      <c r="N17" s="11">
        <f aca="true" t="shared" si="3" ref="N17:N33">L17*M17</f>
        <v>0</v>
      </c>
      <c r="O17" s="28">
        <v>7</v>
      </c>
      <c r="P17" s="325">
        <f t="shared" si="1"/>
        <v>11016</v>
      </c>
    </row>
    <row r="18" spans="2:16" ht="13.5">
      <c r="B18" s="645"/>
      <c r="C18" s="38" t="s">
        <v>55</v>
      </c>
      <c r="D18" s="322" t="s">
        <v>279</v>
      </c>
      <c r="E18" s="382">
        <v>1</v>
      </c>
      <c r="F18" s="382" t="s">
        <v>103</v>
      </c>
      <c r="G18" s="382">
        <f>715000*1.08</f>
        <v>772200</v>
      </c>
      <c r="H18" s="385">
        <v>0.5</v>
      </c>
      <c r="I18" s="382">
        <f t="shared" si="0"/>
        <v>386100</v>
      </c>
      <c r="J18" s="386">
        <f>SUM('１　対象経営の概要，２　前提条件'!$F$13:$F$16)</f>
        <v>30</v>
      </c>
      <c r="K18" s="383">
        <f>30/30/30</f>
        <v>0.03333333333333333</v>
      </c>
      <c r="L18" s="382">
        <f t="shared" si="2"/>
        <v>12870</v>
      </c>
      <c r="M18" s="23">
        <v>0</v>
      </c>
      <c r="N18" s="11">
        <f t="shared" si="3"/>
        <v>0</v>
      </c>
      <c r="O18" s="11">
        <v>7</v>
      </c>
      <c r="P18" s="325">
        <f t="shared" si="1"/>
        <v>1838.5714285714287</v>
      </c>
    </row>
    <row r="19" spans="2:16" ht="13.5">
      <c r="B19" s="645"/>
      <c r="C19" s="338" t="s">
        <v>55</v>
      </c>
      <c r="D19" s="337" t="s">
        <v>280</v>
      </c>
      <c r="E19" s="447">
        <v>1</v>
      </c>
      <c r="F19" s="382" t="s">
        <v>103</v>
      </c>
      <c r="G19" s="382">
        <f>540000*1.08</f>
        <v>583200</v>
      </c>
      <c r="H19" s="385">
        <v>0.5</v>
      </c>
      <c r="I19" s="382">
        <f t="shared" si="0"/>
        <v>291600</v>
      </c>
      <c r="J19" s="386">
        <f>SUM('１　対象経営の概要，２　前提条件'!$F$13:$F$16)</f>
        <v>30</v>
      </c>
      <c r="K19" s="383">
        <f>30/30/30</f>
        <v>0.03333333333333333</v>
      </c>
      <c r="L19" s="382">
        <f t="shared" si="2"/>
        <v>9720</v>
      </c>
      <c r="M19" s="23">
        <v>0</v>
      </c>
      <c r="N19" s="11">
        <f t="shared" si="3"/>
        <v>0</v>
      </c>
      <c r="O19" s="11">
        <v>7</v>
      </c>
      <c r="P19" s="325">
        <f t="shared" si="1"/>
        <v>1388.5714285714287</v>
      </c>
    </row>
    <row r="20" spans="2:16" ht="13.5">
      <c r="B20" s="645"/>
      <c r="C20" s="322" t="s">
        <v>278</v>
      </c>
      <c r="D20" s="41" t="s">
        <v>402</v>
      </c>
      <c r="E20" s="382">
        <v>1</v>
      </c>
      <c r="F20" s="382" t="s">
        <v>103</v>
      </c>
      <c r="G20" s="382">
        <v>4158000</v>
      </c>
      <c r="H20" s="385">
        <v>0.5</v>
      </c>
      <c r="I20" s="382">
        <f t="shared" si="0"/>
        <v>2079000</v>
      </c>
      <c r="J20" s="386">
        <f>SUM('１　対象経営の概要，２　前提条件'!$F$13:$F$16)</f>
        <v>30</v>
      </c>
      <c r="K20" s="383">
        <f aca="true" t="shared" si="4" ref="K20:K33">30/30/30</f>
        <v>0.03333333333333333</v>
      </c>
      <c r="L20" s="382">
        <f>I20*K20</f>
        <v>69300</v>
      </c>
      <c r="M20" s="23">
        <v>0</v>
      </c>
      <c r="N20" s="11">
        <f>L20*M20</f>
        <v>0</v>
      </c>
      <c r="O20" s="11">
        <v>7</v>
      </c>
      <c r="P20" s="325">
        <f>IF(O20="","",(L20-N20)/O20)</f>
        <v>9900</v>
      </c>
    </row>
    <row r="21" spans="2:16" ht="13.5">
      <c r="B21" s="645"/>
      <c r="C21" s="38" t="s">
        <v>56</v>
      </c>
      <c r="D21" s="322" t="s">
        <v>360</v>
      </c>
      <c r="E21" s="382">
        <v>1</v>
      </c>
      <c r="F21" s="446" t="s">
        <v>284</v>
      </c>
      <c r="G21" s="382">
        <f>6800000*1.08</f>
        <v>7344000.000000001</v>
      </c>
      <c r="H21" s="385">
        <v>0.5</v>
      </c>
      <c r="I21" s="382">
        <f t="shared" si="0"/>
        <v>3672000.0000000005</v>
      </c>
      <c r="J21" s="386">
        <f>SUM('１　対象経営の概要，２　前提条件'!$F$13:$F$15)</f>
        <v>30</v>
      </c>
      <c r="K21" s="383">
        <f>'１　対象経営の概要，２　前提条件'!$N$7/'１　対象経営の概要，２　前提条件'!$N$7/'１　対象経営の概要，２　前提条件'!$N$7</f>
        <v>0.03333333333333333</v>
      </c>
      <c r="L21" s="382">
        <f>I21*K21</f>
        <v>122400.00000000001</v>
      </c>
      <c r="M21" s="23">
        <v>0</v>
      </c>
      <c r="N21" s="11">
        <f>L21*M21</f>
        <v>0</v>
      </c>
      <c r="O21" s="11">
        <v>7</v>
      </c>
      <c r="P21" s="325">
        <f>IF(O21="","",(L21-N21)/O21)</f>
        <v>17485.714285714286</v>
      </c>
    </row>
    <row r="22" spans="2:16" ht="13.5">
      <c r="B22" s="645"/>
      <c r="C22" s="382" t="s">
        <v>56</v>
      </c>
      <c r="D22" s="446" t="s">
        <v>360</v>
      </c>
      <c r="E22" s="382">
        <v>1</v>
      </c>
      <c r="F22" s="446" t="s">
        <v>284</v>
      </c>
      <c r="G22" s="382">
        <f>6800000*1.08</f>
        <v>7344000.000000001</v>
      </c>
      <c r="H22" s="385">
        <v>0.5</v>
      </c>
      <c r="I22" s="382">
        <f t="shared" si="0"/>
        <v>3672000.0000000005</v>
      </c>
      <c r="J22" s="386">
        <f>SUM('１　対象経営の概要，２　前提条件'!$F$13:$F$15)</f>
        <v>30</v>
      </c>
      <c r="K22" s="383">
        <f>'１　対象経営の概要，２　前提条件'!$N$7/'１　対象経営の概要，２　前提条件'!$N$7/'１　対象経営の概要，２　前提条件'!$N$7</f>
        <v>0.03333333333333333</v>
      </c>
      <c r="L22" s="382">
        <f>I22*K22</f>
        <v>122400.00000000001</v>
      </c>
      <c r="M22" s="23">
        <v>0</v>
      </c>
      <c r="N22" s="11">
        <f>L22*M22</f>
        <v>0</v>
      </c>
      <c r="O22" s="11">
        <v>7</v>
      </c>
      <c r="P22" s="325">
        <f>IF(O22="","",(L22-N22)/O22)</f>
        <v>17485.714285714286</v>
      </c>
    </row>
    <row r="23" spans="2:16" ht="13.5">
      <c r="B23" s="645"/>
      <c r="C23" s="446" t="s">
        <v>285</v>
      </c>
      <c r="D23" s="446" t="s">
        <v>292</v>
      </c>
      <c r="E23" s="382">
        <v>1</v>
      </c>
      <c r="F23" s="446" t="s">
        <v>103</v>
      </c>
      <c r="G23" s="382">
        <f>3500000*1.08</f>
        <v>3780000.0000000005</v>
      </c>
      <c r="H23" s="385">
        <v>0</v>
      </c>
      <c r="I23" s="382">
        <f t="shared" si="0"/>
        <v>3780000.0000000005</v>
      </c>
      <c r="J23" s="386">
        <f>SUM('１　対象経営の概要，２　前提条件'!$F$13:$F$16)</f>
        <v>30</v>
      </c>
      <c r="K23" s="383">
        <f t="shared" si="4"/>
        <v>0.03333333333333333</v>
      </c>
      <c r="L23" s="382">
        <f>I23*K23</f>
        <v>126000.00000000001</v>
      </c>
      <c r="M23" s="23">
        <v>0</v>
      </c>
      <c r="N23" s="11">
        <f>L23*M23</f>
        <v>0</v>
      </c>
      <c r="O23" s="11">
        <v>7</v>
      </c>
      <c r="P23" s="325">
        <f>IF(O23="","",(L23-N23)/O23)</f>
        <v>18000.000000000004</v>
      </c>
    </row>
    <row r="24" spans="2:16" ht="13.5">
      <c r="B24" s="645"/>
      <c r="C24" s="446" t="s">
        <v>434</v>
      </c>
      <c r="D24" s="382"/>
      <c r="E24" s="382">
        <v>1</v>
      </c>
      <c r="F24" s="446" t="s">
        <v>103</v>
      </c>
      <c r="G24" s="382">
        <v>303480</v>
      </c>
      <c r="H24" s="385">
        <v>0</v>
      </c>
      <c r="I24" s="382">
        <f aca="true" t="shared" si="5" ref="I24:I33">G24*(1-H24)</f>
        <v>303480</v>
      </c>
      <c r="J24" s="386">
        <f>SUM('１　対象経営の概要，２　前提条件'!$F$13:$F$16)</f>
        <v>30</v>
      </c>
      <c r="K24" s="383">
        <f t="shared" si="4"/>
        <v>0.03333333333333333</v>
      </c>
      <c r="L24" s="382">
        <f t="shared" si="2"/>
        <v>10116</v>
      </c>
      <c r="M24" s="23">
        <v>0</v>
      </c>
      <c r="N24" s="11">
        <f t="shared" si="3"/>
        <v>0</v>
      </c>
      <c r="O24" s="11">
        <v>7</v>
      </c>
      <c r="P24" s="325">
        <f t="shared" si="1"/>
        <v>1445.142857142857</v>
      </c>
    </row>
    <row r="25" spans="2:16" ht="13.5">
      <c r="B25" s="645"/>
      <c r="C25" s="446" t="s">
        <v>287</v>
      </c>
      <c r="D25" s="446" t="s">
        <v>369</v>
      </c>
      <c r="E25" s="382">
        <v>1</v>
      </c>
      <c r="F25" s="446" t="s">
        <v>103</v>
      </c>
      <c r="G25" s="382">
        <f>273000*1.08</f>
        <v>294840</v>
      </c>
      <c r="H25" s="385">
        <v>0</v>
      </c>
      <c r="I25" s="382">
        <f t="shared" si="5"/>
        <v>294840</v>
      </c>
      <c r="J25" s="386">
        <f>SUM('１　対象経営の概要，２　前提条件'!$F$13:$F$16)</f>
        <v>30</v>
      </c>
      <c r="K25" s="383">
        <f t="shared" si="4"/>
        <v>0.03333333333333333</v>
      </c>
      <c r="L25" s="382">
        <f t="shared" si="2"/>
        <v>9828</v>
      </c>
      <c r="M25" s="23">
        <v>0</v>
      </c>
      <c r="N25" s="11">
        <f>L25*M25</f>
        <v>0</v>
      </c>
      <c r="O25" s="11">
        <v>7</v>
      </c>
      <c r="P25" s="325">
        <f>IF(O25="","",(L25-N25)/O25)</f>
        <v>1404</v>
      </c>
    </row>
    <row r="26" spans="2:16" ht="13.5">
      <c r="B26" s="645"/>
      <c r="C26" s="446" t="s">
        <v>288</v>
      </c>
      <c r="D26" s="446"/>
      <c r="E26" s="382">
        <v>1</v>
      </c>
      <c r="F26" s="446" t="s">
        <v>103</v>
      </c>
      <c r="G26" s="382">
        <f>521000*1.08</f>
        <v>562680</v>
      </c>
      <c r="H26" s="385">
        <v>0</v>
      </c>
      <c r="I26" s="382">
        <f t="shared" si="5"/>
        <v>562680</v>
      </c>
      <c r="J26" s="386">
        <f>SUM('１　対象経営の概要，２　前提条件'!$F$13:$F$16)</f>
        <v>30</v>
      </c>
      <c r="K26" s="383">
        <f t="shared" si="4"/>
        <v>0.03333333333333333</v>
      </c>
      <c r="L26" s="382">
        <f t="shared" si="2"/>
        <v>18756</v>
      </c>
      <c r="M26" s="23">
        <v>0</v>
      </c>
      <c r="N26" s="11">
        <f>L26*M26</f>
        <v>0</v>
      </c>
      <c r="O26" s="11">
        <v>7</v>
      </c>
      <c r="P26" s="325">
        <f>IF(O26="","",(L26-N26)/O26)</f>
        <v>2679.4285714285716</v>
      </c>
    </row>
    <row r="27" spans="2:16" ht="13.5">
      <c r="B27" s="645"/>
      <c r="C27" s="446" t="s">
        <v>289</v>
      </c>
      <c r="D27" s="446" t="s">
        <v>370</v>
      </c>
      <c r="E27" s="382">
        <v>1</v>
      </c>
      <c r="F27" s="446" t="s">
        <v>103</v>
      </c>
      <c r="G27" s="382">
        <f>583000*1.08</f>
        <v>629640</v>
      </c>
      <c r="H27" s="385">
        <v>0</v>
      </c>
      <c r="I27" s="382">
        <f t="shared" si="5"/>
        <v>629640</v>
      </c>
      <c r="J27" s="386">
        <f>SUM('１　対象経営の概要，２　前提条件'!$F$13:$F$16)</f>
        <v>30</v>
      </c>
      <c r="K27" s="383">
        <f t="shared" si="4"/>
        <v>0.03333333333333333</v>
      </c>
      <c r="L27" s="382">
        <f t="shared" si="2"/>
        <v>20988</v>
      </c>
      <c r="M27" s="23">
        <v>0</v>
      </c>
      <c r="N27" s="11">
        <f>L27*M27</f>
        <v>0</v>
      </c>
      <c r="O27" s="11">
        <v>7</v>
      </c>
      <c r="P27" s="325">
        <f>IF(O27="","",(L27-N27)/O27)</f>
        <v>2998.285714285714</v>
      </c>
    </row>
    <row r="28" spans="2:16" ht="13.5">
      <c r="B28" s="645"/>
      <c r="C28" s="446" t="s">
        <v>290</v>
      </c>
      <c r="D28" s="382"/>
      <c r="E28" s="382">
        <v>1</v>
      </c>
      <c r="F28" s="446" t="s">
        <v>103</v>
      </c>
      <c r="G28" s="382">
        <f>207900*1.08</f>
        <v>224532.00000000003</v>
      </c>
      <c r="H28" s="385">
        <v>0</v>
      </c>
      <c r="I28" s="382">
        <f t="shared" si="5"/>
        <v>224532.00000000003</v>
      </c>
      <c r="J28" s="386">
        <f>SUM('１　対象経営の概要，２　前提条件'!$F$13:$F$16)</f>
        <v>30</v>
      </c>
      <c r="K28" s="383">
        <f t="shared" si="4"/>
        <v>0.03333333333333333</v>
      </c>
      <c r="L28" s="382">
        <f t="shared" si="2"/>
        <v>7484.400000000001</v>
      </c>
      <c r="M28" s="23">
        <v>0</v>
      </c>
      <c r="N28" s="11">
        <f t="shared" si="3"/>
        <v>0</v>
      </c>
      <c r="O28" s="11">
        <v>7</v>
      </c>
      <c r="P28" s="325">
        <f t="shared" si="1"/>
        <v>1069.2</v>
      </c>
    </row>
    <row r="29" spans="2:16" ht="13.5">
      <c r="B29" s="645"/>
      <c r="C29" s="446" t="s">
        <v>373</v>
      </c>
      <c r="D29" s="446" t="s">
        <v>359</v>
      </c>
      <c r="E29" s="382">
        <v>1</v>
      </c>
      <c r="F29" s="446" t="s">
        <v>372</v>
      </c>
      <c r="G29" s="382">
        <v>17000000</v>
      </c>
      <c r="H29" s="385">
        <v>0</v>
      </c>
      <c r="I29" s="382">
        <f t="shared" si="5"/>
        <v>17000000</v>
      </c>
      <c r="J29" s="386">
        <f>SUM('１　対象経営の概要，２　前提条件'!$F$13:$F$15)</f>
        <v>30</v>
      </c>
      <c r="K29" s="383">
        <f>'１　対象経営の概要，２　前提条件'!$N$7/'１　対象経営の概要，２　前提条件'!$N$7/'１　対象経営の概要，２　前提条件'!$N$7</f>
        <v>0.03333333333333333</v>
      </c>
      <c r="L29" s="382">
        <f t="shared" si="2"/>
        <v>566666.6666666666</v>
      </c>
      <c r="M29" s="23">
        <v>0</v>
      </c>
      <c r="N29" s="11">
        <f t="shared" si="3"/>
        <v>0</v>
      </c>
      <c r="O29" s="11">
        <v>7</v>
      </c>
      <c r="P29" s="325">
        <f t="shared" si="1"/>
        <v>80952.38095238095</v>
      </c>
    </row>
    <row r="30" spans="2:16" ht="13.5">
      <c r="B30" s="645"/>
      <c r="C30" s="322" t="s">
        <v>371</v>
      </c>
      <c r="D30" s="38"/>
      <c r="E30" s="382">
        <v>1</v>
      </c>
      <c r="F30" s="446" t="s">
        <v>103</v>
      </c>
      <c r="G30" s="382">
        <f>268000*1.08</f>
        <v>289440</v>
      </c>
      <c r="H30" s="385">
        <v>0</v>
      </c>
      <c r="I30" s="382">
        <f t="shared" si="5"/>
        <v>289440</v>
      </c>
      <c r="J30" s="386">
        <f>SUM('１　対象経営の概要，２　前提条件'!$F$13:$F$16)</f>
        <v>30</v>
      </c>
      <c r="K30" s="383">
        <f t="shared" si="4"/>
        <v>0.03333333333333333</v>
      </c>
      <c r="L30" s="382">
        <f t="shared" si="2"/>
        <v>9648</v>
      </c>
      <c r="M30" s="23">
        <v>0</v>
      </c>
      <c r="N30" s="11">
        <f t="shared" si="3"/>
        <v>0</v>
      </c>
      <c r="O30" s="11">
        <v>7</v>
      </c>
      <c r="P30" s="325">
        <f t="shared" si="1"/>
        <v>1378.2857142857142</v>
      </c>
    </row>
    <row r="31" spans="2:16" ht="13.5">
      <c r="B31" s="645"/>
      <c r="C31" s="322" t="s">
        <v>308</v>
      </c>
      <c r="D31" s="38"/>
      <c r="E31" s="382">
        <v>1</v>
      </c>
      <c r="F31" s="446" t="s">
        <v>103</v>
      </c>
      <c r="G31" s="382">
        <f>3272000</f>
        <v>3272000</v>
      </c>
      <c r="H31" s="385">
        <v>0</v>
      </c>
      <c r="I31" s="382">
        <f t="shared" si="5"/>
        <v>3272000</v>
      </c>
      <c r="J31" s="386">
        <f>SUM('１　対象経営の概要，２　前提条件'!$F$13:$F$16)</f>
        <v>30</v>
      </c>
      <c r="K31" s="383">
        <f t="shared" si="4"/>
        <v>0.03333333333333333</v>
      </c>
      <c r="L31" s="382">
        <f t="shared" si="2"/>
        <v>109066.66666666667</v>
      </c>
      <c r="M31" s="23">
        <v>0</v>
      </c>
      <c r="N31" s="11">
        <f t="shared" si="3"/>
        <v>0</v>
      </c>
      <c r="O31" s="11">
        <v>7</v>
      </c>
      <c r="P31" s="325">
        <f t="shared" si="1"/>
        <v>15580.952380952382</v>
      </c>
    </row>
    <row r="32" spans="2:16" ht="13.5">
      <c r="B32" s="645"/>
      <c r="C32" s="322" t="s">
        <v>256</v>
      </c>
      <c r="D32" s="322" t="s">
        <v>411</v>
      </c>
      <c r="E32" s="382">
        <v>1</v>
      </c>
      <c r="F32" s="446" t="s">
        <v>103</v>
      </c>
      <c r="G32" s="382">
        <v>1500000</v>
      </c>
      <c r="H32" s="385">
        <v>0</v>
      </c>
      <c r="I32" s="382">
        <f t="shared" si="5"/>
        <v>1500000</v>
      </c>
      <c r="J32" s="386">
        <f>SUM('１　対象経営の概要，２　前提条件'!$F$13:$F$16)</f>
        <v>30</v>
      </c>
      <c r="K32" s="383">
        <f t="shared" si="4"/>
        <v>0.03333333333333333</v>
      </c>
      <c r="L32" s="382">
        <f t="shared" si="2"/>
        <v>50000</v>
      </c>
      <c r="M32" s="23">
        <v>0</v>
      </c>
      <c r="N32" s="11">
        <f t="shared" si="3"/>
        <v>0</v>
      </c>
      <c r="O32" s="11">
        <v>4</v>
      </c>
      <c r="P32" s="325">
        <f t="shared" si="1"/>
        <v>12500</v>
      </c>
    </row>
    <row r="33" spans="2:16" ht="13.5">
      <c r="B33" s="645"/>
      <c r="C33" s="322" t="s">
        <v>243</v>
      </c>
      <c r="D33" s="41"/>
      <c r="E33" s="382">
        <v>1</v>
      </c>
      <c r="F33" s="446" t="s">
        <v>103</v>
      </c>
      <c r="G33" s="382">
        <v>920000</v>
      </c>
      <c r="H33" s="385">
        <v>0</v>
      </c>
      <c r="I33" s="382">
        <f t="shared" si="5"/>
        <v>920000</v>
      </c>
      <c r="J33" s="386">
        <f>SUM('１　対象経営の概要，２　前提条件'!$F$13:$F$16)</f>
        <v>30</v>
      </c>
      <c r="K33" s="383">
        <f t="shared" si="4"/>
        <v>0.03333333333333333</v>
      </c>
      <c r="L33" s="382">
        <f t="shared" si="2"/>
        <v>30666.666666666668</v>
      </c>
      <c r="M33" s="23">
        <v>0</v>
      </c>
      <c r="N33" s="11">
        <f t="shared" si="3"/>
        <v>0</v>
      </c>
      <c r="O33" s="11">
        <v>4</v>
      </c>
      <c r="P33" s="325">
        <f t="shared" si="1"/>
        <v>7666.666666666667</v>
      </c>
    </row>
    <row r="34" spans="2:16" ht="13.5">
      <c r="B34" s="645"/>
      <c r="C34" s="322"/>
      <c r="D34" s="41"/>
      <c r="E34" s="382"/>
      <c r="F34" s="446"/>
      <c r="G34" s="382"/>
      <c r="H34" s="385"/>
      <c r="I34" s="382"/>
      <c r="J34" s="386"/>
      <c r="K34" s="383"/>
      <c r="L34" s="382"/>
      <c r="M34" s="23"/>
      <c r="N34" s="11"/>
      <c r="O34" s="11"/>
      <c r="P34" s="325"/>
    </row>
    <row r="35" spans="2:16" ht="13.5">
      <c r="B35" s="645"/>
      <c r="C35" s="322"/>
      <c r="D35" s="38"/>
      <c r="E35" s="382"/>
      <c r="F35" s="446"/>
      <c r="G35" s="382"/>
      <c r="H35" s="385"/>
      <c r="I35" s="382"/>
      <c r="J35" s="386"/>
      <c r="K35" s="383"/>
      <c r="L35" s="382"/>
      <c r="M35" s="23"/>
      <c r="N35" s="11"/>
      <c r="O35" s="11"/>
      <c r="P35" s="325"/>
    </row>
    <row r="36" spans="2:16" ht="13.5">
      <c r="B36" s="645"/>
      <c r="C36" s="322"/>
      <c r="D36" s="38"/>
      <c r="E36" s="382"/>
      <c r="F36" s="446"/>
      <c r="G36" s="382"/>
      <c r="H36" s="385"/>
      <c r="I36" s="382"/>
      <c r="J36" s="446"/>
      <c r="K36" s="383"/>
      <c r="L36" s="382"/>
      <c r="M36" s="23"/>
      <c r="N36" s="11"/>
      <c r="O36" s="11"/>
      <c r="P36" s="325"/>
    </row>
    <row r="37" spans="2:16" ht="13.5">
      <c r="B37" s="645"/>
      <c r="C37" s="322"/>
      <c r="D37" s="38"/>
      <c r="E37" s="38"/>
      <c r="F37" s="38"/>
      <c r="G37" s="382"/>
      <c r="H37" s="39"/>
      <c r="I37" s="38"/>
      <c r="J37" s="322"/>
      <c r="K37" s="383"/>
      <c r="L37" s="38"/>
      <c r="M37" s="23"/>
      <c r="N37" s="11"/>
      <c r="O37" s="11"/>
      <c r="P37" s="325"/>
    </row>
    <row r="38" spans="2:16" ht="13.5">
      <c r="B38" s="645"/>
      <c r="C38" s="322"/>
      <c r="D38" s="38"/>
      <c r="E38" s="38"/>
      <c r="F38" s="322"/>
      <c r="G38" s="382"/>
      <c r="H38" s="39"/>
      <c r="I38" s="38"/>
      <c r="J38" s="322"/>
      <c r="K38" s="383"/>
      <c r="L38" s="38"/>
      <c r="M38" s="23"/>
      <c r="N38" s="11"/>
      <c r="O38" s="11"/>
      <c r="P38" s="325"/>
    </row>
    <row r="39" spans="2:16" ht="13.5">
      <c r="B39" s="645"/>
      <c r="C39" s="322"/>
      <c r="D39" s="38"/>
      <c r="E39" s="38"/>
      <c r="F39" s="322"/>
      <c r="G39" s="382"/>
      <c r="H39" s="39"/>
      <c r="I39" s="38"/>
      <c r="J39" s="322"/>
      <c r="K39" s="383"/>
      <c r="L39" s="38"/>
      <c r="M39" s="23"/>
      <c r="N39" s="11"/>
      <c r="O39" s="11"/>
      <c r="P39" s="325"/>
    </row>
    <row r="40" spans="2:16" ht="13.5">
      <c r="B40" s="645"/>
      <c r="C40" s="38"/>
      <c r="D40" s="38"/>
      <c r="E40" s="38"/>
      <c r="F40" s="322"/>
      <c r="G40" s="382"/>
      <c r="H40" s="39"/>
      <c r="I40" s="38"/>
      <c r="J40" s="322"/>
      <c r="K40" s="383"/>
      <c r="L40" s="38"/>
      <c r="M40" s="23"/>
      <c r="N40" s="11"/>
      <c r="O40" s="11"/>
      <c r="P40" s="325"/>
    </row>
    <row r="41" spans="2:16" ht="13.5">
      <c r="B41" s="645"/>
      <c r="C41" s="322"/>
      <c r="D41" s="38"/>
      <c r="E41" s="38"/>
      <c r="F41" s="322"/>
      <c r="G41" s="382"/>
      <c r="H41" s="39"/>
      <c r="I41" s="38"/>
      <c r="J41" s="322"/>
      <c r="K41" s="383"/>
      <c r="L41" s="38"/>
      <c r="M41" s="23"/>
      <c r="N41" s="11"/>
      <c r="O41" s="11"/>
      <c r="P41" s="325"/>
    </row>
    <row r="42" spans="2:16" ht="13.5">
      <c r="B42" s="645"/>
      <c r="C42" s="322"/>
      <c r="D42" s="38"/>
      <c r="E42" s="38"/>
      <c r="F42" s="322"/>
      <c r="G42" s="382"/>
      <c r="H42" s="39"/>
      <c r="I42" s="38"/>
      <c r="J42" s="322"/>
      <c r="K42" s="383"/>
      <c r="L42" s="38"/>
      <c r="M42" s="23"/>
      <c r="N42" s="11"/>
      <c r="O42" s="11"/>
      <c r="P42" s="325"/>
    </row>
    <row r="43" spans="2:16" ht="13.5">
      <c r="B43" s="645"/>
      <c r="C43" s="355"/>
      <c r="D43" s="322"/>
      <c r="E43" s="355"/>
      <c r="F43" s="322"/>
      <c r="G43" s="382"/>
      <c r="H43" s="39"/>
      <c r="I43" s="38"/>
      <c r="J43" s="322"/>
      <c r="K43" s="383"/>
      <c r="L43" s="38"/>
      <c r="M43" s="23"/>
      <c r="N43" s="11"/>
      <c r="O43" s="11"/>
      <c r="P43" s="325"/>
    </row>
    <row r="44" spans="2:16" ht="13.5">
      <c r="B44" s="645"/>
      <c r="C44" s="355"/>
      <c r="D44" s="41"/>
      <c r="E44" s="355"/>
      <c r="F44" s="322"/>
      <c r="G44" s="382"/>
      <c r="H44" s="39"/>
      <c r="I44" s="38"/>
      <c r="J44" s="322"/>
      <c r="K44" s="383"/>
      <c r="L44" s="38"/>
      <c r="M44" s="23"/>
      <c r="N44" s="11"/>
      <c r="O44" s="11"/>
      <c r="P44" s="325"/>
    </row>
    <row r="45" spans="2:16" ht="13.5">
      <c r="B45" s="645"/>
      <c r="C45" s="355"/>
      <c r="D45" s="41"/>
      <c r="E45" s="355"/>
      <c r="F45" s="322"/>
      <c r="G45" s="382"/>
      <c r="H45" s="39"/>
      <c r="I45" s="38"/>
      <c r="J45" s="322"/>
      <c r="K45" s="383"/>
      <c r="L45" s="38"/>
      <c r="M45" s="23"/>
      <c r="N45" s="11"/>
      <c r="O45" s="11"/>
      <c r="P45" s="325"/>
    </row>
    <row r="46" spans="2:16" ht="13.5">
      <c r="B46" s="645"/>
      <c r="C46" s="38"/>
      <c r="D46" s="41"/>
      <c r="E46" s="38"/>
      <c r="F46" s="38"/>
      <c r="G46" s="382"/>
      <c r="H46" s="39"/>
      <c r="I46" s="38"/>
      <c r="J46" s="41"/>
      <c r="K46" s="383"/>
      <c r="L46" s="38"/>
      <c r="M46" s="23"/>
      <c r="N46" s="11"/>
      <c r="O46" s="11"/>
      <c r="P46" s="325"/>
    </row>
    <row r="47" spans="2:16" ht="13.5">
      <c r="B47" s="645"/>
      <c r="C47" s="38"/>
      <c r="D47" s="41"/>
      <c r="E47" s="38"/>
      <c r="F47" s="38"/>
      <c r="G47" s="382"/>
      <c r="H47" s="39"/>
      <c r="I47" s="38"/>
      <c r="J47" s="41"/>
      <c r="K47" s="383"/>
      <c r="L47" s="38"/>
      <c r="M47" s="23"/>
      <c r="N47" s="11"/>
      <c r="O47" s="11"/>
      <c r="P47" s="325"/>
    </row>
    <row r="48" spans="2:18" ht="13.5">
      <c r="B48" s="646"/>
      <c r="C48" s="44" t="s">
        <v>46</v>
      </c>
      <c r="D48" s="44"/>
      <c r="E48" s="44"/>
      <c r="F48" s="45"/>
      <c r="G48" s="44">
        <f>SUM(G16:G44)</f>
        <v>59330892</v>
      </c>
      <c r="H48" s="44"/>
      <c r="I48" s="44">
        <f>SUM(I16:I44)</f>
        <v>44053752</v>
      </c>
      <c r="J48" s="44"/>
      <c r="K48" s="46"/>
      <c r="L48" s="44">
        <f>SUM(L16:L44)</f>
        <v>1468458.4000000001</v>
      </c>
      <c r="M48" s="25"/>
      <c r="N48" s="25"/>
      <c r="O48" s="25"/>
      <c r="P48" s="326">
        <f>SUM(P16:P44)</f>
        <v>218422.62857142856</v>
      </c>
      <c r="R48" s="25"/>
    </row>
    <row r="49" spans="2:16" ht="13.5">
      <c r="B49" s="644" t="s">
        <v>146</v>
      </c>
      <c r="C49" s="38"/>
      <c r="D49" s="38"/>
      <c r="E49" s="38"/>
      <c r="F49" s="41"/>
      <c r="G49" s="38"/>
      <c r="H49" s="47"/>
      <c r="I49" s="38">
        <f>G49*(1-H49)</f>
        <v>0</v>
      </c>
      <c r="J49" s="41"/>
      <c r="K49" s="40"/>
      <c r="L49" s="38">
        <f>I49*K49</f>
        <v>0</v>
      </c>
      <c r="M49" s="36"/>
      <c r="N49" s="11">
        <f>L49*M49</f>
        <v>0</v>
      </c>
      <c r="O49" s="11"/>
      <c r="P49" s="325">
        <f>IF(O49="","",(L49-N49)/O49)</f>
      </c>
    </row>
    <row r="50" spans="2:16" ht="13.5">
      <c r="B50" s="645"/>
      <c r="C50" s="38"/>
      <c r="D50" s="38"/>
      <c r="E50" s="38"/>
      <c r="F50" s="41"/>
      <c r="G50" s="38"/>
      <c r="H50" s="47"/>
      <c r="I50" s="38">
        <f>G50*(1-H50)</f>
        <v>0</v>
      </c>
      <c r="J50" s="38"/>
      <c r="K50" s="40"/>
      <c r="L50" s="38">
        <f>I50*K50</f>
        <v>0</v>
      </c>
      <c r="M50" s="36"/>
      <c r="N50" s="11">
        <f>L50*M50</f>
        <v>0</v>
      </c>
      <c r="O50" s="11"/>
      <c r="P50" s="325">
        <f>IF(O50="","",(L50-N50)/O50)</f>
      </c>
    </row>
    <row r="51" spans="2:16" ht="13.5">
      <c r="B51" s="645"/>
      <c r="C51" s="11"/>
      <c r="D51" s="11"/>
      <c r="E51" s="11"/>
      <c r="F51" s="22"/>
      <c r="G51" s="11"/>
      <c r="H51" s="36"/>
      <c r="I51" s="11">
        <f>G51*(1-H51)</f>
        <v>0</v>
      </c>
      <c r="J51" s="11"/>
      <c r="K51" s="37"/>
      <c r="L51" s="11">
        <f>I51*K51</f>
        <v>0</v>
      </c>
      <c r="M51" s="36"/>
      <c r="N51" s="11">
        <f>L51*M51</f>
        <v>0</v>
      </c>
      <c r="O51" s="11"/>
      <c r="P51" s="325">
        <f>IF(O51="","",(L51-N51)/O51)</f>
      </c>
    </row>
    <row r="52" spans="2:16" ht="13.5">
      <c r="B52" s="645"/>
      <c r="C52" s="11"/>
      <c r="D52" s="11"/>
      <c r="E52" s="11"/>
      <c r="F52" s="22"/>
      <c r="G52" s="11"/>
      <c r="H52" s="36"/>
      <c r="I52" s="11">
        <f>G52*(1-H52)</f>
        <v>0</v>
      </c>
      <c r="J52" s="11"/>
      <c r="K52" s="37"/>
      <c r="L52" s="11">
        <f>I52*K52</f>
        <v>0</v>
      </c>
      <c r="M52" s="36"/>
      <c r="N52" s="11">
        <f>L52*M52</f>
        <v>0</v>
      </c>
      <c r="O52" s="11"/>
      <c r="P52" s="325">
        <f>IF(O52="","",(L52-N52)/O52)</f>
      </c>
    </row>
    <row r="53" spans="2:18" ht="13.5">
      <c r="B53" s="646"/>
      <c r="C53" s="29" t="s">
        <v>46</v>
      </c>
      <c r="D53" s="25"/>
      <c r="E53" s="25"/>
      <c r="F53" s="26"/>
      <c r="G53" s="25">
        <f>SUM(G49:G52)</f>
        <v>0</v>
      </c>
      <c r="H53" s="25"/>
      <c r="I53" s="25">
        <f>SUM(I49:I52)</f>
        <v>0</v>
      </c>
      <c r="J53" s="25"/>
      <c r="K53" s="27"/>
      <c r="L53" s="25">
        <f>SUM(L49:L52)</f>
        <v>0</v>
      </c>
      <c r="M53" s="25"/>
      <c r="N53" s="25"/>
      <c r="O53" s="25"/>
      <c r="P53" s="326">
        <f>SUM(P49:P52)</f>
        <v>0</v>
      </c>
      <c r="R53" s="25"/>
    </row>
    <row r="54" spans="2:18" ht="14.25" thickBot="1">
      <c r="B54" s="30"/>
      <c r="C54" s="31" t="s">
        <v>102</v>
      </c>
      <c r="D54" s="32"/>
      <c r="E54" s="32"/>
      <c r="F54" s="33"/>
      <c r="G54" s="32">
        <f>G15+G48+G53</f>
        <v>80263992</v>
      </c>
      <c r="H54" s="32"/>
      <c r="I54" s="32">
        <f>I15+I48+I53</f>
        <v>64986852</v>
      </c>
      <c r="J54" s="32"/>
      <c r="K54" s="34"/>
      <c r="L54" s="32">
        <f>L15+L48+L53</f>
        <v>2166228.4000000004</v>
      </c>
      <c r="M54" s="32"/>
      <c r="N54" s="32"/>
      <c r="O54" s="32"/>
      <c r="P54" s="327">
        <f>P15+P48+P53</f>
        <v>254935.62857142856</v>
      </c>
      <c r="R54" s="25"/>
    </row>
    <row r="55" ht="11.25" customHeight="1"/>
  </sheetData>
  <sheetProtection/>
  <mergeCells count="9">
    <mergeCell ref="J3:J4"/>
    <mergeCell ref="B49:B53"/>
    <mergeCell ref="B16:B48"/>
    <mergeCell ref="B5:B15"/>
    <mergeCell ref="F2:G2"/>
    <mergeCell ref="B3:B4"/>
    <mergeCell ref="C3:C4"/>
    <mergeCell ref="D3:D4"/>
    <mergeCell ref="E3:F3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8" scale="88" r:id="rId1"/>
  <headerFooter alignWithMargins="0">
    <oddHeader>&amp;R&amp;A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W4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.625" style="143" customWidth="1"/>
    <col min="2" max="2" width="5.875" style="143" customWidth="1"/>
    <col min="3" max="3" width="10.625" style="143" customWidth="1"/>
    <col min="4" max="4" width="12.375" style="143" customWidth="1"/>
    <col min="5" max="5" width="14.625" style="143" customWidth="1"/>
    <col min="6" max="7" width="15.875" style="143" customWidth="1"/>
    <col min="8" max="8" width="10.875" style="143" customWidth="1"/>
    <col min="9" max="9" width="11.375" style="143" bestFit="1" customWidth="1"/>
    <col min="10" max="10" width="13.375" style="143" customWidth="1"/>
    <col min="11" max="11" width="7.125" style="143" customWidth="1"/>
    <col min="12" max="12" width="15.375" style="143" customWidth="1"/>
    <col min="13" max="13" width="9.375" style="143" bestFit="1" customWidth="1"/>
    <col min="14" max="14" width="10.875" style="143" customWidth="1"/>
    <col min="15" max="15" width="7.25390625" style="143" customWidth="1"/>
    <col min="16" max="16" width="9.625" style="143" customWidth="1"/>
    <col min="17" max="17" width="10.875" style="143" customWidth="1"/>
    <col min="18" max="18" width="7.50390625" style="143" customWidth="1"/>
    <col min="19" max="19" width="3.75390625" style="143" customWidth="1"/>
    <col min="20" max="16384" width="10.875" style="143" customWidth="1"/>
  </cols>
  <sheetData>
    <row r="1" spans="2:19" s="144" customFormat="1" ht="9.7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2:18" s="144" customFormat="1" ht="24.75" customHeight="1" thickBot="1">
      <c r="B2" s="144" t="s">
        <v>108</v>
      </c>
      <c r="H2" s="145" t="s">
        <v>259</v>
      </c>
      <c r="I2" s="3" t="s">
        <v>403</v>
      </c>
      <c r="K2" s="145" t="s">
        <v>260</v>
      </c>
      <c r="L2" s="3" t="s">
        <v>262</v>
      </c>
      <c r="N2" s="143"/>
      <c r="O2" s="143"/>
      <c r="Q2" s="4"/>
      <c r="R2" s="4"/>
    </row>
    <row r="3" spans="2:19" s="144" customFormat="1" ht="18" customHeight="1">
      <c r="B3" s="705" t="s">
        <v>20</v>
      </c>
      <c r="C3" s="706"/>
      <c r="D3" s="706"/>
      <c r="E3" s="707"/>
      <c r="F3" s="171" t="s">
        <v>21</v>
      </c>
      <c r="G3" s="147"/>
      <c r="H3" s="148" t="s">
        <v>22</v>
      </c>
      <c r="I3" s="146"/>
      <c r="J3" s="146"/>
      <c r="K3" s="682" t="s">
        <v>224</v>
      </c>
      <c r="L3" s="683"/>
      <c r="M3" s="683"/>
      <c r="N3" s="683"/>
      <c r="O3" s="683"/>
      <c r="P3" s="683"/>
      <c r="Q3" s="683"/>
      <c r="R3" s="683"/>
      <c r="S3" s="684"/>
    </row>
    <row r="4" spans="2:19" s="144" customFormat="1" ht="18" customHeight="1">
      <c r="B4" s="690" t="s">
        <v>23</v>
      </c>
      <c r="C4" s="691"/>
      <c r="D4" s="237" t="s">
        <v>217</v>
      </c>
      <c r="E4" s="252"/>
      <c r="F4" s="246">
        <f>+R11</f>
        <v>918000</v>
      </c>
      <c r="G4" s="237" t="s">
        <v>200</v>
      </c>
      <c r="H4" s="157"/>
      <c r="I4" s="157"/>
      <c r="J4" s="157"/>
      <c r="K4" s="243" t="s">
        <v>57</v>
      </c>
      <c r="L4" s="319" t="s">
        <v>264</v>
      </c>
      <c r="M4" s="244" t="s">
        <v>24</v>
      </c>
      <c r="N4" s="244" t="s">
        <v>23</v>
      </c>
      <c r="O4" s="244" t="s">
        <v>57</v>
      </c>
      <c r="P4" s="319" t="s">
        <v>265</v>
      </c>
      <c r="Q4" s="244" t="s">
        <v>24</v>
      </c>
      <c r="R4" s="685" t="s">
        <v>23</v>
      </c>
      <c r="S4" s="686"/>
    </row>
    <row r="5" spans="2:19" s="144" customFormat="1" ht="18" customHeight="1">
      <c r="B5" s="690"/>
      <c r="C5" s="691"/>
      <c r="D5" s="237" t="s">
        <v>91</v>
      </c>
      <c r="E5" s="252"/>
      <c r="F5" s="246">
        <v>0</v>
      </c>
      <c r="G5" s="209"/>
      <c r="H5" s="226"/>
      <c r="I5" s="226"/>
      <c r="J5" s="226"/>
      <c r="K5" s="245" t="s">
        <v>161</v>
      </c>
      <c r="L5" s="246">
        <f>5100*('１　対象経営の概要，２　前提条件'!AM26)/('１　対象経営の概要，２　前提条件'!AB26+'１　対象経営の概要，２　前提条件'!AM26+'１　対象経営の概要，２　前提条件'!AB28)</f>
        <v>5100</v>
      </c>
      <c r="M5" s="246">
        <v>180</v>
      </c>
      <c r="N5" s="246">
        <f aca="true" t="shared" si="0" ref="N5:N11">L5*M5</f>
        <v>918000</v>
      </c>
      <c r="O5" s="246"/>
      <c r="P5" s="246"/>
      <c r="Q5" s="246"/>
      <c r="R5" s="681">
        <f>P5*Q5</f>
        <v>0</v>
      </c>
      <c r="S5" s="663"/>
    </row>
    <row r="6" spans="2:19" s="144" customFormat="1" ht="18" customHeight="1">
      <c r="B6" s="711" t="s">
        <v>222</v>
      </c>
      <c r="C6" s="708" t="s">
        <v>208</v>
      </c>
      <c r="D6" s="246" t="s">
        <v>59</v>
      </c>
      <c r="E6" s="247"/>
      <c r="F6" s="246">
        <f>+P13</f>
        <v>17700</v>
      </c>
      <c r="G6" s="209" t="s">
        <v>201</v>
      </c>
      <c r="H6" s="226"/>
      <c r="I6" s="226"/>
      <c r="J6" s="226"/>
      <c r="K6" s="251"/>
      <c r="L6" s="363"/>
      <c r="M6" s="246"/>
      <c r="N6" s="246">
        <f t="shared" si="0"/>
        <v>0</v>
      </c>
      <c r="O6" s="246"/>
      <c r="P6" s="246"/>
      <c r="Q6" s="246"/>
      <c r="R6" s="681">
        <f>P6*Q6</f>
        <v>0</v>
      </c>
      <c r="S6" s="663"/>
    </row>
    <row r="7" spans="2:19" s="144" customFormat="1" ht="18" customHeight="1">
      <c r="B7" s="712"/>
      <c r="C7" s="709"/>
      <c r="D7" s="246" t="s">
        <v>60</v>
      </c>
      <c r="E7" s="247"/>
      <c r="F7" s="246">
        <f>P22</f>
        <v>108939.15</v>
      </c>
      <c r="G7" s="237" t="s">
        <v>437</v>
      </c>
      <c r="H7" s="157"/>
      <c r="I7" s="157"/>
      <c r="J7" s="253"/>
      <c r="K7" s="249"/>
      <c r="L7" s="364"/>
      <c r="M7" s="246"/>
      <c r="N7" s="246">
        <f t="shared" si="0"/>
        <v>0</v>
      </c>
      <c r="O7" s="246"/>
      <c r="P7" s="246"/>
      <c r="Q7" s="246"/>
      <c r="R7" s="681">
        <f>P7*Q7</f>
        <v>0</v>
      </c>
      <c r="S7" s="663"/>
    </row>
    <row r="8" spans="2:19" s="144" customFormat="1" ht="18" customHeight="1">
      <c r="B8" s="712"/>
      <c r="C8" s="709"/>
      <c r="D8" s="246" t="s">
        <v>61</v>
      </c>
      <c r="E8" s="247"/>
      <c r="F8" s="246">
        <f>P28</f>
        <v>62280.01016666667</v>
      </c>
      <c r="G8" s="209" t="s">
        <v>438</v>
      </c>
      <c r="H8" s="226"/>
      <c r="I8" s="226"/>
      <c r="J8" s="254"/>
      <c r="K8" s="247"/>
      <c r="L8" s="246"/>
      <c r="M8" s="246"/>
      <c r="N8" s="246">
        <f t="shared" si="0"/>
        <v>0</v>
      </c>
      <c r="O8" s="246"/>
      <c r="P8" s="246"/>
      <c r="Q8" s="246"/>
      <c r="R8" s="681">
        <f>P8*Q8</f>
        <v>0</v>
      </c>
      <c r="S8" s="663"/>
    </row>
    <row r="9" spans="2:19" s="144" customFormat="1" ht="18" customHeight="1">
      <c r="B9" s="712"/>
      <c r="C9" s="709"/>
      <c r="D9" s="246" t="s">
        <v>92</v>
      </c>
      <c r="E9" s="247"/>
      <c r="F9" s="246">
        <f>P37</f>
        <v>35807.680799999995</v>
      </c>
      <c r="G9" s="209" t="s">
        <v>439</v>
      </c>
      <c r="H9" s="226"/>
      <c r="I9" s="226"/>
      <c r="J9" s="254"/>
      <c r="K9" s="247"/>
      <c r="L9" s="246"/>
      <c r="M9" s="246"/>
      <c r="N9" s="246">
        <f t="shared" si="0"/>
        <v>0</v>
      </c>
      <c r="O9" s="246"/>
      <c r="P9" s="246"/>
      <c r="Q9" s="246"/>
      <c r="R9" s="681">
        <f>P9*Q9</f>
        <v>0</v>
      </c>
      <c r="S9" s="663"/>
    </row>
    <row r="10" spans="2:19" s="144" customFormat="1" ht="18" customHeight="1">
      <c r="B10" s="712"/>
      <c r="C10" s="709"/>
      <c r="D10" s="246" t="s">
        <v>62</v>
      </c>
      <c r="E10" s="247"/>
      <c r="F10" s="246">
        <f>'８－１　水稲算出基礎（コシヒカリ）'!V21</f>
        <v>5806.666666666667</v>
      </c>
      <c r="G10" s="661"/>
      <c r="H10" s="662"/>
      <c r="I10" s="662"/>
      <c r="J10" s="663"/>
      <c r="K10" s="247"/>
      <c r="L10" s="246"/>
      <c r="M10" s="246"/>
      <c r="N10" s="246">
        <f t="shared" si="0"/>
        <v>0</v>
      </c>
      <c r="O10" s="246"/>
      <c r="P10" s="246"/>
      <c r="Q10" s="246"/>
      <c r="R10" s="681"/>
      <c r="S10" s="663"/>
    </row>
    <row r="11" spans="2:19" s="144" customFormat="1" ht="18" customHeight="1" thickBot="1">
      <c r="B11" s="712"/>
      <c r="C11" s="709"/>
      <c r="D11" s="246" t="s">
        <v>6</v>
      </c>
      <c r="E11" s="247"/>
      <c r="F11" s="246">
        <f>'８－１　水稲算出基礎（コシヒカリ）'!V34</f>
        <v>83.33333333333333</v>
      </c>
      <c r="G11" s="661"/>
      <c r="H11" s="662"/>
      <c r="I11" s="662"/>
      <c r="J11" s="663"/>
      <c r="K11" s="162"/>
      <c r="L11" s="150"/>
      <c r="M11" s="150"/>
      <c r="N11" s="149">
        <f t="shared" si="0"/>
        <v>0</v>
      </c>
      <c r="O11" s="151" t="s">
        <v>25</v>
      </c>
      <c r="P11" s="152">
        <f>SUM(L5:L11,P5:Q10)</f>
        <v>5100</v>
      </c>
      <c r="Q11" s="153">
        <f>R11/P11</f>
        <v>180</v>
      </c>
      <c r="R11" s="692">
        <f>SUM(N5:N11,R5:S10)</f>
        <v>918000</v>
      </c>
      <c r="S11" s="693"/>
    </row>
    <row r="12" spans="2:19" s="144" customFormat="1" ht="18" customHeight="1" thickTop="1">
      <c r="B12" s="712"/>
      <c r="C12" s="709"/>
      <c r="D12" s="246" t="s">
        <v>7</v>
      </c>
      <c r="E12" s="247"/>
      <c r="F12" s="246">
        <v>10800</v>
      </c>
      <c r="G12" s="209"/>
      <c r="H12" s="226" t="s">
        <v>380</v>
      </c>
      <c r="I12" s="226"/>
      <c r="J12" s="254"/>
      <c r="K12" s="678" t="s">
        <v>223</v>
      </c>
      <c r="L12" s="239" t="s">
        <v>170</v>
      </c>
      <c r="M12" s="240" t="s">
        <v>9</v>
      </c>
      <c r="N12" s="321" t="s">
        <v>263</v>
      </c>
      <c r="O12" s="241" t="s">
        <v>24</v>
      </c>
      <c r="P12" s="241" t="s">
        <v>27</v>
      </c>
      <c r="Q12" s="694" t="s">
        <v>28</v>
      </c>
      <c r="R12" s="695"/>
      <c r="S12" s="696"/>
    </row>
    <row r="13" spans="2:19" s="144" customFormat="1" ht="18" customHeight="1">
      <c r="B13" s="712"/>
      <c r="C13" s="709"/>
      <c r="D13" s="687" t="s">
        <v>63</v>
      </c>
      <c r="E13" s="255" t="s">
        <v>196</v>
      </c>
      <c r="F13" s="358">
        <f>'６　資本装備と減価償却'!L15*'７－１　水稲部門（コシヒカリ）収支'!H13</f>
        <v>6977.7</v>
      </c>
      <c r="G13" s="209" t="s">
        <v>202</v>
      </c>
      <c r="H13" s="421">
        <v>0.01</v>
      </c>
      <c r="I13" s="676" t="s">
        <v>204</v>
      </c>
      <c r="J13" s="677"/>
      <c r="K13" s="679"/>
      <c r="L13" s="242" t="s">
        <v>151</v>
      </c>
      <c r="M13" s="238" t="s">
        <v>162</v>
      </c>
      <c r="N13" s="174">
        <f>30*('１　対象経営の概要，２　前提条件'!AB26+'１　対象経営の概要，２　前提条件'!AM26)/('１　対象経営の概要，２　前提条件'!AB26+'１　対象経営の概要，２　前提条件'!AM26+'１　対象経営の概要，２　前提条件'!AB28)</f>
        <v>30</v>
      </c>
      <c r="O13" s="174">
        <v>590</v>
      </c>
      <c r="P13" s="174">
        <f>N13*O13</f>
        <v>17700</v>
      </c>
      <c r="Q13" s="670" t="s">
        <v>258</v>
      </c>
      <c r="R13" s="671"/>
      <c r="S13" s="672"/>
    </row>
    <row r="14" spans="2:19" s="144" customFormat="1" ht="18" customHeight="1">
      <c r="B14" s="712"/>
      <c r="C14" s="709"/>
      <c r="D14" s="688"/>
      <c r="E14" s="255" t="s">
        <v>197</v>
      </c>
      <c r="F14" s="246">
        <f>'６　資本装備と減価償却'!L48*'７－１　水稲部門（コシヒカリ）収支'!H14</f>
        <v>73422.92000000001</v>
      </c>
      <c r="G14" s="209" t="s">
        <v>202</v>
      </c>
      <c r="H14" s="421">
        <v>0.05</v>
      </c>
      <c r="I14" s="676" t="s">
        <v>204</v>
      </c>
      <c r="J14" s="677"/>
      <c r="K14" s="679"/>
      <c r="L14" s="242"/>
      <c r="M14" s="238" t="s">
        <v>162</v>
      </c>
      <c r="N14" s="174"/>
      <c r="O14" s="174"/>
      <c r="P14" s="174">
        <f>N14*O14</f>
        <v>0</v>
      </c>
      <c r="Q14" s="670"/>
      <c r="R14" s="671"/>
      <c r="S14" s="672"/>
    </row>
    <row r="15" spans="2:19" s="144" customFormat="1" ht="18" customHeight="1" thickBot="1">
      <c r="B15" s="712"/>
      <c r="C15" s="709"/>
      <c r="D15" s="687" t="s">
        <v>93</v>
      </c>
      <c r="E15" s="255" t="s">
        <v>196</v>
      </c>
      <c r="F15" s="246">
        <f>'６　資本装備と減価償却'!P15</f>
        <v>36513</v>
      </c>
      <c r="G15" s="209" t="s">
        <v>204</v>
      </c>
      <c r="H15" s="226"/>
      <c r="I15" s="226"/>
      <c r="J15" s="254"/>
      <c r="K15" s="679"/>
      <c r="L15" s="156" t="s">
        <v>29</v>
      </c>
      <c r="M15" s="155"/>
      <c r="N15" s="156"/>
      <c r="O15" s="156"/>
      <c r="P15" s="156">
        <f>SUM(P13:P14)</f>
        <v>17700</v>
      </c>
      <c r="Q15" s="664"/>
      <c r="R15" s="665"/>
      <c r="S15" s="666"/>
    </row>
    <row r="16" spans="2:19" s="144" customFormat="1" ht="18" customHeight="1" thickTop="1">
      <c r="B16" s="712"/>
      <c r="C16" s="709"/>
      <c r="D16" s="689"/>
      <c r="E16" s="255" t="s">
        <v>197</v>
      </c>
      <c r="F16" s="246">
        <f>'６　資本装備と減価償却'!P48</f>
        <v>218422.62857142856</v>
      </c>
      <c r="G16" s="209" t="s">
        <v>204</v>
      </c>
      <c r="H16" s="226"/>
      <c r="I16" s="226"/>
      <c r="J16" s="254"/>
      <c r="K16" s="679"/>
      <c r="L16" s="233" t="s">
        <v>171</v>
      </c>
      <c r="M16" s="234"/>
      <c r="N16" s="320" t="s">
        <v>263</v>
      </c>
      <c r="O16" s="235" t="s">
        <v>24</v>
      </c>
      <c r="P16" s="236" t="s">
        <v>27</v>
      </c>
      <c r="Q16" s="667" t="s">
        <v>28</v>
      </c>
      <c r="R16" s="668"/>
      <c r="S16" s="669"/>
    </row>
    <row r="17" spans="2:19" s="144" customFormat="1" ht="18" customHeight="1">
      <c r="B17" s="712"/>
      <c r="C17" s="709"/>
      <c r="D17" s="688"/>
      <c r="E17" s="246" t="s">
        <v>64</v>
      </c>
      <c r="F17" s="246">
        <f>'６　資本装備と減価償却'!P53</f>
        <v>0</v>
      </c>
      <c r="G17" s="209" t="s">
        <v>204</v>
      </c>
      <c r="H17" s="226"/>
      <c r="I17" s="226"/>
      <c r="J17" s="254"/>
      <c r="K17" s="679"/>
      <c r="L17" s="237" t="s">
        <v>177</v>
      </c>
      <c r="M17" s="238"/>
      <c r="N17" s="209" t="s">
        <v>326</v>
      </c>
      <c r="O17" s="230"/>
      <c r="P17" s="228">
        <f>'８－１　水稲算出基礎（コシヒカリ）'!G7</f>
        <v>0</v>
      </c>
      <c r="Q17" s="655"/>
      <c r="R17" s="656"/>
      <c r="S17" s="657"/>
    </row>
    <row r="18" spans="1:19" s="144" customFormat="1" ht="18" customHeight="1">
      <c r="A18" s="143"/>
      <c r="B18" s="712"/>
      <c r="C18" s="709"/>
      <c r="D18" s="725" t="s">
        <v>268</v>
      </c>
      <c r="E18" s="250" t="s">
        <v>127</v>
      </c>
      <c r="F18" s="246">
        <v>0</v>
      </c>
      <c r="G18" s="209"/>
      <c r="H18" s="226"/>
      <c r="I18" s="226"/>
      <c r="J18" s="254"/>
      <c r="K18" s="679"/>
      <c r="L18" s="237" t="s">
        <v>175</v>
      </c>
      <c r="M18" s="238"/>
      <c r="N18" s="209" t="s">
        <v>281</v>
      </c>
      <c r="O18" s="230"/>
      <c r="P18" s="228">
        <f>'８－１　水稲算出基礎（コシヒカリ）'!G11</f>
        <v>38400</v>
      </c>
      <c r="Q18" s="655"/>
      <c r="R18" s="656"/>
      <c r="S18" s="657"/>
    </row>
    <row r="19" spans="1:19" s="144" customFormat="1" ht="18" customHeight="1">
      <c r="A19" s="143"/>
      <c r="B19" s="712"/>
      <c r="C19" s="709"/>
      <c r="D19" s="725"/>
      <c r="E19" s="250" t="s">
        <v>123</v>
      </c>
      <c r="F19" s="246">
        <f>J19*'５　水稲（食用米，加工用米）作業時間'!AO34</f>
        <v>37290.00000000001</v>
      </c>
      <c r="G19" s="209"/>
      <c r="H19" s="226"/>
      <c r="I19" s="265" t="s">
        <v>339</v>
      </c>
      <c r="J19" s="422">
        <v>1100</v>
      </c>
      <c r="K19" s="679"/>
      <c r="L19" s="209" t="s">
        <v>176</v>
      </c>
      <c r="M19" s="226"/>
      <c r="N19" s="209" t="s">
        <v>281</v>
      </c>
      <c r="O19" s="230"/>
      <c r="P19" s="228">
        <f>'８－１　水稲算出基礎（コシヒカリ）'!G16</f>
        <v>56175</v>
      </c>
      <c r="Q19" s="655"/>
      <c r="R19" s="656"/>
      <c r="S19" s="657"/>
    </row>
    <row r="20" spans="1:19" s="144" customFormat="1" ht="18" customHeight="1">
      <c r="A20" s="143"/>
      <c r="B20" s="712"/>
      <c r="C20" s="709"/>
      <c r="D20" s="725"/>
      <c r="E20" s="250" t="s">
        <v>124</v>
      </c>
      <c r="F20" s="246">
        <f>J20*'５　水稲（食用米，加工用米）作業時間'!AP34</f>
        <v>55800</v>
      </c>
      <c r="G20" s="209"/>
      <c r="H20" s="226"/>
      <c r="I20" s="265" t="s">
        <v>340</v>
      </c>
      <c r="J20" s="422">
        <v>900</v>
      </c>
      <c r="K20" s="679"/>
      <c r="L20" s="209"/>
      <c r="M20" s="226"/>
      <c r="N20" s="209"/>
      <c r="O20" s="230"/>
      <c r="P20" s="228">
        <f>'８－１　水稲算出基礎（コシヒカリ）'!G20</f>
        <v>0</v>
      </c>
      <c r="Q20" s="655"/>
      <c r="R20" s="656"/>
      <c r="S20" s="657"/>
    </row>
    <row r="21" spans="1:19" s="144" customFormat="1" ht="18" customHeight="1">
      <c r="A21" s="143"/>
      <c r="B21" s="712"/>
      <c r="C21" s="709"/>
      <c r="D21" s="725"/>
      <c r="E21" s="250" t="s">
        <v>125</v>
      </c>
      <c r="F21" s="246">
        <f>(F19+F20)*0.012</f>
        <v>1117.08</v>
      </c>
      <c r="G21" s="209"/>
      <c r="H21" s="226"/>
      <c r="I21" s="226"/>
      <c r="J21" s="254"/>
      <c r="K21" s="679"/>
      <c r="L21" s="209" t="s">
        <v>179</v>
      </c>
      <c r="M21" s="226"/>
      <c r="N21" s="209" t="s">
        <v>326</v>
      </c>
      <c r="O21" s="228"/>
      <c r="P21" s="228">
        <f>'８－１　水稲算出基礎（コシヒカリ）'!G24</f>
        <v>14364.15</v>
      </c>
      <c r="Q21" s="655"/>
      <c r="R21" s="656"/>
      <c r="S21" s="657"/>
    </row>
    <row r="22" spans="1:19" s="144" customFormat="1" ht="18" customHeight="1" thickBot="1">
      <c r="A22" s="143"/>
      <c r="B22" s="712"/>
      <c r="C22" s="709"/>
      <c r="D22" s="725" t="s">
        <v>65</v>
      </c>
      <c r="E22" s="250" t="s">
        <v>66</v>
      </c>
      <c r="F22" s="246">
        <f>I22*10</f>
        <v>23760</v>
      </c>
      <c r="G22" s="209"/>
      <c r="H22" s="226"/>
      <c r="I22" s="226">
        <v>2376</v>
      </c>
      <c r="J22" s="254" t="s">
        <v>338</v>
      </c>
      <c r="K22" s="679"/>
      <c r="L22" s="156" t="s">
        <v>29</v>
      </c>
      <c r="M22" s="155"/>
      <c r="N22" s="156"/>
      <c r="O22" s="156"/>
      <c r="P22" s="156">
        <f>SUM(P17:P21)</f>
        <v>108939.15</v>
      </c>
      <c r="Q22" s="664"/>
      <c r="R22" s="665"/>
      <c r="S22" s="666"/>
    </row>
    <row r="23" spans="1:19" s="144" customFormat="1" ht="18" customHeight="1" thickTop="1">
      <c r="A23" s="143"/>
      <c r="B23" s="712"/>
      <c r="C23" s="709"/>
      <c r="D23" s="725"/>
      <c r="E23" s="250" t="s">
        <v>94</v>
      </c>
      <c r="F23" s="246">
        <f>I23*10</f>
        <v>50000</v>
      </c>
      <c r="G23" s="209"/>
      <c r="H23" s="226"/>
      <c r="I23" s="226">
        <v>5000</v>
      </c>
      <c r="J23" s="254" t="s">
        <v>338</v>
      </c>
      <c r="K23" s="679"/>
      <c r="L23" s="209" t="s">
        <v>172</v>
      </c>
      <c r="M23" s="226"/>
      <c r="N23" s="227" t="s">
        <v>26</v>
      </c>
      <c r="O23" s="227" t="s">
        <v>24</v>
      </c>
      <c r="P23" s="227" t="s">
        <v>27</v>
      </c>
      <c r="Q23" s="667" t="s">
        <v>28</v>
      </c>
      <c r="R23" s="668"/>
      <c r="S23" s="669"/>
    </row>
    <row r="24" spans="1:19" s="144" customFormat="1" ht="18" customHeight="1">
      <c r="A24" s="143"/>
      <c r="B24" s="712"/>
      <c r="C24" s="709"/>
      <c r="D24" s="246" t="s">
        <v>67</v>
      </c>
      <c r="E24" s="247"/>
      <c r="F24" s="246">
        <f>I24*10</f>
        <v>30000</v>
      </c>
      <c r="G24" s="209"/>
      <c r="H24" s="226"/>
      <c r="I24" s="423">
        <v>3000</v>
      </c>
      <c r="J24" s="254" t="s">
        <v>338</v>
      </c>
      <c r="K24" s="679"/>
      <c r="L24" s="228" t="s">
        <v>30</v>
      </c>
      <c r="M24" s="226"/>
      <c r="N24" s="209" t="s">
        <v>328</v>
      </c>
      <c r="O24" s="228"/>
      <c r="P24" s="228">
        <f>'８－１　水稲算出基礎（コシヒカリ）'!G38</f>
        <v>5222.634</v>
      </c>
      <c r="Q24" s="655"/>
      <c r="R24" s="656"/>
      <c r="S24" s="657"/>
    </row>
    <row r="25" spans="1:19" s="144" customFormat="1" ht="18" customHeight="1">
      <c r="A25" s="143"/>
      <c r="B25" s="712"/>
      <c r="C25" s="709"/>
      <c r="D25" s="246" t="s">
        <v>174</v>
      </c>
      <c r="E25" s="247"/>
      <c r="F25" s="246">
        <f>SUM(F6:F24)/99</f>
        <v>7825.456257960558</v>
      </c>
      <c r="G25" s="256" t="s">
        <v>225</v>
      </c>
      <c r="H25" s="270">
        <v>0.01</v>
      </c>
      <c r="I25" s="157"/>
      <c r="J25" s="424"/>
      <c r="K25" s="679"/>
      <c r="L25" s="228" t="s">
        <v>329</v>
      </c>
      <c r="M25" s="226"/>
      <c r="N25" s="209" t="s">
        <v>281</v>
      </c>
      <c r="O25" s="228"/>
      <c r="P25" s="228">
        <f>'８－１　水稲算出基礎（コシヒカリ）'!G49</f>
        <v>4090.863</v>
      </c>
      <c r="Q25" s="655"/>
      <c r="R25" s="656"/>
      <c r="S25" s="657"/>
    </row>
    <row r="26" spans="1:19" s="144" customFormat="1" ht="18" customHeight="1">
      <c r="A26" s="143"/>
      <c r="B26" s="712"/>
      <c r="C26" s="710"/>
      <c r="D26" s="702" t="s">
        <v>216</v>
      </c>
      <c r="E26" s="703"/>
      <c r="F26" s="172">
        <f>SUM(F6:F25)</f>
        <v>782545.6257960558</v>
      </c>
      <c r="G26" s="228"/>
      <c r="H26" s="157"/>
      <c r="I26" s="157"/>
      <c r="J26" s="253"/>
      <c r="K26" s="679"/>
      <c r="L26" s="228" t="s">
        <v>32</v>
      </c>
      <c r="M26" s="226"/>
      <c r="N26" s="209" t="s">
        <v>326</v>
      </c>
      <c r="O26" s="228"/>
      <c r="P26" s="228">
        <f>'８－１　水稲算出基礎（コシヒカリ）'!G53</f>
        <v>24330</v>
      </c>
      <c r="Q26" s="655"/>
      <c r="R26" s="656"/>
      <c r="S26" s="657"/>
    </row>
    <row r="27" spans="1:19" s="144" customFormat="1" ht="18" customHeight="1">
      <c r="A27" s="143"/>
      <c r="B27" s="712"/>
      <c r="C27" s="697" t="s">
        <v>203</v>
      </c>
      <c r="D27" s="619" t="s">
        <v>68</v>
      </c>
      <c r="E27" s="57" t="s">
        <v>3</v>
      </c>
      <c r="F27" s="149">
        <f>P11/30*J27</f>
        <v>13600</v>
      </c>
      <c r="G27" s="237"/>
      <c r="H27" s="226"/>
      <c r="I27" s="154" t="s">
        <v>345</v>
      </c>
      <c r="J27" s="360">
        <v>80</v>
      </c>
      <c r="K27" s="679"/>
      <c r="L27" s="228" t="s">
        <v>327</v>
      </c>
      <c r="M27" s="226"/>
      <c r="N27" s="209" t="s">
        <v>330</v>
      </c>
      <c r="O27" s="228"/>
      <c r="P27" s="228">
        <f>'８－１　水稲算出基礎（コシヒカリ）'!G57</f>
        <v>28636.513166666664</v>
      </c>
      <c r="Q27" s="655"/>
      <c r="R27" s="656"/>
      <c r="S27" s="657"/>
    </row>
    <row r="28" spans="1:19" s="144" customFormat="1" ht="18" customHeight="1" thickBot="1">
      <c r="A28" s="143"/>
      <c r="B28" s="712"/>
      <c r="C28" s="698"/>
      <c r="D28" s="622"/>
      <c r="E28" s="57" t="s">
        <v>4</v>
      </c>
      <c r="F28" s="173">
        <v>0</v>
      </c>
      <c r="G28" s="237"/>
      <c r="H28" s="257"/>
      <c r="I28" s="257"/>
      <c r="J28" s="258"/>
      <c r="K28" s="679"/>
      <c r="L28" s="156" t="s">
        <v>29</v>
      </c>
      <c r="M28" s="155"/>
      <c r="N28" s="156"/>
      <c r="O28" s="156"/>
      <c r="P28" s="156">
        <f>SUM(P24:P27)</f>
        <v>62280.01016666667</v>
      </c>
      <c r="Q28" s="664"/>
      <c r="R28" s="665"/>
      <c r="S28" s="666"/>
    </row>
    <row r="29" spans="1:19" s="144" customFormat="1" ht="18" customHeight="1" thickTop="1">
      <c r="A29" s="143"/>
      <c r="B29" s="712"/>
      <c r="C29" s="698"/>
      <c r="D29" s="620"/>
      <c r="E29" s="57" t="s">
        <v>8</v>
      </c>
      <c r="F29" s="149">
        <f>P11/30*J29</f>
        <v>4250</v>
      </c>
      <c r="G29" s="237"/>
      <c r="H29" s="157"/>
      <c r="I29" s="257" t="s">
        <v>346</v>
      </c>
      <c r="J29" s="361">
        <v>25</v>
      </c>
      <c r="K29" s="679"/>
      <c r="L29" s="209" t="s">
        <v>173</v>
      </c>
      <c r="M29" s="226"/>
      <c r="N29" s="227" t="s">
        <v>26</v>
      </c>
      <c r="O29" s="227" t="s">
        <v>24</v>
      </c>
      <c r="P29" s="227" t="s">
        <v>27</v>
      </c>
      <c r="Q29" s="667" t="s">
        <v>28</v>
      </c>
      <c r="R29" s="668"/>
      <c r="S29" s="669"/>
    </row>
    <row r="30" spans="1:19" s="144" customFormat="1" ht="18" customHeight="1">
      <c r="A30" s="143"/>
      <c r="B30" s="712"/>
      <c r="C30" s="698"/>
      <c r="D30" s="57" t="s">
        <v>69</v>
      </c>
      <c r="E30" s="58"/>
      <c r="F30" s="149">
        <v>0</v>
      </c>
      <c r="G30" s="237"/>
      <c r="H30" s="157"/>
      <c r="I30" s="257"/>
      <c r="J30" s="259"/>
      <c r="K30" s="679"/>
      <c r="L30" s="228" t="s">
        <v>163</v>
      </c>
      <c r="M30" s="229"/>
      <c r="N30" s="209" t="s">
        <v>331</v>
      </c>
      <c r="O30" s="230"/>
      <c r="P30" s="228">
        <f>'８－１　水稲算出基礎（コシヒカリ）'!N12</f>
        <v>9638.859999999999</v>
      </c>
      <c r="Q30" s="673"/>
      <c r="R30" s="674"/>
      <c r="S30" s="675"/>
    </row>
    <row r="31" spans="1:19" s="144" customFormat="1" ht="18" customHeight="1">
      <c r="A31" s="143"/>
      <c r="B31" s="712"/>
      <c r="C31" s="698"/>
      <c r="D31" s="603" t="s">
        <v>269</v>
      </c>
      <c r="E31" s="67" t="s">
        <v>127</v>
      </c>
      <c r="F31" s="149">
        <v>0</v>
      </c>
      <c r="G31" s="237"/>
      <c r="H31" s="260"/>
      <c r="I31" s="260"/>
      <c r="J31" s="261"/>
      <c r="K31" s="679"/>
      <c r="L31" s="228" t="s">
        <v>164</v>
      </c>
      <c r="M31" s="229"/>
      <c r="N31" s="209" t="s">
        <v>332</v>
      </c>
      <c r="O31" s="230"/>
      <c r="P31" s="228">
        <f>'８－１　水稲算出基礎（コシヒカリ）'!N16</f>
        <v>1463.6159999999998</v>
      </c>
      <c r="Q31" s="673"/>
      <c r="R31" s="674"/>
      <c r="S31" s="675"/>
    </row>
    <row r="32" spans="1:19" s="144" customFormat="1" ht="18" customHeight="1">
      <c r="A32" s="143"/>
      <c r="B32" s="712"/>
      <c r="C32" s="698"/>
      <c r="D32" s="603"/>
      <c r="E32" s="67" t="s">
        <v>126</v>
      </c>
      <c r="F32" s="149">
        <v>0</v>
      </c>
      <c r="G32" s="237"/>
      <c r="H32" s="262"/>
      <c r="I32" s="262"/>
      <c r="J32" s="263"/>
      <c r="K32" s="679"/>
      <c r="L32" s="228" t="s">
        <v>166</v>
      </c>
      <c r="M32" s="226"/>
      <c r="N32" s="230"/>
      <c r="O32" s="230"/>
      <c r="P32" s="228">
        <f>SUM(P30:P31)*R32</f>
        <v>3330.7427999999995</v>
      </c>
      <c r="Q32" s="231" t="s">
        <v>165</v>
      </c>
      <c r="R32" s="232">
        <v>0.3</v>
      </c>
      <c r="S32" s="158"/>
    </row>
    <row r="33" spans="2:19" ht="18" customHeight="1">
      <c r="B33" s="712"/>
      <c r="C33" s="698"/>
      <c r="D33" s="57" t="s">
        <v>70</v>
      </c>
      <c r="E33" s="68"/>
      <c r="F33" s="149">
        <v>0</v>
      </c>
      <c r="G33" s="237"/>
      <c r="H33" s="264"/>
      <c r="I33" s="265"/>
      <c r="J33" s="259"/>
      <c r="K33" s="679"/>
      <c r="L33" s="228" t="s">
        <v>167</v>
      </c>
      <c r="M33" s="229"/>
      <c r="N33" s="209"/>
      <c r="O33" s="230"/>
      <c r="P33" s="228">
        <f>'８－１　水稲算出基礎（コシヒカリ）'!N20</f>
        <v>0</v>
      </c>
      <c r="Q33" s="655"/>
      <c r="R33" s="656"/>
      <c r="S33" s="657"/>
    </row>
    <row r="34" spans="2:19" ht="18" customHeight="1">
      <c r="B34" s="712"/>
      <c r="C34" s="698"/>
      <c r="D34" s="57" t="s">
        <v>95</v>
      </c>
      <c r="E34" s="68"/>
      <c r="F34" s="149">
        <v>0</v>
      </c>
      <c r="G34" s="237"/>
      <c r="H34" s="266"/>
      <c r="I34" s="267"/>
      <c r="J34" s="268"/>
      <c r="K34" s="679"/>
      <c r="L34" s="228" t="s">
        <v>168</v>
      </c>
      <c r="M34" s="229"/>
      <c r="N34" s="209" t="s">
        <v>332</v>
      </c>
      <c r="O34" s="230"/>
      <c r="P34" s="228">
        <f>'８－１　水稲算出基礎（コシヒカリ）'!N24</f>
        <v>17563.242</v>
      </c>
      <c r="Q34" s="655"/>
      <c r="R34" s="656"/>
      <c r="S34" s="657"/>
    </row>
    <row r="35" spans="2:19" ht="18" customHeight="1">
      <c r="B35" s="712"/>
      <c r="C35" s="698"/>
      <c r="D35" s="57" t="s">
        <v>130</v>
      </c>
      <c r="E35" s="58"/>
      <c r="F35" s="173">
        <f>'８－１　水稲算出基礎（コシヒカリ）'!V57</f>
        <v>7952.777777777778</v>
      </c>
      <c r="G35" s="237"/>
      <c r="H35" s="312"/>
      <c r="I35" s="312"/>
      <c r="J35" s="313"/>
      <c r="K35" s="679"/>
      <c r="L35" s="228" t="s">
        <v>267</v>
      </c>
      <c r="M35" s="229"/>
      <c r="N35" s="209"/>
      <c r="O35" s="230"/>
      <c r="P35" s="228">
        <f>'８－１　水稲算出基礎（コシヒカリ）'!N28</f>
        <v>0</v>
      </c>
      <c r="Q35" s="655"/>
      <c r="R35" s="656"/>
      <c r="S35" s="657"/>
    </row>
    <row r="36" spans="2:19" ht="18" customHeight="1">
      <c r="B36" s="712"/>
      <c r="C36" s="698"/>
      <c r="D36" s="78" t="s">
        <v>96</v>
      </c>
      <c r="E36" s="79"/>
      <c r="F36" s="269">
        <v>0</v>
      </c>
      <c r="G36" s="209"/>
      <c r="H36" s="266"/>
      <c r="I36" s="267"/>
      <c r="J36" s="259"/>
      <c r="K36" s="679"/>
      <c r="L36" s="228" t="s">
        <v>169</v>
      </c>
      <c r="M36" s="226"/>
      <c r="N36" s="209" t="s">
        <v>333</v>
      </c>
      <c r="O36" s="230"/>
      <c r="P36" s="228">
        <f>'８－１　水稲算出基礎（コシヒカリ）'!N32</f>
        <v>3811.2200000000003</v>
      </c>
      <c r="Q36" s="655"/>
      <c r="R36" s="656"/>
      <c r="S36" s="657"/>
    </row>
    <row r="37" spans="2:19" ht="18" customHeight="1" thickBot="1">
      <c r="B37" s="712"/>
      <c r="C37" s="698"/>
      <c r="D37" s="57" t="s">
        <v>71</v>
      </c>
      <c r="E37" s="58"/>
      <c r="F37" s="173">
        <f>'８－１　水稲算出基礎（コシヒカリ）'!N57</f>
        <v>4073.9673333333335</v>
      </c>
      <c r="G37" s="237"/>
      <c r="H37" s="312"/>
      <c r="I37" s="312"/>
      <c r="J37" s="313"/>
      <c r="K37" s="680"/>
      <c r="L37" s="165" t="s">
        <v>29</v>
      </c>
      <c r="M37" s="164"/>
      <c r="N37" s="165"/>
      <c r="O37" s="165"/>
      <c r="P37" s="165">
        <f>SUM(P30:P36)</f>
        <v>35807.680799999995</v>
      </c>
      <c r="Q37" s="658"/>
      <c r="R37" s="659"/>
      <c r="S37" s="660"/>
    </row>
    <row r="38" spans="1:10" s="159" customFormat="1" ht="18" customHeight="1">
      <c r="A38" s="143"/>
      <c r="B38" s="712"/>
      <c r="C38" s="698"/>
      <c r="D38" s="57" t="s">
        <v>0</v>
      </c>
      <c r="E38" s="68"/>
      <c r="F38" s="173">
        <v>0</v>
      </c>
      <c r="G38" s="237"/>
      <c r="H38" s="266"/>
      <c r="I38" s="267"/>
      <c r="J38" s="259"/>
    </row>
    <row r="39" spans="1:20" s="159" customFormat="1" ht="18" customHeight="1" thickBot="1">
      <c r="A39" s="143"/>
      <c r="B39" s="713"/>
      <c r="C39" s="699"/>
      <c r="D39" s="700" t="s">
        <v>215</v>
      </c>
      <c r="E39" s="701"/>
      <c r="F39" s="216">
        <f>SUM(F27:F38)</f>
        <v>29876.74511111111</v>
      </c>
      <c r="G39" s="425"/>
      <c r="H39" s="426"/>
      <c r="I39" s="427"/>
      <c r="J39" s="428"/>
      <c r="T39" s="160"/>
    </row>
    <row r="40" spans="1:23" s="159" customFormat="1" ht="18" customHeight="1">
      <c r="A40" s="143"/>
      <c r="B40" s="714" t="s">
        <v>219</v>
      </c>
      <c r="C40" s="717" t="s">
        <v>73</v>
      </c>
      <c r="D40" s="212" t="s">
        <v>129</v>
      </c>
      <c r="E40" s="213"/>
      <c r="F40" s="214">
        <f>J40*10</f>
        <v>75000</v>
      </c>
      <c r="G40" s="209"/>
      <c r="H40" s="704" t="s">
        <v>442</v>
      </c>
      <c r="I40" s="704"/>
      <c r="J40" s="362">
        <v>7500</v>
      </c>
      <c r="T40" s="144"/>
      <c r="U40" s="144"/>
      <c r="V40" s="144"/>
      <c r="W40" s="144"/>
    </row>
    <row r="41" spans="1:23" s="159" customFormat="1" ht="18" customHeight="1">
      <c r="A41" s="143"/>
      <c r="B41" s="715"/>
      <c r="C41" s="718"/>
      <c r="D41" s="57" t="s">
        <v>128</v>
      </c>
      <c r="E41" s="58"/>
      <c r="F41" s="207">
        <v>0</v>
      </c>
      <c r="G41" s="209"/>
      <c r="H41" s="166"/>
      <c r="I41" s="166"/>
      <c r="J41" s="224"/>
      <c r="T41" s="161"/>
      <c r="U41" s="162"/>
      <c r="V41" s="163"/>
      <c r="W41" s="161"/>
    </row>
    <row r="42" spans="1:23" s="159" customFormat="1" ht="18" customHeight="1">
      <c r="A42" s="143"/>
      <c r="B42" s="715"/>
      <c r="C42" s="719"/>
      <c r="D42" s="78" t="s">
        <v>72</v>
      </c>
      <c r="E42" s="58"/>
      <c r="F42" s="207">
        <v>0</v>
      </c>
      <c r="G42" s="209"/>
      <c r="H42" s="166"/>
      <c r="I42" s="166"/>
      <c r="J42" s="224"/>
      <c r="T42" s="144"/>
      <c r="U42" s="144"/>
      <c r="V42" s="144"/>
      <c r="W42" s="144"/>
    </row>
    <row r="43" spans="2:23" s="159" customFormat="1" ht="18" customHeight="1">
      <c r="B43" s="715"/>
      <c r="C43" s="720" t="s">
        <v>218</v>
      </c>
      <c r="D43" s="78" t="s">
        <v>270</v>
      </c>
      <c r="E43" s="79"/>
      <c r="F43" s="207">
        <v>0</v>
      </c>
      <c r="G43" s="209"/>
      <c r="H43" s="166"/>
      <c r="I43" s="166"/>
      <c r="J43" s="224"/>
      <c r="T43" s="145"/>
      <c r="U43" s="160"/>
      <c r="V43" s="144"/>
      <c r="W43" s="161"/>
    </row>
    <row r="44" spans="2:23" s="159" customFormat="1" ht="18" customHeight="1">
      <c r="B44" s="715"/>
      <c r="C44" s="721"/>
      <c r="D44" s="80" t="s">
        <v>1</v>
      </c>
      <c r="E44" s="81"/>
      <c r="F44" s="207">
        <v>0</v>
      </c>
      <c r="G44" s="209"/>
      <c r="H44" s="166"/>
      <c r="I44" s="166"/>
      <c r="J44" s="224"/>
      <c r="T44" s="145"/>
      <c r="U44" s="160"/>
      <c r="V44" s="144"/>
      <c r="W44" s="161"/>
    </row>
    <row r="45" spans="2:23" s="159" customFormat="1" ht="18" customHeight="1" thickBot="1">
      <c r="B45" s="716"/>
      <c r="C45" s="722" t="s">
        <v>98</v>
      </c>
      <c r="D45" s="723"/>
      <c r="E45" s="724"/>
      <c r="F45" s="208">
        <f>SUM(F40:F42)-SUM(F43:F44)</f>
        <v>75000</v>
      </c>
      <c r="G45" s="167"/>
      <c r="H45" s="168"/>
      <c r="I45" s="168"/>
      <c r="J45" s="225"/>
      <c r="T45" s="144"/>
      <c r="U45" s="144"/>
      <c r="V45" s="162"/>
      <c r="W45" s="144"/>
    </row>
  </sheetData>
  <sheetProtection/>
  <mergeCells count="57">
    <mergeCell ref="H40:I40"/>
    <mergeCell ref="B3:E3"/>
    <mergeCell ref="C6:C26"/>
    <mergeCell ref="B6:B39"/>
    <mergeCell ref="B40:B45"/>
    <mergeCell ref="C40:C42"/>
    <mergeCell ref="C43:C44"/>
    <mergeCell ref="C45:E45"/>
    <mergeCell ref="D18:D21"/>
    <mergeCell ref="D22:D23"/>
    <mergeCell ref="C27:C39"/>
    <mergeCell ref="D27:D29"/>
    <mergeCell ref="D31:D32"/>
    <mergeCell ref="D39:E39"/>
    <mergeCell ref="Q15:S15"/>
    <mergeCell ref="Q21:S21"/>
    <mergeCell ref="D26:E26"/>
    <mergeCell ref="Q27:S27"/>
    <mergeCell ref="Q28:S28"/>
    <mergeCell ref="Q29:S29"/>
    <mergeCell ref="Q30:S30"/>
    <mergeCell ref="D13:D14"/>
    <mergeCell ref="D15:D17"/>
    <mergeCell ref="B4:C5"/>
    <mergeCell ref="R11:S11"/>
    <mergeCell ref="Q12:S12"/>
    <mergeCell ref="R10:S10"/>
    <mergeCell ref="I13:J13"/>
    <mergeCell ref="G10:J10"/>
    <mergeCell ref="Q14:S14"/>
    <mergeCell ref="R9:S9"/>
    <mergeCell ref="K3:S3"/>
    <mergeCell ref="R6:S6"/>
    <mergeCell ref="R7:S7"/>
    <mergeCell ref="R8:S8"/>
    <mergeCell ref="R4:S4"/>
    <mergeCell ref="R5:S5"/>
    <mergeCell ref="Q18:S18"/>
    <mergeCell ref="Q31:S31"/>
    <mergeCell ref="Q35:S35"/>
    <mergeCell ref="I14:J14"/>
    <mergeCell ref="K12:K37"/>
    <mergeCell ref="Q20:S20"/>
    <mergeCell ref="Q24:S24"/>
    <mergeCell ref="Q25:S25"/>
    <mergeCell ref="Q26:S26"/>
    <mergeCell ref="Q16:S16"/>
    <mergeCell ref="Q19:S19"/>
    <mergeCell ref="Q36:S36"/>
    <mergeCell ref="Q37:S37"/>
    <mergeCell ref="G11:J11"/>
    <mergeCell ref="Q33:S33"/>
    <mergeCell ref="Q34:S34"/>
    <mergeCell ref="Q22:S22"/>
    <mergeCell ref="Q23:S23"/>
    <mergeCell ref="Q13:S13"/>
    <mergeCell ref="Q17:S17"/>
  </mergeCells>
  <printOptions/>
  <pageMargins left="1.1811023622047245" right="0.7874015748031497" top="0.7874015748031497" bottom="0.7874015748031497" header="0.3937007874015748" footer="0.3937007874015748"/>
  <pageSetup fitToHeight="1" fitToWidth="1" horizontalDpi="600" verticalDpi="600" orientation="landscape" paperSize="9" scale="65" r:id="rId1"/>
  <headerFooter alignWithMargins="0">
    <oddHeader>&amp;R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W4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.625" style="143" customWidth="1"/>
    <col min="2" max="2" width="5.875" style="143" customWidth="1"/>
    <col min="3" max="3" width="10.625" style="143" customWidth="1"/>
    <col min="4" max="4" width="12.375" style="143" customWidth="1"/>
    <col min="5" max="5" width="14.625" style="143" customWidth="1"/>
    <col min="6" max="7" width="15.875" style="143" customWidth="1"/>
    <col min="8" max="8" width="10.875" style="143" customWidth="1"/>
    <col min="9" max="9" width="11.375" style="143" bestFit="1" customWidth="1"/>
    <col min="10" max="10" width="13.375" style="143" customWidth="1"/>
    <col min="11" max="11" width="7.125" style="143" customWidth="1"/>
    <col min="12" max="12" width="15.375" style="143" customWidth="1"/>
    <col min="13" max="13" width="9.375" style="143" bestFit="1" customWidth="1"/>
    <col min="14" max="14" width="10.875" style="143" customWidth="1"/>
    <col min="15" max="15" width="7.25390625" style="143" customWidth="1"/>
    <col min="16" max="16" width="9.625" style="143" customWidth="1"/>
    <col min="17" max="17" width="10.875" style="143" customWidth="1"/>
    <col min="18" max="18" width="7.50390625" style="143" customWidth="1"/>
    <col min="19" max="19" width="3.75390625" style="143" customWidth="1"/>
    <col min="20" max="16384" width="10.875" style="143" customWidth="1"/>
  </cols>
  <sheetData>
    <row r="1" spans="2:19" s="144" customFormat="1" ht="9.7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2:18" s="144" customFormat="1" ht="24.75" customHeight="1" thickBot="1">
      <c r="B2" s="3" t="s">
        <v>404</v>
      </c>
      <c r="H2" s="145" t="s">
        <v>259</v>
      </c>
      <c r="I2" s="3" t="s">
        <v>405</v>
      </c>
      <c r="K2" s="145" t="s">
        <v>260</v>
      </c>
      <c r="L2" s="3" t="s">
        <v>262</v>
      </c>
      <c r="N2" s="143"/>
      <c r="O2" s="143"/>
      <c r="Q2" s="4"/>
      <c r="R2" s="4"/>
    </row>
    <row r="3" spans="2:19" s="144" customFormat="1" ht="18" customHeight="1">
      <c r="B3" s="705" t="s">
        <v>20</v>
      </c>
      <c r="C3" s="706"/>
      <c r="D3" s="706"/>
      <c r="E3" s="707"/>
      <c r="F3" s="171" t="s">
        <v>21</v>
      </c>
      <c r="G3" s="147"/>
      <c r="H3" s="148" t="s">
        <v>22</v>
      </c>
      <c r="I3" s="146"/>
      <c r="J3" s="146"/>
      <c r="K3" s="682" t="s">
        <v>224</v>
      </c>
      <c r="L3" s="683"/>
      <c r="M3" s="683"/>
      <c r="N3" s="683"/>
      <c r="O3" s="683"/>
      <c r="P3" s="683"/>
      <c r="Q3" s="683"/>
      <c r="R3" s="683"/>
      <c r="S3" s="684"/>
    </row>
    <row r="4" spans="2:19" s="144" customFormat="1" ht="18" customHeight="1">
      <c r="B4" s="690" t="s">
        <v>23</v>
      </c>
      <c r="C4" s="691"/>
      <c r="D4" s="237" t="s">
        <v>217</v>
      </c>
      <c r="E4" s="252"/>
      <c r="F4" s="246">
        <f>+R11</f>
        <v>858000</v>
      </c>
      <c r="G4" s="237" t="s">
        <v>200</v>
      </c>
      <c r="H4" s="157"/>
      <c r="I4" s="157"/>
      <c r="J4" s="157"/>
      <c r="K4" s="243" t="s">
        <v>57</v>
      </c>
      <c r="L4" s="319" t="s">
        <v>264</v>
      </c>
      <c r="M4" s="244" t="s">
        <v>24</v>
      </c>
      <c r="N4" s="244" t="s">
        <v>23</v>
      </c>
      <c r="O4" s="244" t="s">
        <v>57</v>
      </c>
      <c r="P4" s="319" t="s">
        <v>264</v>
      </c>
      <c r="Q4" s="244" t="s">
        <v>24</v>
      </c>
      <c r="R4" s="685" t="s">
        <v>23</v>
      </c>
      <c r="S4" s="686"/>
    </row>
    <row r="5" spans="2:19" s="144" customFormat="1" ht="18" customHeight="1">
      <c r="B5" s="690"/>
      <c r="C5" s="691"/>
      <c r="D5" s="237" t="s">
        <v>91</v>
      </c>
      <c r="E5" s="252"/>
      <c r="F5" s="246">
        <v>0</v>
      </c>
      <c r="G5" s="209"/>
      <c r="H5" s="226"/>
      <c r="I5" s="226"/>
      <c r="J5" s="226"/>
      <c r="K5" s="245" t="s">
        <v>374</v>
      </c>
      <c r="L5" s="246">
        <f>6000*('１　対象経営の概要，２　前提条件'!AM27)/('１　対象経営の概要，２　前提条件'!AB27+'１　対象経営の概要，２　前提条件'!AM27)</f>
        <v>6000</v>
      </c>
      <c r="M5" s="246">
        <v>143</v>
      </c>
      <c r="N5" s="246">
        <f aca="true" t="shared" si="0" ref="N5:N11">L5*M5</f>
        <v>858000</v>
      </c>
      <c r="O5" s="246"/>
      <c r="P5" s="246"/>
      <c r="Q5" s="246"/>
      <c r="R5" s="681">
        <f>P5*Q5</f>
        <v>0</v>
      </c>
      <c r="S5" s="663"/>
    </row>
    <row r="6" spans="2:19" s="144" customFormat="1" ht="18" customHeight="1">
      <c r="B6" s="711" t="s">
        <v>222</v>
      </c>
      <c r="C6" s="708" t="s">
        <v>208</v>
      </c>
      <c r="D6" s="246" t="s">
        <v>59</v>
      </c>
      <c r="E6" s="247"/>
      <c r="F6" s="246">
        <f>P15</f>
        <v>16500</v>
      </c>
      <c r="G6" s="209" t="s">
        <v>201</v>
      </c>
      <c r="H6" s="226"/>
      <c r="I6" s="226"/>
      <c r="J6" s="226"/>
      <c r="K6" s="251"/>
      <c r="L6" s="248"/>
      <c r="M6" s="246"/>
      <c r="N6" s="246">
        <f t="shared" si="0"/>
        <v>0</v>
      </c>
      <c r="O6" s="246"/>
      <c r="P6" s="246"/>
      <c r="Q6" s="246"/>
      <c r="R6" s="681">
        <f>P6*Q6</f>
        <v>0</v>
      </c>
      <c r="S6" s="663"/>
    </row>
    <row r="7" spans="2:19" s="144" customFormat="1" ht="18" customHeight="1">
      <c r="B7" s="712"/>
      <c r="C7" s="709"/>
      <c r="D7" s="246" t="s">
        <v>60</v>
      </c>
      <c r="E7" s="247"/>
      <c r="F7" s="246">
        <f>P22</f>
        <v>132764.15</v>
      </c>
      <c r="G7" s="237" t="s">
        <v>437</v>
      </c>
      <c r="H7" s="157"/>
      <c r="I7" s="157"/>
      <c r="J7" s="253"/>
      <c r="K7" s="249"/>
      <c r="L7" s="250"/>
      <c r="M7" s="246"/>
      <c r="N7" s="246">
        <f t="shared" si="0"/>
        <v>0</v>
      </c>
      <c r="O7" s="246"/>
      <c r="P7" s="246"/>
      <c r="Q7" s="246"/>
      <c r="R7" s="681">
        <f>P7*Q7</f>
        <v>0</v>
      </c>
      <c r="S7" s="663"/>
    </row>
    <row r="8" spans="2:19" s="144" customFormat="1" ht="18" customHeight="1">
      <c r="B8" s="712"/>
      <c r="C8" s="709"/>
      <c r="D8" s="246" t="s">
        <v>61</v>
      </c>
      <c r="E8" s="247"/>
      <c r="F8" s="246">
        <f>P28</f>
        <v>62280.01016666667</v>
      </c>
      <c r="G8" s="209" t="s">
        <v>438</v>
      </c>
      <c r="H8" s="226"/>
      <c r="I8" s="226"/>
      <c r="J8" s="254"/>
      <c r="K8" s="247"/>
      <c r="L8" s="246"/>
      <c r="M8" s="246"/>
      <c r="N8" s="246">
        <f t="shared" si="0"/>
        <v>0</v>
      </c>
      <c r="O8" s="246"/>
      <c r="P8" s="246"/>
      <c r="Q8" s="246"/>
      <c r="R8" s="681">
        <f>P8*Q8</f>
        <v>0</v>
      </c>
      <c r="S8" s="663"/>
    </row>
    <row r="9" spans="2:19" s="144" customFormat="1" ht="18" customHeight="1">
      <c r="B9" s="712"/>
      <c r="C9" s="709"/>
      <c r="D9" s="246" t="s">
        <v>92</v>
      </c>
      <c r="E9" s="247"/>
      <c r="F9" s="246">
        <f>P37</f>
        <v>35807.680799999995</v>
      </c>
      <c r="G9" s="209" t="s">
        <v>439</v>
      </c>
      <c r="H9" s="226"/>
      <c r="I9" s="226"/>
      <c r="J9" s="254"/>
      <c r="K9" s="247"/>
      <c r="L9" s="246"/>
      <c r="M9" s="246"/>
      <c r="N9" s="246">
        <f t="shared" si="0"/>
        <v>0</v>
      </c>
      <c r="O9" s="246"/>
      <c r="P9" s="246"/>
      <c r="Q9" s="246"/>
      <c r="R9" s="681">
        <f>P9*Q9</f>
        <v>0</v>
      </c>
      <c r="S9" s="663"/>
    </row>
    <row r="10" spans="2:19" s="144" customFormat="1" ht="18" customHeight="1">
      <c r="B10" s="712"/>
      <c r="C10" s="709"/>
      <c r="D10" s="246" t="s">
        <v>62</v>
      </c>
      <c r="E10" s="247"/>
      <c r="F10" s="246">
        <f>'８－２　水稲算出基礎（こいもみじ） '!V21</f>
        <v>5806.666666666667</v>
      </c>
      <c r="G10" s="661"/>
      <c r="H10" s="662"/>
      <c r="I10" s="662"/>
      <c r="J10" s="663"/>
      <c r="K10" s="247"/>
      <c r="L10" s="246"/>
      <c r="M10" s="246"/>
      <c r="N10" s="246">
        <f t="shared" si="0"/>
        <v>0</v>
      </c>
      <c r="O10" s="246"/>
      <c r="P10" s="246"/>
      <c r="Q10" s="246"/>
      <c r="R10" s="681"/>
      <c r="S10" s="663"/>
    </row>
    <row r="11" spans="2:19" s="144" customFormat="1" ht="18" customHeight="1" thickBot="1">
      <c r="B11" s="712"/>
      <c r="C11" s="709"/>
      <c r="D11" s="246" t="s">
        <v>6</v>
      </c>
      <c r="E11" s="247"/>
      <c r="F11" s="246">
        <f>'８－２　水稲算出基礎（こいもみじ） '!V34</f>
        <v>83.33333333333333</v>
      </c>
      <c r="G11" s="661"/>
      <c r="H11" s="662"/>
      <c r="I11" s="662"/>
      <c r="J11" s="663"/>
      <c r="K11" s="162"/>
      <c r="L11" s="150"/>
      <c r="M11" s="150"/>
      <c r="N11" s="149">
        <f t="shared" si="0"/>
        <v>0</v>
      </c>
      <c r="O11" s="151" t="s">
        <v>25</v>
      </c>
      <c r="P11" s="152">
        <f>SUM(L5:L11,P5:Q10)</f>
        <v>6000</v>
      </c>
      <c r="Q11" s="153">
        <f>R11/P11</f>
        <v>143</v>
      </c>
      <c r="R11" s="692">
        <f>SUM(N5:N11,R5:S10)</f>
        <v>858000</v>
      </c>
      <c r="S11" s="693"/>
    </row>
    <row r="12" spans="2:19" s="144" customFormat="1" ht="18" customHeight="1" thickTop="1">
      <c r="B12" s="712"/>
      <c r="C12" s="709"/>
      <c r="D12" s="246" t="s">
        <v>7</v>
      </c>
      <c r="E12" s="247"/>
      <c r="F12" s="246">
        <v>10800</v>
      </c>
      <c r="G12" s="209"/>
      <c r="H12" s="226" t="s">
        <v>380</v>
      </c>
      <c r="I12" s="226"/>
      <c r="J12" s="254"/>
      <c r="K12" s="678" t="s">
        <v>223</v>
      </c>
      <c r="L12" s="239" t="s">
        <v>170</v>
      </c>
      <c r="M12" s="240" t="s">
        <v>9</v>
      </c>
      <c r="N12" s="321" t="s">
        <v>263</v>
      </c>
      <c r="O12" s="241" t="s">
        <v>24</v>
      </c>
      <c r="P12" s="241" t="s">
        <v>27</v>
      </c>
      <c r="Q12" s="694" t="s">
        <v>28</v>
      </c>
      <c r="R12" s="695"/>
      <c r="S12" s="696"/>
    </row>
    <row r="13" spans="2:19" s="144" customFormat="1" ht="18" customHeight="1">
      <c r="B13" s="712"/>
      <c r="C13" s="709"/>
      <c r="D13" s="687" t="s">
        <v>63</v>
      </c>
      <c r="E13" s="255" t="s">
        <v>196</v>
      </c>
      <c r="F13" s="246">
        <f>'６　資本装備と減価償却'!L15*'７－２　水稲部門（こいもみじ）収支 '!H13</f>
        <v>6977.7</v>
      </c>
      <c r="G13" s="209" t="s">
        <v>202</v>
      </c>
      <c r="H13" s="421">
        <v>0.01</v>
      </c>
      <c r="I13" s="676" t="s">
        <v>204</v>
      </c>
      <c r="J13" s="677"/>
      <c r="K13" s="679"/>
      <c r="L13" s="242" t="s">
        <v>368</v>
      </c>
      <c r="M13" s="238" t="s">
        <v>162</v>
      </c>
      <c r="N13" s="174">
        <f>30*('１　対象経営の概要，２　前提条件'!AM27)/('１　対象経営の概要，２　前提条件'!AB27+'１　対象経営の概要，２　前提条件'!AM27)</f>
        <v>30</v>
      </c>
      <c r="O13" s="174">
        <v>550</v>
      </c>
      <c r="P13" s="174">
        <f>N13*O13</f>
        <v>16500</v>
      </c>
      <c r="Q13" s="670" t="s">
        <v>258</v>
      </c>
      <c r="R13" s="671"/>
      <c r="S13" s="672"/>
    </row>
    <row r="14" spans="2:19" s="144" customFormat="1" ht="18" customHeight="1">
      <c r="B14" s="712"/>
      <c r="C14" s="709"/>
      <c r="D14" s="688"/>
      <c r="E14" s="255" t="s">
        <v>197</v>
      </c>
      <c r="F14" s="246">
        <f>'６　資本装備と減価償却'!L48*'７－２　水稲部門（こいもみじ）収支 '!H14</f>
        <v>73422.92000000001</v>
      </c>
      <c r="G14" s="209" t="s">
        <v>202</v>
      </c>
      <c r="H14" s="421">
        <v>0.05</v>
      </c>
      <c r="I14" s="676" t="s">
        <v>204</v>
      </c>
      <c r="J14" s="677"/>
      <c r="K14" s="679"/>
      <c r="L14" s="242"/>
      <c r="M14" s="238" t="s">
        <v>162</v>
      </c>
      <c r="N14" s="399"/>
      <c r="O14" s="174"/>
      <c r="P14" s="174">
        <f>N14*O14</f>
        <v>0</v>
      </c>
      <c r="Q14" s="670"/>
      <c r="R14" s="671"/>
      <c r="S14" s="672"/>
    </row>
    <row r="15" spans="2:19" s="144" customFormat="1" ht="18" customHeight="1" thickBot="1">
      <c r="B15" s="712"/>
      <c r="C15" s="709"/>
      <c r="D15" s="687" t="s">
        <v>93</v>
      </c>
      <c r="E15" s="255" t="s">
        <v>196</v>
      </c>
      <c r="F15" s="246">
        <f>'６　資本装備と減価償却'!P15</f>
        <v>36513</v>
      </c>
      <c r="G15" s="209" t="s">
        <v>204</v>
      </c>
      <c r="H15" s="226"/>
      <c r="I15" s="226"/>
      <c r="J15" s="254"/>
      <c r="K15" s="679"/>
      <c r="L15" s="156" t="s">
        <v>29</v>
      </c>
      <c r="M15" s="155"/>
      <c r="N15" s="156"/>
      <c r="O15" s="156"/>
      <c r="P15" s="156">
        <f>SUM(P13:P14)</f>
        <v>16500</v>
      </c>
      <c r="Q15" s="664"/>
      <c r="R15" s="665"/>
      <c r="S15" s="666"/>
    </row>
    <row r="16" spans="2:19" s="144" customFormat="1" ht="18" customHeight="1" thickTop="1">
      <c r="B16" s="712"/>
      <c r="C16" s="709"/>
      <c r="D16" s="689"/>
      <c r="E16" s="255" t="s">
        <v>197</v>
      </c>
      <c r="F16" s="246">
        <f>'６　資本装備と減価償却'!P48</f>
        <v>218422.62857142856</v>
      </c>
      <c r="G16" s="209" t="s">
        <v>204</v>
      </c>
      <c r="H16" s="226"/>
      <c r="I16" s="226"/>
      <c r="J16" s="254"/>
      <c r="K16" s="679"/>
      <c r="L16" s="233" t="s">
        <v>171</v>
      </c>
      <c r="M16" s="234"/>
      <c r="N16" s="320" t="s">
        <v>263</v>
      </c>
      <c r="O16" s="235" t="s">
        <v>24</v>
      </c>
      <c r="P16" s="236" t="s">
        <v>27</v>
      </c>
      <c r="Q16" s="667" t="s">
        <v>28</v>
      </c>
      <c r="R16" s="668"/>
      <c r="S16" s="669"/>
    </row>
    <row r="17" spans="2:19" s="144" customFormat="1" ht="18" customHeight="1">
      <c r="B17" s="712"/>
      <c r="C17" s="709"/>
      <c r="D17" s="688"/>
      <c r="E17" s="246" t="s">
        <v>64</v>
      </c>
      <c r="F17" s="246">
        <f>'６　資本装備と減価償却'!P53</f>
        <v>0</v>
      </c>
      <c r="G17" s="209" t="s">
        <v>204</v>
      </c>
      <c r="H17" s="226"/>
      <c r="I17" s="226"/>
      <c r="J17" s="254"/>
      <c r="K17" s="679"/>
      <c r="L17" s="237" t="s">
        <v>177</v>
      </c>
      <c r="M17" s="238"/>
      <c r="N17" s="209" t="s">
        <v>326</v>
      </c>
      <c r="O17" s="230"/>
      <c r="P17" s="228">
        <f>'８－２　水稲算出基礎（こいもみじ） '!G7</f>
        <v>0</v>
      </c>
      <c r="Q17" s="655"/>
      <c r="R17" s="656"/>
      <c r="S17" s="657"/>
    </row>
    <row r="18" spans="1:19" s="144" customFormat="1" ht="18" customHeight="1">
      <c r="A18" s="143"/>
      <c r="B18" s="712"/>
      <c r="C18" s="709"/>
      <c r="D18" s="725" t="s">
        <v>268</v>
      </c>
      <c r="E18" s="250" t="s">
        <v>127</v>
      </c>
      <c r="F18" s="246">
        <v>0</v>
      </c>
      <c r="G18" s="209"/>
      <c r="H18" s="226"/>
      <c r="I18" s="226"/>
      <c r="J18" s="254"/>
      <c r="K18" s="679"/>
      <c r="L18" s="237" t="s">
        <v>175</v>
      </c>
      <c r="M18" s="238"/>
      <c r="N18" s="209" t="s">
        <v>281</v>
      </c>
      <c r="O18" s="230"/>
      <c r="P18" s="228">
        <f>'８－２　水稲算出基礎（こいもみじ） '!G11</f>
        <v>38400</v>
      </c>
      <c r="Q18" s="655"/>
      <c r="R18" s="656"/>
      <c r="S18" s="657"/>
    </row>
    <row r="19" spans="1:19" s="144" customFormat="1" ht="18" customHeight="1">
      <c r="A19" s="143"/>
      <c r="B19" s="712"/>
      <c r="C19" s="709"/>
      <c r="D19" s="725"/>
      <c r="E19" s="250" t="s">
        <v>123</v>
      </c>
      <c r="F19" s="246">
        <f>J19*'５　水稲（食用米，加工用米）作業時間'!AO34</f>
        <v>37290.00000000001</v>
      </c>
      <c r="G19" s="209"/>
      <c r="H19" s="226"/>
      <c r="I19" s="265" t="s">
        <v>339</v>
      </c>
      <c r="J19" s="422">
        <v>1100</v>
      </c>
      <c r="K19" s="679"/>
      <c r="L19" s="209" t="s">
        <v>176</v>
      </c>
      <c r="M19" s="226"/>
      <c r="N19" s="209" t="s">
        <v>281</v>
      </c>
      <c r="O19" s="230"/>
      <c r="P19" s="228">
        <f>'８－２　水稲算出基礎（こいもみじ） '!G16</f>
        <v>80000</v>
      </c>
      <c r="Q19" s="655"/>
      <c r="R19" s="656"/>
      <c r="S19" s="657"/>
    </row>
    <row r="20" spans="1:19" s="144" customFormat="1" ht="18" customHeight="1">
      <c r="A20" s="143"/>
      <c r="B20" s="712"/>
      <c r="C20" s="709"/>
      <c r="D20" s="725"/>
      <c r="E20" s="250" t="s">
        <v>124</v>
      </c>
      <c r="F20" s="246">
        <f>J20*'５　水稲（食用米，加工用米）作業時間'!AP34</f>
        <v>55800</v>
      </c>
      <c r="G20" s="209"/>
      <c r="H20" s="226"/>
      <c r="I20" s="265" t="s">
        <v>340</v>
      </c>
      <c r="J20" s="422">
        <v>900</v>
      </c>
      <c r="K20" s="679"/>
      <c r="L20" s="209"/>
      <c r="M20" s="226"/>
      <c r="N20" s="209"/>
      <c r="O20" s="230"/>
      <c r="P20" s="228">
        <f>'８－２　水稲算出基礎（こいもみじ） '!G20</f>
        <v>0</v>
      </c>
      <c r="Q20" s="655"/>
      <c r="R20" s="656"/>
      <c r="S20" s="657"/>
    </row>
    <row r="21" spans="1:19" s="144" customFormat="1" ht="18" customHeight="1">
      <c r="A21" s="143"/>
      <c r="B21" s="712"/>
      <c r="C21" s="709"/>
      <c r="D21" s="725"/>
      <c r="E21" s="250" t="s">
        <v>125</v>
      </c>
      <c r="F21" s="246">
        <f>(F19+F20)*0.012</f>
        <v>1117.08</v>
      </c>
      <c r="G21" s="209"/>
      <c r="H21" s="226"/>
      <c r="I21" s="226"/>
      <c r="J21" s="254"/>
      <c r="K21" s="679"/>
      <c r="L21" s="209" t="s">
        <v>179</v>
      </c>
      <c r="M21" s="226"/>
      <c r="N21" s="209" t="s">
        <v>326</v>
      </c>
      <c r="O21" s="228"/>
      <c r="P21" s="228">
        <f>'８－２　水稲算出基礎（こいもみじ） '!G24</f>
        <v>14364.15</v>
      </c>
      <c r="Q21" s="655"/>
      <c r="R21" s="656"/>
      <c r="S21" s="657"/>
    </row>
    <row r="22" spans="1:19" s="144" customFormat="1" ht="18" customHeight="1" thickBot="1">
      <c r="A22" s="143"/>
      <c r="B22" s="712"/>
      <c r="C22" s="709"/>
      <c r="D22" s="725" t="s">
        <v>65</v>
      </c>
      <c r="E22" s="250" t="s">
        <v>66</v>
      </c>
      <c r="F22" s="246">
        <f>I22*10</f>
        <v>23760</v>
      </c>
      <c r="G22" s="209"/>
      <c r="H22" s="226"/>
      <c r="I22" s="226">
        <v>2376</v>
      </c>
      <c r="J22" s="254" t="s">
        <v>338</v>
      </c>
      <c r="K22" s="679"/>
      <c r="L22" s="156" t="s">
        <v>29</v>
      </c>
      <c r="M22" s="155"/>
      <c r="N22" s="156"/>
      <c r="O22" s="156"/>
      <c r="P22" s="156">
        <f>SUM(P17:P21)</f>
        <v>132764.15</v>
      </c>
      <c r="Q22" s="664"/>
      <c r="R22" s="665"/>
      <c r="S22" s="666"/>
    </row>
    <row r="23" spans="1:19" s="144" customFormat="1" ht="18" customHeight="1" thickTop="1">
      <c r="A23" s="143"/>
      <c r="B23" s="712"/>
      <c r="C23" s="709"/>
      <c r="D23" s="725"/>
      <c r="E23" s="250" t="s">
        <v>94</v>
      </c>
      <c r="F23" s="246">
        <f>I23*10</f>
        <v>50000</v>
      </c>
      <c r="G23" s="209"/>
      <c r="H23" s="226"/>
      <c r="I23" s="226">
        <v>5000</v>
      </c>
      <c r="J23" s="254" t="s">
        <v>338</v>
      </c>
      <c r="K23" s="679"/>
      <c r="L23" s="209" t="s">
        <v>172</v>
      </c>
      <c r="M23" s="226"/>
      <c r="N23" s="227" t="s">
        <v>26</v>
      </c>
      <c r="O23" s="227" t="s">
        <v>24</v>
      </c>
      <c r="P23" s="227" t="s">
        <v>27</v>
      </c>
      <c r="Q23" s="667" t="s">
        <v>28</v>
      </c>
      <c r="R23" s="668"/>
      <c r="S23" s="669"/>
    </row>
    <row r="24" spans="1:19" s="144" customFormat="1" ht="18" customHeight="1">
      <c r="A24" s="143"/>
      <c r="B24" s="712"/>
      <c r="C24" s="709"/>
      <c r="D24" s="246" t="s">
        <v>67</v>
      </c>
      <c r="E24" s="247"/>
      <c r="F24" s="246">
        <f>I24*10</f>
        <v>30000</v>
      </c>
      <c r="G24" s="209"/>
      <c r="H24" s="226"/>
      <c r="I24" s="423">
        <v>3000</v>
      </c>
      <c r="J24" s="254" t="s">
        <v>338</v>
      </c>
      <c r="K24" s="679"/>
      <c r="L24" s="228" t="s">
        <v>30</v>
      </c>
      <c r="M24" s="226"/>
      <c r="N24" s="209" t="s">
        <v>328</v>
      </c>
      <c r="O24" s="228"/>
      <c r="P24" s="228">
        <f>'８－２　水稲算出基礎（こいもみじ） '!G38</f>
        <v>5222.634</v>
      </c>
      <c r="Q24" s="655"/>
      <c r="R24" s="656"/>
      <c r="S24" s="657"/>
    </row>
    <row r="25" spans="1:19" s="144" customFormat="1" ht="18" customHeight="1">
      <c r="A25" s="143"/>
      <c r="B25" s="712"/>
      <c r="C25" s="709"/>
      <c r="D25" s="246" t="s">
        <v>174</v>
      </c>
      <c r="E25" s="247"/>
      <c r="F25" s="246">
        <f>SUM(F6:F24)/99</f>
        <v>8053.9916114959115</v>
      </c>
      <c r="G25" s="256" t="s">
        <v>225</v>
      </c>
      <c r="H25" s="270">
        <v>0.01</v>
      </c>
      <c r="I25" s="157"/>
      <c r="J25" s="424"/>
      <c r="K25" s="679"/>
      <c r="L25" s="228" t="s">
        <v>31</v>
      </c>
      <c r="M25" s="226"/>
      <c r="N25" s="209" t="s">
        <v>330</v>
      </c>
      <c r="O25" s="228"/>
      <c r="P25" s="228">
        <f>'８－２　水稲算出基礎（こいもみじ） '!G49</f>
        <v>4090.863</v>
      </c>
      <c r="Q25" s="655"/>
      <c r="R25" s="656"/>
      <c r="S25" s="657"/>
    </row>
    <row r="26" spans="1:19" s="144" customFormat="1" ht="18" customHeight="1">
      <c r="A26" s="143"/>
      <c r="B26" s="712"/>
      <c r="C26" s="710"/>
      <c r="D26" s="702" t="s">
        <v>216</v>
      </c>
      <c r="E26" s="703"/>
      <c r="F26" s="172">
        <f>SUM(F6:F25)</f>
        <v>805399.1611495912</v>
      </c>
      <c r="G26" s="228"/>
      <c r="H26" s="157"/>
      <c r="I26" s="157"/>
      <c r="J26" s="253"/>
      <c r="K26" s="679"/>
      <c r="L26" s="228" t="s">
        <v>32</v>
      </c>
      <c r="M26" s="226"/>
      <c r="N26" s="209" t="s">
        <v>326</v>
      </c>
      <c r="O26" s="228"/>
      <c r="P26" s="228">
        <f>'８－２　水稲算出基礎（こいもみじ） '!G53</f>
        <v>24330</v>
      </c>
      <c r="Q26" s="655"/>
      <c r="R26" s="656"/>
      <c r="S26" s="657"/>
    </row>
    <row r="27" spans="1:19" s="144" customFormat="1" ht="18" customHeight="1">
      <c r="A27" s="143"/>
      <c r="B27" s="712"/>
      <c r="C27" s="697" t="s">
        <v>203</v>
      </c>
      <c r="D27" s="619" t="s">
        <v>68</v>
      </c>
      <c r="E27" s="57" t="s">
        <v>3</v>
      </c>
      <c r="F27" s="149">
        <f>P11/30*J27</f>
        <v>16000</v>
      </c>
      <c r="G27" s="237"/>
      <c r="H27" s="226"/>
      <c r="I27" s="154" t="s">
        <v>345</v>
      </c>
      <c r="J27" s="360">
        <v>80</v>
      </c>
      <c r="K27" s="679"/>
      <c r="L27" s="228" t="s">
        <v>327</v>
      </c>
      <c r="M27" s="226"/>
      <c r="N27" s="209" t="s">
        <v>330</v>
      </c>
      <c r="O27" s="228"/>
      <c r="P27" s="228">
        <f>'８－２　水稲算出基礎（こいもみじ） '!G57</f>
        <v>28636.513166666664</v>
      </c>
      <c r="Q27" s="655"/>
      <c r="R27" s="656"/>
      <c r="S27" s="657"/>
    </row>
    <row r="28" spans="1:19" s="144" customFormat="1" ht="18" customHeight="1" thickBot="1">
      <c r="A28" s="143"/>
      <c r="B28" s="712"/>
      <c r="C28" s="698"/>
      <c r="D28" s="622"/>
      <c r="E28" s="57" t="s">
        <v>4</v>
      </c>
      <c r="F28" s="173">
        <v>0</v>
      </c>
      <c r="G28" s="237"/>
      <c r="H28" s="257"/>
      <c r="I28" s="257"/>
      <c r="J28" s="258"/>
      <c r="K28" s="679"/>
      <c r="L28" s="156" t="s">
        <v>29</v>
      </c>
      <c r="M28" s="155"/>
      <c r="N28" s="156"/>
      <c r="O28" s="156"/>
      <c r="P28" s="156">
        <f>SUM(P24:P27)</f>
        <v>62280.01016666667</v>
      </c>
      <c r="Q28" s="664"/>
      <c r="R28" s="665"/>
      <c r="S28" s="666"/>
    </row>
    <row r="29" spans="1:19" s="144" customFormat="1" ht="18" customHeight="1" thickTop="1">
      <c r="A29" s="143"/>
      <c r="B29" s="712"/>
      <c r="C29" s="698"/>
      <c r="D29" s="620"/>
      <c r="E29" s="57" t="s">
        <v>8</v>
      </c>
      <c r="F29" s="149">
        <f>P11/30*J29</f>
        <v>5000</v>
      </c>
      <c r="G29" s="237"/>
      <c r="H29" s="157"/>
      <c r="I29" s="257" t="s">
        <v>346</v>
      </c>
      <c r="J29" s="361">
        <v>25</v>
      </c>
      <c r="K29" s="679"/>
      <c r="L29" s="209" t="s">
        <v>173</v>
      </c>
      <c r="M29" s="226"/>
      <c r="N29" s="227" t="s">
        <v>26</v>
      </c>
      <c r="O29" s="227" t="s">
        <v>24</v>
      </c>
      <c r="P29" s="227" t="s">
        <v>27</v>
      </c>
      <c r="Q29" s="667" t="s">
        <v>28</v>
      </c>
      <c r="R29" s="668"/>
      <c r="S29" s="669"/>
    </row>
    <row r="30" spans="1:19" s="144" customFormat="1" ht="18" customHeight="1">
      <c r="A30" s="143"/>
      <c r="B30" s="712"/>
      <c r="C30" s="698"/>
      <c r="D30" s="57" t="s">
        <v>69</v>
      </c>
      <c r="E30" s="58"/>
      <c r="F30" s="149">
        <v>0</v>
      </c>
      <c r="G30" s="237"/>
      <c r="H30" s="157"/>
      <c r="I30" s="257"/>
      <c r="J30" s="259"/>
      <c r="K30" s="679"/>
      <c r="L30" s="228" t="s">
        <v>49</v>
      </c>
      <c r="M30" s="229"/>
      <c r="N30" s="209" t="s">
        <v>331</v>
      </c>
      <c r="O30" s="230"/>
      <c r="P30" s="228">
        <f>'８－２　水稲算出基礎（こいもみじ） '!N12</f>
        <v>9638.859999999999</v>
      </c>
      <c r="Q30" s="673"/>
      <c r="R30" s="674"/>
      <c r="S30" s="675"/>
    </row>
    <row r="31" spans="1:19" s="144" customFormat="1" ht="18" customHeight="1">
      <c r="A31" s="143"/>
      <c r="B31" s="712"/>
      <c r="C31" s="698"/>
      <c r="D31" s="603" t="s">
        <v>269</v>
      </c>
      <c r="E31" s="67" t="s">
        <v>127</v>
      </c>
      <c r="F31" s="149">
        <v>0</v>
      </c>
      <c r="G31" s="237"/>
      <c r="H31" s="260"/>
      <c r="I31" s="260"/>
      <c r="J31" s="261"/>
      <c r="K31" s="679"/>
      <c r="L31" s="228" t="s">
        <v>48</v>
      </c>
      <c r="M31" s="229"/>
      <c r="N31" s="209" t="s">
        <v>332</v>
      </c>
      <c r="O31" s="230"/>
      <c r="P31" s="228">
        <f>'８－２　水稲算出基礎（こいもみじ） '!N16</f>
        <v>1463.6159999999998</v>
      </c>
      <c r="Q31" s="673"/>
      <c r="R31" s="674"/>
      <c r="S31" s="675"/>
    </row>
    <row r="32" spans="1:19" s="144" customFormat="1" ht="18" customHeight="1">
      <c r="A32" s="143"/>
      <c r="B32" s="712"/>
      <c r="C32" s="698"/>
      <c r="D32" s="603"/>
      <c r="E32" s="67" t="s">
        <v>126</v>
      </c>
      <c r="F32" s="149">
        <v>0</v>
      </c>
      <c r="G32" s="237"/>
      <c r="H32" s="262"/>
      <c r="I32" s="262"/>
      <c r="J32" s="263"/>
      <c r="K32" s="679"/>
      <c r="L32" s="228" t="s">
        <v>50</v>
      </c>
      <c r="M32" s="226"/>
      <c r="N32" s="230"/>
      <c r="O32" s="230"/>
      <c r="P32" s="228">
        <f>SUM(P30:P31)*R32</f>
        <v>3330.7427999999995</v>
      </c>
      <c r="Q32" s="231" t="s">
        <v>33</v>
      </c>
      <c r="R32" s="232">
        <v>0.3</v>
      </c>
      <c r="S32" s="158"/>
    </row>
    <row r="33" spans="2:19" ht="18" customHeight="1">
      <c r="B33" s="712"/>
      <c r="C33" s="698"/>
      <c r="D33" s="57" t="s">
        <v>70</v>
      </c>
      <c r="E33" s="68"/>
      <c r="F33" s="149">
        <v>0</v>
      </c>
      <c r="G33" s="237"/>
      <c r="H33" s="264"/>
      <c r="I33" s="265"/>
      <c r="J33" s="259"/>
      <c r="K33" s="679"/>
      <c r="L33" s="228" t="s">
        <v>51</v>
      </c>
      <c r="M33" s="229"/>
      <c r="N33" s="209"/>
      <c r="O33" s="230"/>
      <c r="P33" s="228">
        <f>'８－２　水稲算出基礎（こいもみじ） '!N20</f>
        <v>0</v>
      </c>
      <c r="Q33" s="655"/>
      <c r="R33" s="656"/>
      <c r="S33" s="657"/>
    </row>
    <row r="34" spans="2:19" ht="18" customHeight="1">
      <c r="B34" s="712"/>
      <c r="C34" s="698"/>
      <c r="D34" s="57" t="s">
        <v>95</v>
      </c>
      <c r="E34" s="68"/>
      <c r="F34" s="149">
        <v>0</v>
      </c>
      <c r="G34" s="237"/>
      <c r="H34" s="266"/>
      <c r="I34" s="267"/>
      <c r="J34" s="268"/>
      <c r="K34" s="679"/>
      <c r="L34" s="228" t="s">
        <v>52</v>
      </c>
      <c r="M34" s="229"/>
      <c r="N34" s="209" t="s">
        <v>332</v>
      </c>
      <c r="O34" s="230"/>
      <c r="P34" s="228">
        <f>'８－２　水稲算出基礎（こいもみじ） '!N24</f>
        <v>17563.242</v>
      </c>
      <c r="Q34" s="655"/>
      <c r="R34" s="656"/>
      <c r="S34" s="657"/>
    </row>
    <row r="35" spans="2:19" ht="18" customHeight="1">
      <c r="B35" s="712"/>
      <c r="C35" s="698"/>
      <c r="D35" s="57" t="s">
        <v>130</v>
      </c>
      <c r="E35" s="58"/>
      <c r="F35" s="173">
        <f>'８－２　水稲算出基礎（こいもみじ） '!V57</f>
        <v>7952.777777777778</v>
      </c>
      <c r="G35" s="237"/>
      <c r="H35" s="312"/>
      <c r="I35" s="312"/>
      <c r="J35" s="313"/>
      <c r="K35" s="679"/>
      <c r="L35" s="228" t="s">
        <v>266</v>
      </c>
      <c r="M35" s="229"/>
      <c r="N35" s="209"/>
      <c r="O35" s="230"/>
      <c r="P35" s="228">
        <f>'８－２　水稲算出基礎（こいもみじ） '!N28</f>
        <v>0</v>
      </c>
      <c r="Q35" s="655"/>
      <c r="R35" s="656"/>
      <c r="S35" s="657"/>
    </row>
    <row r="36" spans="2:19" ht="18" customHeight="1">
      <c r="B36" s="712"/>
      <c r="C36" s="698"/>
      <c r="D36" s="78" t="s">
        <v>96</v>
      </c>
      <c r="E36" s="79"/>
      <c r="F36" s="269">
        <v>0</v>
      </c>
      <c r="G36" s="209"/>
      <c r="H36" s="266"/>
      <c r="I36" s="267"/>
      <c r="J36" s="259"/>
      <c r="K36" s="679"/>
      <c r="L36" s="228" t="s">
        <v>53</v>
      </c>
      <c r="M36" s="226"/>
      <c r="N36" s="209" t="s">
        <v>333</v>
      </c>
      <c r="O36" s="230"/>
      <c r="P36" s="228">
        <f>'８－２　水稲算出基礎（こいもみじ） '!N32</f>
        <v>3811.2200000000003</v>
      </c>
      <c r="Q36" s="655"/>
      <c r="R36" s="656"/>
      <c r="S36" s="657"/>
    </row>
    <row r="37" spans="2:19" ht="18" customHeight="1" thickBot="1">
      <c r="B37" s="712"/>
      <c r="C37" s="698"/>
      <c r="D37" s="57" t="s">
        <v>71</v>
      </c>
      <c r="E37" s="58"/>
      <c r="F37" s="173">
        <f>'８－２　水稲算出基礎（こいもみじ） '!N57</f>
        <v>4073.9673333333335</v>
      </c>
      <c r="G37" s="237"/>
      <c r="H37" s="312"/>
      <c r="I37" s="312"/>
      <c r="J37" s="313"/>
      <c r="K37" s="680"/>
      <c r="L37" s="165" t="s">
        <v>29</v>
      </c>
      <c r="M37" s="164"/>
      <c r="N37" s="165"/>
      <c r="O37" s="165"/>
      <c r="P37" s="165">
        <f>SUM(P30:P36)</f>
        <v>35807.680799999995</v>
      </c>
      <c r="Q37" s="658"/>
      <c r="R37" s="659"/>
      <c r="S37" s="660"/>
    </row>
    <row r="38" spans="1:10" s="159" customFormat="1" ht="18" customHeight="1">
      <c r="A38" s="143"/>
      <c r="B38" s="712"/>
      <c r="C38" s="698"/>
      <c r="D38" s="57" t="s">
        <v>0</v>
      </c>
      <c r="E38" s="68"/>
      <c r="F38" s="173">
        <v>0</v>
      </c>
      <c r="G38" s="237"/>
      <c r="H38" s="266"/>
      <c r="I38" s="267"/>
      <c r="J38" s="259"/>
    </row>
    <row r="39" spans="1:20" s="159" customFormat="1" ht="18" customHeight="1" thickBot="1">
      <c r="A39" s="143"/>
      <c r="B39" s="713"/>
      <c r="C39" s="699"/>
      <c r="D39" s="700" t="s">
        <v>215</v>
      </c>
      <c r="E39" s="701"/>
      <c r="F39" s="216">
        <f>SUM(F27:F38)</f>
        <v>33026.74511111111</v>
      </c>
      <c r="G39" s="425"/>
      <c r="H39" s="426"/>
      <c r="I39" s="427"/>
      <c r="J39" s="428"/>
      <c r="T39" s="160"/>
    </row>
    <row r="40" spans="1:23" s="159" customFormat="1" ht="18" customHeight="1">
      <c r="A40" s="143"/>
      <c r="B40" s="714" t="s">
        <v>219</v>
      </c>
      <c r="C40" s="717" t="s">
        <v>73</v>
      </c>
      <c r="D40" s="212" t="s">
        <v>129</v>
      </c>
      <c r="E40" s="213"/>
      <c r="F40" s="214">
        <f>J40*10</f>
        <v>75000</v>
      </c>
      <c r="G40" s="209"/>
      <c r="H40" s="704" t="s">
        <v>442</v>
      </c>
      <c r="I40" s="704"/>
      <c r="J40" s="429">
        <v>7500</v>
      </c>
      <c r="T40" s="144"/>
      <c r="U40" s="144"/>
      <c r="V40" s="144"/>
      <c r="W40" s="144"/>
    </row>
    <row r="41" spans="1:23" s="159" customFormat="1" ht="18" customHeight="1">
      <c r="A41" s="143"/>
      <c r="B41" s="715"/>
      <c r="C41" s="718"/>
      <c r="D41" s="57" t="s">
        <v>128</v>
      </c>
      <c r="E41" s="58"/>
      <c r="F41" s="207">
        <v>0</v>
      </c>
      <c r="G41" s="209"/>
      <c r="H41" s="430"/>
      <c r="I41" s="430"/>
      <c r="J41" s="431"/>
      <c r="T41" s="161"/>
      <c r="U41" s="162"/>
      <c r="V41" s="163"/>
      <c r="W41" s="161"/>
    </row>
    <row r="42" spans="1:23" s="159" customFormat="1" ht="18" customHeight="1">
      <c r="A42" s="143"/>
      <c r="B42" s="715"/>
      <c r="C42" s="719"/>
      <c r="D42" s="78" t="s">
        <v>72</v>
      </c>
      <c r="E42" s="58"/>
      <c r="F42" s="207">
        <v>0</v>
      </c>
      <c r="G42" s="209"/>
      <c r="H42" s="430"/>
      <c r="I42" s="430"/>
      <c r="J42" s="431"/>
      <c r="T42" s="144"/>
      <c r="U42" s="144"/>
      <c r="V42" s="144"/>
      <c r="W42" s="144"/>
    </row>
    <row r="43" spans="2:23" s="159" customFormat="1" ht="18" customHeight="1">
      <c r="B43" s="715"/>
      <c r="C43" s="720" t="s">
        <v>218</v>
      </c>
      <c r="D43" s="78" t="s">
        <v>270</v>
      </c>
      <c r="E43" s="79"/>
      <c r="F43" s="207">
        <v>0</v>
      </c>
      <c r="G43" s="209"/>
      <c r="H43" s="430"/>
      <c r="I43" s="430"/>
      <c r="J43" s="431"/>
      <c r="T43" s="145"/>
      <c r="U43" s="160"/>
      <c r="V43" s="144"/>
      <c r="W43" s="161"/>
    </row>
    <row r="44" spans="2:23" s="159" customFormat="1" ht="18" customHeight="1">
      <c r="B44" s="715"/>
      <c r="C44" s="721"/>
      <c r="D44" s="80" t="s">
        <v>1</v>
      </c>
      <c r="E44" s="81"/>
      <c r="F44" s="207">
        <v>0</v>
      </c>
      <c r="G44" s="209"/>
      <c r="H44" s="166"/>
      <c r="I44" s="166"/>
      <c r="J44" s="224"/>
      <c r="T44" s="145"/>
      <c r="U44" s="160"/>
      <c r="V44" s="144"/>
      <c r="W44" s="161"/>
    </row>
    <row r="45" spans="2:23" s="159" customFormat="1" ht="18" customHeight="1" thickBot="1">
      <c r="B45" s="716"/>
      <c r="C45" s="722" t="s">
        <v>98</v>
      </c>
      <c r="D45" s="723"/>
      <c r="E45" s="724"/>
      <c r="F45" s="208">
        <f>SUM(F40:F42)-SUM(F43:F44)</f>
        <v>75000</v>
      </c>
      <c r="G45" s="167"/>
      <c r="H45" s="168"/>
      <c r="I45" s="168"/>
      <c r="J45" s="225"/>
      <c r="T45" s="144"/>
      <c r="U45" s="144"/>
      <c r="V45" s="162"/>
      <c r="W45" s="144"/>
    </row>
  </sheetData>
  <sheetProtection/>
  <mergeCells count="57">
    <mergeCell ref="H40:I40"/>
    <mergeCell ref="B6:B39"/>
    <mergeCell ref="Q26:S26"/>
    <mergeCell ref="C27:C39"/>
    <mergeCell ref="D27:D29"/>
    <mergeCell ref="B40:B45"/>
    <mergeCell ref="C40:C42"/>
    <mergeCell ref="C43:C44"/>
    <mergeCell ref="C45:E45"/>
    <mergeCell ref="Q29:S29"/>
    <mergeCell ref="Q30:S30"/>
    <mergeCell ref="Q37:S37"/>
    <mergeCell ref="D39:E39"/>
    <mergeCell ref="D31:D32"/>
    <mergeCell ref="Q36:S36"/>
    <mergeCell ref="Q33:S33"/>
    <mergeCell ref="Q34:S34"/>
    <mergeCell ref="C6:C26"/>
    <mergeCell ref="R6:S6"/>
    <mergeCell ref="R7:S7"/>
    <mergeCell ref="R8:S8"/>
    <mergeCell ref="Q18:S18"/>
    <mergeCell ref="Q19:S19"/>
    <mergeCell ref="Q20:S20"/>
    <mergeCell ref="Q21:S21"/>
    <mergeCell ref="D26:E26"/>
    <mergeCell ref="Q22:S22"/>
    <mergeCell ref="Q15:S15"/>
    <mergeCell ref="Q16:S16"/>
    <mergeCell ref="Q17:S17"/>
    <mergeCell ref="K12:K37"/>
    <mergeCell ref="Q12:S12"/>
    <mergeCell ref="Q24:S24"/>
    <mergeCell ref="Q31:S31"/>
    <mergeCell ref="Q35:S35"/>
    <mergeCell ref="Q27:S27"/>
    <mergeCell ref="Q28:S28"/>
    <mergeCell ref="D18:D21"/>
    <mergeCell ref="Q14:S14"/>
    <mergeCell ref="Q23:S23"/>
    <mergeCell ref="D15:D17"/>
    <mergeCell ref="R9:S9"/>
    <mergeCell ref="G10:J10"/>
    <mergeCell ref="R10:S10"/>
    <mergeCell ref="G11:J11"/>
    <mergeCell ref="R11:S11"/>
    <mergeCell ref="D22:D23"/>
    <mergeCell ref="B3:E3"/>
    <mergeCell ref="K3:S3"/>
    <mergeCell ref="B4:C5"/>
    <mergeCell ref="R4:S4"/>
    <mergeCell ref="R5:S5"/>
    <mergeCell ref="Q25:S25"/>
    <mergeCell ref="D13:D14"/>
    <mergeCell ref="I13:J13"/>
    <mergeCell ref="Q13:S13"/>
    <mergeCell ref="I14:J14"/>
  </mergeCells>
  <printOptions/>
  <pageMargins left="1.1811023622047245" right="0.7874015748031497" top="0.7874015748031497" bottom="0.7874015748031497" header="0.3937007874015748" footer="0.3937007874015748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W45"/>
  <sheetViews>
    <sheetView zoomScale="75" zoomScaleNormal="75" workbookViewId="0" topLeftCell="A1">
      <selection activeCell="A1" sqref="A1"/>
    </sheetView>
  </sheetViews>
  <sheetFormatPr defaultColWidth="10.875" defaultRowHeight="13.5"/>
  <cols>
    <col min="1" max="1" width="1.625" style="143" customWidth="1"/>
    <col min="2" max="2" width="5.875" style="143" customWidth="1"/>
    <col min="3" max="3" width="10.625" style="143" customWidth="1"/>
    <col min="4" max="4" width="12.375" style="143" customWidth="1"/>
    <col min="5" max="5" width="14.625" style="143" customWidth="1"/>
    <col min="6" max="7" width="15.875" style="143" customWidth="1"/>
    <col min="8" max="8" width="10.875" style="143" customWidth="1"/>
    <col min="9" max="9" width="11.375" style="143" bestFit="1" customWidth="1"/>
    <col min="10" max="10" width="13.375" style="143" customWidth="1"/>
    <col min="11" max="11" width="7.125" style="143" customWidth="1"/>
    <col min="12" max="12" width="15.375" style="143" customWidth="1"/>
    <col min="13" max="13" width="9.375" style="143" bestFit="1" customWidth="1"/>
    <col min="14" max="14" width="10.875" style="143" customWidth="1"/>
    <col min="15" max="15" width="7.25390625" style="143" customWidth="1"/>
    <col min="16" max="16" width="9.625" style="143" customWidth="1"/>
    <col min="17" max="17" width="10.875" style="143" customWidth="1"/>
    <col min="18" max="18" width="7.50390625" style="143" customWidth="1"/>
    <col min="19" max="19" width="3.75390625" style="143" customWidth="1"/>
    <col min="20" max="16384" width="10.875" style="143" customWidth="1"/>
  </cols>
  <sheetData>
    <row r="1" spans="2:19" s="144" customFormat="1" ht="9.75" customHeight="1"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</row>
    <row r="2" spans="2:18" s="144" customFormat="1" ht="24.75" customHeight="1" thickBot="1">
      <c r="B2" s="3" t="s">
        <v>406</v>
      </c>
      <c r="H2" s="145" t="s">
        <v>259</v>
      </c>
      <c r="I2" s="3" t="s">
        <v>337</v>
      </c>
      <c r="K2" s="145" t="s">
        <v>260</v>
      </c>
      <c r="L2" s="3" t="s">
        <v>262</v>
      </c>
      <c r="N2" s="143"/>
      <c r="O2" s="143"/>
      <c r="Q2" s="4"/>
      <c r="R2" s="4"/>
    </row>
    <row r="3" spans="2:19" s="144" customFormat="1" ht="18" customHeight="1">
      <c r="B3" s="705" t="s">
        <v>20</v>
      </c>
      <c r="C3" s="706"/>
      <c r="D3" s="706"/>
      <c r="E3" s="707"/>
      <c r="F3" s="171" t="s">
        <v>21</v>
      </c>
      <c r="G3" s="147"/>
      <c r="H3" s="148" t="s">
        <v>22</v>
      </c>
      <c r="I3" s="146"/>
      <c r="J3" s="146"/>
      <c r="K3" s="682" t="s">
        <v>224</v>
      </c>
      <c r="L3" s="683"/>
      <c r="M3" s="683"/>
      <c r="N3" s="683"/>
      <c r="O3" s="683"/>
      <c r="P3" s="683"/>
      <c r="Q3" s="683"/>
      <c r="R3" s="683"/>
      <c r="S3" s="684"/>
    </row>
    <row r="4" spans="2:19" s="144" customFormat="1" ht="18" customHeight="1">
      <c r="B4" s="690" t="s">
        <v>23</v>
      </c>
      <c r="C4" s="691"/>
      <c r="D4" s="237" t="s">
        <v>217</v>
      </c>
      <c r="E4" s="252"/>
      <c r="F4" s="246">
        <f>+R11</f>
        <v>798000</v>
      </c>
      <c r="G4" s="237" t="s">
        <v>200</v>
      </c>
      <c r="H4" s="157"/>
      <c r="I4" s="157"/>
      <c r="J4" s="157"/>
      <c r="K4" s="243" t="s">
        <v>57</v>
      </c>
      <c r="L4" s="319" t="s">
        <v>264</v>
      </c>
      <c r="M4" s="244" t="s">
        <v>24</v>
      </c>
      <c r="N4" s="244" t="s">
        <v>23</v>
      </c>
      <c r="O4" s="244" t="s">
        <v>57</v>
      </c>
      <c r="P4" s="319" t="s">
        <v>265</v>
      </c>
      <c r="Q4" s="244" t="s">
        <v>24</v>
      </c>
      <c r="R4" s="685" t="s">
        <v>23</v>
      </c>
      <c r="S4" s="686"/>
    </row>
    <row r="5" spans="2:19" s="144" customFormat="1" ht="18" customHeight="1">
      <c r="B5" s="690"/>
      <c r="C5" s="691"/>
      <c r="D5" s="237" t="s">
        <v>91</v>
      </c>
      <c r="E5" s="252"/>
      <c r="F5" s="246">
        <v>0</v>
      </c>
      <c r="G5" s="209"/>
      <c r="H5" s="226"/>
      <c r="I5" s="226"/>
      <c r="J5" s="226"/>
      <c r="K5" s="316" t="s">
        <v>357</v>
      </c>
      <c r="L5" s="246">
        <f>6000*'１　対象経営の概要，２　前提条件'!$AM$28/'１　対象経営の概要，２　前提条件'!$AM$28</f>
        <v>6000</v>
      </c>
      <c r="M5" s="246">
        <v>133</v>
      </c>
      <c r="N5" s="246">
        <f aca="true" t="shared" si="0" ref="N5:N11">L5*M5</f>
        <v>798000</v>
      </c>
      <c r="O5" s="246"/>
      <c r="P5" s="246"/>
      <c r="Q5" s="246"/>
      <c r="R5" s="681">
        <f>P5*Q5</f>
        <v>0</v>
      </c>
      <c r="S5" s="663"/>
    </row>
    <row r="6" spans="2:19" s="144" customFormat="1" ht="18" customHeight="1">
      <c r="B6" s="711" t="s">
        <v>222</v>
      </c>
      <c r="C6" s="708" t="s">
        <v>208</v>
      </c>
      <c r="D6" s="246" t="s">
        <v>59</v>
      </c>
      <c r="E6" s="247"/>
      <c r="F6" s="246">
        <f>P15</f>
        <v>16500</v>
      </c>
      <c r="G6" s="209" t="s">
        <v>201</v>
      </c>
      <c r="H6" s="226"/>
      <c r="I6" s="226"/>
      <c r="J6" s="226"/>
      <c r="K6" s="251"/>
      <c r="L6" s="248"/>
      <c r="M6" s="246"/>
      <c r="N6" s="246">
        <f t="shared" si="0"/>
        <v>0</v>
      </c>
      <c r="O6" s="246"/>
      <c r="P6" s="246"/>
      <c r="Q6" s="246"/>
      <c r="R6" s="681">
        <f>P6*Q6</f>
        <v>0</v>
      </c>
      <c r="S6" s="663"/>
    </row>
    <row r="7" spans="2:19" s="144" customFormat="1" ht="18" customHeight="1">
      <c r="B7" s="712"/>
      <c r="C7" s="709"/>
      <c r="D7" s="246" t="s">
        <v>60</v>
      </c>
      <c r="E7" s="247"/>
      <c r="F7" s="246">
        <f>P22</f>
        <v>139623.85</v>
      </c>
      <c r="G7" s="237" t="s">
        <v>437</v>
      </c>
      <c r="H7" s="157"/>
      <c r="I7" s="157"/>
      <c r="J7" s="253"/>
      <c r="K7" s="249"/>
      <c r="L7" s="250"/>
      <c r="M7" s="246"/>
      <c r="N7" s="246">
        <f t="shared" si="0"/>
        <v>0</v>
      </c>
      <c r="O7" s="246"/>
      <c r="P7" s="246"/>
      <c r="Q7" s="246"/>
      <c r="R7" s="681">
        <f>P7*Q7</f>
        <v>0</v>
      </c>
      <c r="S7" s="663"/>
    </row>
    <row r="8" spans="2:19" s="144" customFormat="1" ht="18" customHeight="1">
      <c r="B8" s="712"/>
      <c r="C8" s="709"/>
      <c r="D8" s="246" t="s">
        <v>61</v>
      </c>
      <c r="E8" s="247"/>
      <c r="F8" s="246">
        <f>P28</f>
        <v>62280.01016666667</v>
      </c>
      <c r="G8" s="209" t="s">
        <v>438</v>
      </c>
      <c r="H8" s="226"/>
      <c r="I8" s="226"/>
      <c r="J8" s="254"/>
      <c r="K8" s="247"/>
      <c r="L8" s="246"/>
      <c r="M8" s="246"/>
      <c r="N8" s="246">
        <f t="shared" si="0"/>
        <v>0</v>
      </c>
      <c r="O8" s="246"/>
      <c r="P8" s="246"/>
      <c r="Q8" s="246"/>
      <c r="R8" s="681">
        <f>P8*Q8</f>
        <v>0</v>
      </c>
      <c r="S8" s="663"/>
    </row>
    <row r="9" spans="2:19" s="144" customFormat="1" ht="18" customHeight="1">
      <c r="B9" s="712"/>
      <c r="C9" s="709"/>
      <c r="D9" s="246" t="s">
        <v>92</v>
      </c>
      <c r="E9" s="247"/>
      <c r="F9" s="246">
        <f>P37</f>
        <v>35807.680799999995</v>
      </c>
      <c r="G9" s="209" t="s">
        <v>439</v>
      </c>
      <c r="H9" s="226"/>
      <c r="I9" s="226"/>
      <c r="J9" s="254"/>
      <c r="K9" s="247"/>
      <c r="L9" s="246"/>
      <c r="M9" s="246"/>
      <c r="N9" s="246">
        <f t="shared" si="0"/>
        <v>0</v>
      </c>
      <c r="O9" s="246"/>
      <c r="P9" s="246"/>
      <c r="Q9" s="246"/>
      <c r="R9" s="681">
        <f>P9*Q9</f>
        <v>0</v>
      </c>
      <c r="S9" s="663"/>
    </row>
    <row r="10" spans="2:19" s="144" customFormat="1" ht="18" customHeight="1">
      <c r="B10" s="712"/>
      <c r="C10" s="709"/>
      <c r="D10" s="246" t="s">
        <v>62</v>
      </c>
      <c r="E10" s="247"/>
      <c r="F10" s="246">
        <f>'８－３　水稲算出基礎（加工用米）'!V21</f>
        <v>5806.666666666667</v>
      </c>
      <c r="G10" s="661"/>
      <c r="H10" s="662"/>
      <c r="I10" s="662"/>
      <c r="J10" s="663"/>
      <c r="K10" s="247"/>
      <c r="L10" s="246"/>
      <c r="M10" s="246"/>
      <c r="N10" s="246">
        <f t="shared" si="0"/>
        <v>0</v>
      </c>
      <c r="O10" s="246"/>
      <c r="P10" s="246"/>
      <c r="Q10" s="246"/>
      <c r="R10" s="681"/>
      <c r="S10" s="663"/>
    </row>
    <row r="11" spans="2:19" s="144" customFormat="1" ht="18" customHeight="1" thickBot="1">
      <c r="B11" s="712"/>
      <c r="C11" s="709"/>
      <c r="D11" s="246" t="s">
        <v>6</v>
      </c>
      <c r="E11" s="247"/>
      <c r="F11" s="246">
        <f>'８－３　水稲算出基礎（加工用米）'!V34</f>
        <v>83.33333333333333</v>
      </c>
      <c r="G11" s="661"/>
      <c r="H11" s="662"/>
      <c r="I11" s="662"/>
      <c r="J11" s="663"/>
      <c r="K11" s="162"/>
      <c r="L11" s="150"/>
      <c r="M11" s="150"/>
      <c r="N11" s="149">
        <f t="shared" si="0"/>
        <v>0</v>
      </c>
      <c r="O11" s="151" t="s">
        <v>25</v>
      </c>
      <c r="P11" s="152">
        <f>SUM(L5:L11,P5:Q10)</f>
        <v>6000</v>
      </c>
      <c r="Q11" s="153">
        <f>R11/P11</f>
        <v>133</v>
      </c>
      <c r="R11" s="692">
        <f>SUM(N5:N11,R5:S10)</f>
        <v>798000</v>
      </c>
      <c r="S11" s="693"/>
    </row>
    <row r="12" spans="2:19" s="144" customFormat="1" ht="18" customHeight="1" thickTop="1">
      <c r="B12" s="712"/>
      <c r="C12" s="709"/>
      <c r="D12" s="246" t="s">
        <v>7</v>
      </c>
      <c r="E12" s="247"/>
      <c r="F12" s="246">
        <v>10800</v>
      </c>
      <c r="G12" s="209"/>
      <c r="H12" s="226" t="s">
        <v>380</v>
      </c>
      <c r="I12" s="226"/>
      <c r="J12" s="254"/>
      <c r="K12" s="678" t="s">
        <v>223</v>
      </c>
      <c r="L12" s="239" t="s">
        <v>170</v>
      </c>
      <c r="M12" s="240" t="s">
        <v>9</v>
      </c>
      <c r="N12" s="321" t="s">
        <v>263</v>
      </c>
      <c r="O12" s="241" t="s">
        <v>24</v>
      </c>
      <c r="P12" s="241" t="s">
        <v>27</v>
      </c>
      <c r="Q12" s="694" t="s">
        <v>28</v>
      </c>
      <c r="R12" s="695"/>
      <c r="S12" s="696"/>
    </row>
    <row r="13" spans="2:19" s="144" customFormat="1" ht="18" customHeight="1">
      <c r="B13" s="712"/>
      <c r="C13" s="709"/>
      <c r="D13" s="687" t="s">
        <v>63</v>
      </c>
      <c r="E13" s="255" t="s">
        <v>196</v>
      </c>
      <c r="F13" s="246">
        <f>'６　資本装備と減価償却'!L15*'７－３　水稲部門（加工用米）収支'!H13</f>
        <v>6977.7</v>
      </c>
      <c r="G13" s="209" t="s">
        <v>202</v>
      </c>
      <c r="H13" s="421">
        <v>0.01</v>
      </c>
      <c r="I13" s="676" t="s">
        <v>204</v>
      </c>
      <c r="J13" s="677"/>
      <c r="K13" s="712"/>
      <c r="L13" s="365" t="s">
        <v>416</v>
      </c>
      <c r="M13" s="238" t="s">
        <v>162</v>
      </c>
      <c r="N13" s="174">
        <f>30</f>
        <v>30</v>
      </c>
      <c r="O13" s="174">
        <v>550</v>
      </c>
      <c r="P13" s="174">
        <f>N13*O13</f>
        <v>16500</v>
      </c>
      <c r="Q13" s="670" t="s">
        <v>258</v>
      </c>
      <c r="R13" s="671"/>
      <c r="S13" s="672"/>
    </row>
    <row r="14" spans="2:19" s="144" customFormat="1" ht="18" customHeight="1">
      <c r="B14" s="712"/>
      <c r="C14" s="709"/>
      <c r="D14" s="688"/>
      <c r="E14" s="255" t="s">
        <v>197</v>
      </c>
      <c r="F14" s="246">
        <f>'６　資本装備と減価償却'!L48*'７－３　水稲部門（加工用米）収支'!H14</f>
        <v>73422.92000000001</v>
      </c>
      <c r="G14" s="209" t="s">
        <v>202</v>
      </c>
      <c r="H14" s="421">
        <v>0.05</v>
      </c>
      <c r="I14" s="676" t="s">
        <v>204</v>
      </c>
      <c r="J14" s="677"/>
      <c r="K14" s="679"/>
      <c r="L14" s="242"/>
      <c r="M14" s="238"/>
      <c r="N14" s="174"/>
      <c r="O14" s="174"/>
      <c r="P14" s="174">
        <f>N14*O14</f>
        <v>0</v>
      </c>
      <c r="Q14" s="726"/>
      <c r="R14" s="671"/>
      <c r="S14" s="672"/>
    </row>
    <row r="15" spans="2:19" s="144" customFormat="1" ht="18" customHeight="1" thickBot="1">
      <c r="B15" s="712"/>
      <c r="C15" s="709"/>
      <c r="D15" s="687" t="s">
        <v>93</v>
      </c>
      <c r="E15" s="255" t="s">
        <v>196</v>
      </c>
      <c r="F15" s="246">
        <f>'６　資本装備と減価償却'!P15</f>
        <v>36513</v>
      </c>
      <c r="G15" s="209" t="s">
        <v>204</v>
      </c>
      <c r="H15" s="226"/>
      <c r="I15" s="226"/>
      <c r="J15" s="254"/>
      <c r="K15" s="679"/>
      <c r="L15" s="156" t="s">
        <v>29</v>
      </c>
      <c r="M15" s="155"/>
      <c r="N15" s="156"/>
      <c r="O15" s="156"/>
      <c r="P15" s="156">
        <f>SUM(P13:P14)</f>
        <v>16500</v>
      </c>
      <c r="Q15" s="664"/>
      <c r="R15" s="665"/>
      <c r="S15" s="666"/>
    </row>
    <row r="16" spans="2:19" s="144" customFormat="1" ht="18" customHeight="1" thickTop="1">
      <c r="B16" s="712"/>
      <c r="C16" s="709"/>
      <c r="D16" s="689"/>
      <c r="E16" s="255" t="s">
        <v>197</v>
      </c>
      <c r="F16" s="246">
        <f>'６　資本装備と減価償却'!P48</f>
        <v>218422.62857142856</v>
      </c>
      <c r="G16" s="209" t="s">
        <v>204</v>
      </c>
      <c r="H16" s="226"/>
      <c r="I16" s="226"/>
      <c r="J16" s="254"/>
      <c r="K16" s="679"/>
      <c r="L16" s="233" t="s">
        <v>171</v>
      </c>
      <c r="M16" s="234"/>
      <c r="N16" s="320" t="s">
        <v>263</v>
      </c>
      <c r="O16" s="235" t="s">
        <v>24</v>
      </c>
      <c r="P16" s="236" t="s">
        <v>27</v>
      </c>
      <c r="Q16" s="667" t="s">
        <v>28</v>
      </c>
      <c r="R16" s="668"/>
      <c r="S16" s="669"/>
    </row>
    <row r="17" spans="2:19" s="144" customFormat="1" ht="18" customHeight="1">
      <c r="B17" s="712"/>
      <c r="C17" s="709"/>
      <c r="D17" s="688"/>
      <c r="E17" s="246" t="s">
        <v>64</v>
      </c>
      <c r="F17" s="246">
        <f>'６　資本装備と減価償却'!P53</f>
        <v>0</v>
      </c>
      <c r="G17" s="209" t="s">
        <v>204</v>
      </c>
      <c r="H17" s="226"/>
      <c r="I17" s="226"/>
      <c r="J17" s="254"/>
      <c r="K17" s="679"/>
      <c r="L17" s="237" t="s">
        <v>177</v>
      </c>
      <c r="M17" s="238"/>
      <c r="N17" s="209" t="s">
        <v>326</v>
      </c>
      <c r="O17" s="230"/>
      <c r="P17" s="228">
        <f>'８－３　水稲算出基礎（加工用米）'!G7</f>
        <v>0</v>
      </c>
      <c r="Q17" s="655"/>
      <c r="R17" s="656"/>
      <c r="S17" s="657"/>
    </row>
    <row r="18" spans="1:19" s="144" customFormat="1" ht="18" customHeight="1">
      <c r="A18" s="143"/>
      <c r="B18" s="712"/>
      <c r="C18" s="709"/>
      <c r="D18" s="725" t="s">
        <v>268</v>
      </c>
      <c r="E18" s="250" t="s">
        <v>127</v>
      </c>
      <c r="F18" s="246">
        <v>0</v>
      </c>
      <c r="G18" s="209"/>
      <c r="H18" s="226"/>
      <c r="I18" s="226"/>
      <c r="J18" s="254"/>
      <c r="K18" s="679"/>
      <c r="L18" s="237" t="s">
        <v>175</v>
      </c>
      <c r="M18" s="238"/>
      <c r="N18" s="209" t="s">
        <v>281</v>
      </c>
      <c r="O18" s="230"/>
      <c r="P18" s="228">
        <f>'８－３　水稲算出基礎（加工用米）'!G11</f>
        <v>38400</v>
      </c>
      <c r="Q18" s="655"/>
      <c r="R18" s="656"/>
      <c r="S18" s="657"/>
    </row>
    <row r="19" spans="1:19" s="144" customFormat="1" ht="18" customHeight="1">
      <c r="A19" s="143"/>
      <c r="B19" s="712"/>
      <c r="C19" s="709"/>
      <c r="D19" s="725"/>
      <c r="E19" s="250" t="s">
        <v>123</v>
      </c>
      <c r="F19" s="246">
        <f>J19*'５　水稲（食用米，加工用米）作業時間'!AO34</f>
        <v>37290.00000000001</v>
      </c>
      <c r="G19" s="209"/>
      <c r="H19" s="226"/>
      <c r="I19" s="265" t="s">
        <v>339</v>
      </c>
      <c r="J19" s="422">
        <v>1100</v>
      </c>
      <c r="K19" s="679"/>
      <c r="L19" s="209" t="s">
        <v>176</v>
      </c>
      <c r="M19" s="226"/>
      <c r="N19" s="209" t="s">
        <v>281</v>
      </c>
      <c r="O19" s="230"/>
      <c r="P19" s="228">
        <f>'８－３　水稲算出基礎（加工用米）'!G16</f>
        <v>80500</v>
      </c>
      <c r="Q19" s="655"/>
      <c r="R19" s="656"/>
      <c r="S19" s="657"/>
    </row>
    <row r="20" spans="1:19" s="144" customFormat="1" ht="18" customHeight="1">
      <c r="A20" s="143"/>
      <c r="B20" s="712"/>
      <c r="C20" s="709"/>
      <c r="D20" s="725"/>
      <c r="E20" s="250" t="s">
        <v>124</v>
      </c>
      <c r="F20" s="246">
        <f>J20*'５　水稲（食用米，加工用米）作業時間'!AP34</f>
        <v>55800</v>
      </c>
      <c r="G20" s="209"/>
      <c r="H20" s="226"/>
      <c r="I20" s="265" t="s">
        <v>340</v>
      </c>
      <c r="J20" s="422">
        <v>900</v>
      </c>
      <c r="K20" s="679"/>
      <c r="L20" s="209" t="s">
        <v>178</v>
      </c>
      <c r="M20" s="226"/>
      <c r="N20" s="209"/>
      <c r="O20" s="230"/>
      <c r="P20" s="228">
        <f>'８－３　水稲算出基礎（加工用米）'!G20</f>
        <v>0</v>
      </c>
      <c r="Q20" s="655"/>
      <c r="R20" s="656"/>
      <c r="S20" s="657"/>
    </row>
    <row r="21" spans="1:19" s="144" customFormat="1" ht="18" customHeight="1">
      <c r="A21" s="143"/>
      <c r="B21" s="712"/>
      <c r="C21" s="709"/>
      <c r="D21" s="725"/>
      <c r="E21" s="250" t="s">
        <v>125</v>
      </c>
      <c r="F21" s="246">
        <f>(F19+F20)*0.012</f>
        <v>1117.08</v>
      </c>
      <c r="G21" s="209"/>
      <c r="H21" s="226"/>
      <c r="I21" s="226"/>
      <c r="J21" s="254"/>
      <c r="K21" s="679"/>
      <c r="L21" s="209" t="s">
        <v>179</v>
      </c>
      <c r="M21" s="226"/>
      <c r="N21" s="209" t="s">
        <v>326</v>
      </c>
      <c r="O21" s="228"/>
      <c r="P21" s="228">
        <f>'８－３　水稲算出基礎（加工用米）'!G24</f>
        <v>20723.85</v>
      </c>
      <c r="Q21" s="655"/>
      <c r="R21" s="656"/>
      <c r="S21" s="657"/>
    </row>
    <row r="22" spans="1:19" s="144" customFormat="1" ht="18" customHeight="1" thickBot="1">
      <c r="A22" s="143"/>
      <c r="B22" s="712"/>
      <c r="C22" s="709"/>
      <c r="D22" s="725" t="s">
        <v>65</v>
      </c>
      <c r="E22" s="250" t="s">
        <v>66</v>
      </c>
      <c r="F22" s="246">
        <f>I22*10</f>
        <v>23760</v>
      </c>
      <c r="G22" s="209"/>
      <c r="H22" s="226"/>
      <c r="I22" s="226">
        <v>2376</v>
      </c>
      <c r="J22" s="254" t="s">
        <v>338</v>
      </c>
      <c r="K22" s="679"/>
      <c r="L22" s="156" t="s">
        <v>29</v>
      </c>
      <c r="M22" s="155"/>
      <c r="N22" s="156"/>
      <c r="O22" s="156"/>
      <c r="P22" s="156">
        <f>SUM(P17:P21)</f>
        <v>139623.85</v>
      </c>
      <c r="Q22" s="664"/>
      <c r="R22" s="665"/>
      <c r="S22" s="666"/>
    </row>
    <row r="23" spans="1:19" s="144" customFormat="1" ht="18" customHeight="1" thickTop="1">
      <c r="A23" s="143"/>
      <c r="B23" s="712"/>
      <c r="C23" s="709"/>
      <c r="D23" s="725"/>
      <c r="E23" s="250" t="s">
        <v>94</v>
      </c>
      <c r="F23" s="246">
        <f>I23*10</f>
        <v>50000</v>
      </c>
      <c r="G23" s="209"/>
      <c r="H23" s="226"/>
      <c r="I23" s="226">
        <v>5000</v>
      </c>
      <c r="J23" s="254" t="s">
        <v>338</v>
      </c>
      <c r="K23" s="679"/>
      <c r="L23" s="209" t="s">
        <v>172</v>
      </c>
      <c r="M23" s="226"/>
      <c r="N23" s="227" t="s">
        <v>26</v>
      </c>
      <c r="O23" s="227" t="s">
        <v>24</v>
      </c>
      <c r="P23" s="227" t="s">
        <v>27</v>
      </c>
      <c r="Q23" s="667" t="s">
        <v>28</v>
      </c>
      <c r="R23" s="668"/>
      <c r="S23" s="669"/>
    </row>
    <row r="24" spans="1:19" s="144" customFormat="1" ht="18" customHeight="1">
      <c r="A24" s="143"/>
      <c r="B24" s="712"/>
      <c r="C24" s="709"/>
      <c r="D24" s="246" t="s">
        <v>67</v>
      </c>
      <c r="E24" s="247"/>
      <c r="F24" s="246">
        <f>I24*10</f>
        <v>30000</v>
      </c>
      <c r="G24" s="209"/>
      <c r="H24" s="226"/>
      <c r="I24" s="423">
        <v>3000</v>
      </c>
      <c r="J24" s="254" t="s">
        <v>338</v>
      </c>
      <c r="K24" s="679"/>
      <c r="L24" s="228" t="s">
        <v>30</v>
      </c>
      <c r="M24" s="226"/>
      <c r="N24" s="209" t="s">
        <v>328</v>
      </c>
      <c r="O24" s="228"/>
      <c r="P24" s="228">
        <f>'８－３　水稲算出基礎（加工用米）'!G38</f>
        <v>5222.634</v>
      </c>
      <c r="Q24" s="655"/>
      <c r="R24" s="656"/>
      <c r="S24" s="657"/>
    </row>
    <row r="25" spans="1:19" s="144" customFormat="1" ht="18" customHeight="1">
      <c r="A25" s="143"/>
      <c r="B25" s="712"/>
      <c r="C25" s="709"/>
      <c r="D25" s="246" t="s">
        <v>174</v>
      </c>
      <c r="E25" s="247"/>
      <c r="F25" s="246">
        <f>SUM(F6:F24)/99</f>
        <v>8123.28151048581</v>
      </c>
      <c r="G25" s="256" t="s">
        <v>225</v>
      </c>
      <c r="H25" s="270">
        <v>0.01</v>
      </c>
      <c r="I25" s="157"/>
      <c r="J25" s="424"/>
      <c r="K25" s="679"/>
      <c r="L25" s="228" t="s">
        <v>31</v>
      </c>
      <c r="M25" s="226"/>
      <c r="N25" s="209" t="s">
        <v>330</v>
      </c>
      <c r="O25" s="228"/>
      <c r="P25" s="228">
        <f>'８－３　水稲算出基礎（加工用米）'!G49</f>
        <v>4090.863</v>
      </c>
      <c r="Q25" s="655"/>
      <c r="R25" s="656"/>
      <c r="S25" s="657"/>
    </row>
    <row r="26" spans="1:19" s="144" customFormat="1" ht="18" customHeight="1">
      <c r="A26" s="143"/>
      <c r="B26" s="712"/>
      <c r="C26" s="710"/>
      <c r="D26" s="702" t="s">
        <v>216</v>
      </c>
      <c r="E26" s="703"/>
      <c r="F26" s="172">
        <f>SUM(F6:F25)</f>
        <v>812328.151048581</v>
      </c>
      <c r="G26" s="228"/>
      <c r="H26" s="157"/>
      <c r="I26" s="157"/>
      <c r="J26" s="253"/>
      <c r="K26" s="679"/>
      <c r="L26" s="228" t="s">
        <v>32</v>
      </c>
      <c r="M26" s="226"/>
      <c r="N26" s="209" t="s">
        <v>326</v>
      </c>
      <c r="O26" s="228"/>
      <c r="P26" s="228">
        <f>'８－３　水稲算出基礎（加工用米）'!G53</f>
        <v>24330</v>
      </c>
      <c r="Q26" s="655"/>
      <c r="R26" s="656"/>
      <c r="S26" s="657"/>
    </row>
    <row r="27" spans="1:19" s="144" customFormat="1" ht="18" customHeight="1">
      <c r="A27" s="143"/>
      <c r="B27" s="712"/>
      <c r="C27" s="697" t="s">
        <v>203</v>
      </c>
      <c r="D27" s="619" t="s">
        <v>68</v>
      </c>
      <c r="E27" s="57" t="s">
        <v>3</v>
      </c>
      <c r="F27" s="149">
        <f>P11/30*J27</f>
        <v>16000</v>
      </c>
      <c r="G27" s="237"/>
      <c r="H27" s="226"/>
      <c r="I27" s="154" t="s">
        <v>345</v>
      </c>
      <c r="J27" s="360">
        <v>80</v>
      </c>
      <c r="K27" s="679"/>
      <c r="L27" s="228" t="s">
        <v>327</v>
      </c>
      <c r="M27" s="226"/>
      <c r="N27" s="209" t="s">
        <v>330</v>
      </c>
      <c r="O27" s="228"/>
      <c r="P27" s="228">
        <f>'８－３　水稲算出基礎（加工用米）'!G57</f>
        <v>28636.513166666664</v>
      </c>
      <c r="Q27" s="655"/>
      <c r="R27" s="656"/>
      <c r="S27" s="657"/>
    </row>
    <row r="28" spans="1:19" s="144" customFormat="1" ht="18" customHeight="1" thickBot="1">
      <c r="A28" s="143"/>
      <c r="B28" s="712"/>
      <c r="C28" s="698"/>
      <c r="D28" s="622"/>
      <c r="E28" s="57" t="s">
        <v>4</v>
      </c>
      <c r="F28" s="173">
        <v>0</v>
      </c>
      <c r="G28" s="237"/>
      <c r="H28" s="257"/>
      <c r="I28" s="257"/>
      <c r="J28" s="258"/>
      <c r="K28" s="679"/>
      <c r="L28" s="156" t="s">
        <v>29</v>
      </c>
      <c r="M28" s="155"/>
      <c r="N28" s="156"/>
      <c r="O28" s="156"/>
      <c r="P28" s="156">
        <f>SUM(P24:P27)</f>
        <v>62280.01016666667</v>
      </c>
      <c r="Q28" s="664"/>
      <c r="R28" s="665"/>
      <c r="S28" s="666"/>
    </row>
    <row r="29" spans="1:19" s="144" customFormat="1" ht="18" customHeight="1" thickTop="1">
      <c r="A29" s="143"/>
      <c r="B29" s="712"/>
      <c r="C29" s="698"/>
      <c r="D29" s="620"/>
      <c r="E29" s="57" t="s">
        <v>8</v>
      </c>
      <c r="F29" s="149">
        <f>P11/30*J29</f>
        <v>5000</v>
      </c>
      <c r="G29" s="237"/>
      <c r="H29" s="157"/>
      <c r="I29" s="257" t="s">
        <v>346</v>
      </c>
      <c r="J29" s="361">
        <v>25</v>
      </c>
      <c r="K29" s="679"/>
      <c r="L29" s="209" t="s">
        <v>173</v>
      </c>
      <c r="M29" s="226"/>
      <c r="N29" s="227" t="s">
        <v>26</v>
      </c>
      <c r="O29" s="227" t="s">
        <v>24</v>
      </c>
      <c r="P29" s="227" t="s">
        <v>27</v>
      </c>
      <c r="Q29" s="667" t="s">
        <v>28</v>
      </c>
      <c r="R29" s="668"/>
      <c r="S29" s="669"/>
    </row>
    <row r="30" spans="1:19" s="144" customFormat="1" ht="18" customHeight="1">
      <c r="A30" s="143"/>
      <c r="B30" s="712"/>
      <c r="C30" s="698"/>
      <c r="D30" s="57" t="s">
        <v>69</v>
      </c>
      <c r="E30" s="58"/>
      <c r="F30" s="149">
        <v>0</v>
      </c>
      <c r="G30" s="237"/>
      <c r="H30" s="157"/>
      <c r="I30" s="257"/>
      <c r="J30" s="259"/>
      <c r="K30" s="679"/>
      <c r="L30" s="228" t="s">
        <v>49</v>
      </c>
      <c r="M30" s="229"/>
      <c r="N30" s="209" t="s">
        <v>331</v>
      </c>
      <c r="O30" s="230"/>
      <c r="P30" s="228">
        <f>'８－３　水稲算出基礎（加工用米）'!N12</f>
        <v>9638.859999999999</v>
      </c>
      <c r="Q30" s="673"/>
      <c r="R30" s="674"/>
      <c r="S30" s="675"/>
    </row>
    <row r="31" spans="1:19" s="144" customFormat="1" ht="18" customHeight="1">
      <c r="A31" s="143"/>
      <c r="B31" s="712"/>
      <c r="C31" s="698"/>
      <c r="D31" s="603" t="s">
        <v>269</v>
      </c>
      <c r="E31" s="67" t="s">
        <v>127</v>
      </c>
      <c r="F31" s="149">
        <v>0</v>
      </c>
      <c r="G31" s="237"/>
      <c r="H31" s="260"/>
      <c r="I31" s="260"/>
      <c r="J31" s="261"/>
      <c r="K31" s="679"/>
      <c r="L31" s="228" t="s">
        <v>48</v>
      </c>
      <c r="M31" s="229"/>
      <c r="N31" s="209" t="s">
        <v>332</v>
      </c>
      <c r="O31" s="230"/>
      <c r="P31" s="228">
        <f>'８－３　水稲算出基礎（加工用米）'!N16</f>
        <v>1463.6159999999998</v>
      </c>
      <c r="Q31" s="673"/>
      <c r="R31" s="674"/>
      <c r="S31" s="675"/>
    </row>
    <row r="32" spans="1:19" s="144" customFormat="1" ht="18" customHeight="1">
      <c r="A32" s="143"/>
      <c r="B32" s="712"/>
      <c r="C32" s="698"/>
      <c r="D32" s="603"/>
      <c r="E32" s="67" t="s">
        <v>126</v>
      </c>
      <c r="F32" s="149">
        <v>0</v>
      </c>
      <c r="G32" s="237"/>
      <c r="H32" s="262"/>
      <c r="I32" s="262"/>
      <c r="J32" s="263"/>
      <c r="K32" s="679"/>
      <c r="L32" s="228" t="s">
        <v>50</v>
      </c>
      <c r="M32" s="226"/>
      <c r="N32" s="230"/>
      <c r="O32" s="230"/>
      <c r="P32" s="228">
        <f>SUM(P30:P31)*R32</f>
        <v>3330.7427999999995</v>
      </c>
      <c r="Q32" s="231" t="s">
        <v>33</v>
      </c>
      <c r="R32" s="232">
        <v>0.3</v>
      </c>
      <c r="S32" s="158"/>
    </row>
    <row r="33" spans="2:19" ht="18" customHeight="1">
      <c r="B33" s="712"/>
      <c r="C33" s="698"/>
      <c r="D33" s="57" t="s">
        <v>70</v>
      </c>
      <c r="E33" s="68"/>
      <c r="F33" s="149">
        <v>0</v>
      </c>
      <c r="G33" s="237"/>
      <c r="H33" s="264"/>
      <c r="I33" s="265"/>
      <c r="J33" s="259"/>
      <c r="K33" s="679"/>
      <c r="L33" s="228" t="s">
        <v>51</v>
      </c>
      <c r="M33" s="229"/>
      <c r="N33" s="209"/>
      <c r="O33" s="230"/>
      <c r="P33" s="228">
        <f>'８－３　水稲算出基礎（加工用米）'!N20</f>
        <v>0</v>
      </c>
      <c r="Q33" s="655"/>
      <c r="R33" s="656"/>
      <c r="S33" s="657"/>
    </row>
    <row r="34" spans="2:19" ht="18" customHeight="1">
      <c r="B34" s="712"/>
      <c r="C34" s="698"/>
      <c r="D34" s="57" t="s">
        <v>95</v>
      </c>
      <c r="E34" s="68"/>
      <c r="F34" s="149">
        <v>0</v>
      </c>
      <c r="G34" s="237"/>
      <c r="H34" s="266"/>
      <c r="I34" s="267"/>
      <c r="J34" s="268"/>
      <c r="K34" s="679"/>
      <c r="L34" s="228" t="s">
        <v>52</v>
      </c>
      <c r="M34" s="229"/>
      <c r="N34" s="209" t="s">
        <v>332</v>
      </c>
      <c r="O34" s="230"/>
      <c r="P34" s="228">
        <f>'８－３　水稲算出基礎（加工用米）'!N24</f>
        <v>17563.242</v>
      </c>
      <c r="Q34" s="655"/>
      <c r="R34" s="656"/>
      <c r="S34" s="657"/>
    </row>
    <row r="35" spans="2:19" ht="18" customHeight="1">
      <c r="B35" s="712"/>
      <c r="C35" s="698"/>
      <c r="D35" s="57" t="s">
        <v>130</v>
      </c>
      <c r="E35" s="58"/>
      <c r="F35" s="173">
        <f>'８－３　水稲算出基礎（加工用米）'!V57</f>
        <v>7952.777777777778</v>
      </c>
      <c r="G35" s="661"/>
      <c r="H35" s="662"/>
      <c r="I35" s="662"/>
      <c r="J35" s="663"/>
      <c r="K35" s="679"/>
      <c r="L35" s="228" t="s">
        <v>267</v>
      </c>
      <c r="M35" s="229"/>
      <c r="N35" s="209"/>
      <c r="O35" s="230"/>
      <c r="P35" s="228">
        <f>'８－３　水稲算出基礎（加工用米）'!N28</f>
        <v>0</v>
      </c>
      <c r="Q35" s="655"/>
      <c r="R35" s="656"/>
      <c r="S35" s="657"/>
    </row>
    <row r="36" spans="2:19" ht="18" customHeight="1">
      <c r="B36" s="712"/>
      <c r="C36" s="698"/>
      <c r="D36" s="78" t="s">
        <v>96</v>
      </c>
      <c r="E36" s="79"/>
      <c r="F36" s="269">
        <v>0</v>
      </c>
      <c r="G36" s="209"/>
      <c r="H36" s="266"/>
      <c r="I36" s="267"/>
      <c r="J36" s="259"/>
      <c r="K36" s="679"/>
      <c r="L36" s="228" t="s">
        <v>53</v>
      </c>
      <c r="M36" s="226"/>
      <c r="N36" s="209" t="s">
        <v>333</v>
      </c>
      <c r="O36" s="230"/>
      <c r="P36" s="228">
        <f>'８－３　水稲算出基礎（加工用米）'!N32</f>
        <v>3811.2200000000003</v>
      </c>
      <c r="Q36" s="655"/>
      <c r="R36" s="656"/>
      <c r="S36" s="657"/>
    </row>
    <row r="37" spans="2:19" ht="18" customHeight="1" thickBot="1">
      <c r="B37" s="712"/>
      <c r="C37" s="698"/>
      <c r="D37" s="57" t="s">
        <v>71</v>
      </c>
      <c r="E37" s="58"/>
      <c r="F37" s="173">
        <f>'８－３　水稲算出基礎（加工用米）'!N57</f>
        <v>4073.9673333333335</v>
      </c>
      <c r="G37" s="661"/>
      <c r="H37" s="662"/>
      <c r="I37" s="662"/>
      <c r="J37" s="663"/>
      <c r="K37" s="680"/>
      <c r="L37" s="165" t="s">
        <v>29</v>
      </c>
      <c r="M37" s="164"/>
      <c r="N37" s="165"/>
      <c r="O37" s="165"/>
      <c r="P37" s="165">
        <f>SUM(P30:P36)</f>
        <v>35807.680799999995</v>
      </c>
      <c r="Q37" s="658"/>
      <c r="R37" s="659"/>
      <c r="S37" s="660"/>
    </row>
    <row r="38" spans="1:10" s="159" customFormat="1" ht="18" customHeight="1">
      <c r="A38" s="143"/>
      <c r="B38" s="712"/>
      <c r="C38" s="698"/>
      <c r="D38" s="57" t="s">
        <v>0</v>
      </c>
      <c r="E38" s="68"/>
      <c r="F38" s="173">
        <v>0</v>
      </c>
      <c r="G38" s="15"/>
      <c r="H38" s="222"/>
      <c r="I38" s="223"/>
      <c r="J38" s="221"/>
    </row>
    <row r="39" spans="1:20" s="159" customFormat="1" ht="18" customHeight="1" thickBot="1">
      <c r="A39" s="143"/>
      <c r="B39" s="713"/>
      <c r="C39" s="699"/>
      <c r="D39" s="700" t="s">
        <v>215</v>
      </c>
      <c r="E39" s="701"/>
      <c r="F39" s="216">
        <f>SUM(F27:F38)</f>
        <v>33026.74511111111</v>
      </c>
      <c r="G39" s="217"/>
      <c r="H39" s="218"/>
      <c r="I39" s="219"/>
      <c r="J39" s="220"/>
      <c r="T39" s="160"/>
    </row>
    <row r="40" spans="1:23" s="159" customFormat="1" ht="18" customHeight="1">
      <c r="A40" s="143"/>
      <c r="B40" s="714" t="s">
        <v>219</v>
      </c>
      <c r="C40" s="717" t="s">
        <v>73</v>
      </c>
      <c r="D40" s="212" t="s">
        <v>129</v>
      </c>
      <c r="E40" s="213"/>
      <c r="F40" s="214">
        <f>J40*10</f>
        <v>470000</v>
      </c>
      <c r="G40" s="209" t="s">
        <v>443</v>
      </c>
      <c r="H40" s="215"/>
      <c r="I40" s="215"/>
      <c r="J40" s="362">
        <v>47000</v>
      </c>
      <c r="T40" s="144"/>
      <c r="U40" s="144"/>
      <c r="V40" s="144"/>
      <c r="W40" s="144"/>
    </row>
    <row r="41" spans="1:23" s="159" customFormat="1" ht="18" customHeight="1">
      <c r="A41" s="143"/>
      <c r="B41" s="715"/>
      <c r="C41" s="718"/>
      <c r="D41" s="57" t="s">
        <v>128</v>
      </c>
      <c r="E41" s="58"/>
      <c r="F41" s="207">
        <v>0</v>
      </c>
      <c r="G41" s="209"/>
      <c r="H41" s="166"/>
      <c r="I41" s="166"/>
      <c r="J41" s="224"/>
      <c r="T41" s="161"/>
      <c r="U41" s="162"/>
      <c r="V41" s="163"/>
      <c r="W41" s="161"/>
    </row>
    <row r="42" spans="1:23" s="159" customFormat="1" ht="18" customHeight="1">
      <c r="A42" s="143"/>
      <c r="B42" s="715"/>
      <c r="C42" s="719"/>
      <c r="D42" s="78" t="s">
        <v>72</v>
      </c>
      <c r="E42" s="58"/>
      <c r="F42" s="207">
        <v>0</v>
      </c>
      <c r="G42" s="209"/>
      <c r="H42" s="166"/>
      <c r="I42" s="166"/>
      <c r="J42" s="224"/>
      <c r="T42" s="144"/>
      <c r="U42" s="144"/>
      <c r="V42" s="144"/>
      <c r="W42" s="144"/>
    </row>
    <row r="43" spans="2:23" s="159" customFormat="1" ht="18" customHeight="1">
      <c r="B43" s="715"/>
      <c r="C43" s="720" t="s">
        <v>218</v>
      </c>
      <c r="D43" s="78" t="s">
        <v>270</v>
      </c>
      <c r="E43" s="79"/>
      <c r="F43" s="207">
        <v>0</v>
      </c>
      <c r="G43" s="209"/>
      <c r="H43" s="166"/>
      <c r="I43" s="166"/>
      <c r="J43" s="224"/>
      <c r="T43" s="145"/>
      <c r="U43" s="160"/>
      <c r="V43" s="144"/>
      <c r="W43" s="161"/>
    </row>
    <row r="44" spans="2:23" s="159" customFormat="1" ht="18" customHeight="1">
      <c r="B44" s="715"/>
      <c r="C44" s="721"/>
      <c r="D44" s="80" t="s">
        <v>1</v>
      </c>
      <c r="E44" s="81"/>
      <c r="F44" s="207">
        <v>0</v>
      </c>
      <c r="G44" s="209"/>
      <c r="H44" s="166"/>
      <c r="I44" s="166"/>
      <c r="J44" s="224"/>
      <c r="T44" s="145"/>
      <c r="U44" s="160"/>
      <c r="V44" s="144"/>
      <c r="W44" s="161"/>
    </row>
    <row r="45" spans="2:23" s="159" customFormat="1" ht="18" customHeight="1" thickBot="1">
      <c r="B45" s="716"/>
      <c r="C45" s="722" t="s">
        <v>98</v>
      </c>
      <c r="D45" s="723"/>
      <c r="E45" s="724"/>
      <c r="F45" s="208">
        <f>SUM(F40:F42)-SUM(F43:F44)</f>
        <v>470000</v>
      </c>
      <c r="G45" s="167"/>
      <c r="H45" s="168"/>
      <c r="I45" s="168"/>
      <c r="J45" s="225"/>
      <c r="T45" s="144"/>
      <c r="U45" s="144"/>
      <c r="V45" s="162"/>
      <c r="W45" s="144"/>
    </row>
  </sheetData>
  <sheetProtection/>
  <mergeCells count="58">
    <mergeCell ref="B3:E3"/>
    <mergeCell ref="K3:S3"/>
    <mergeCell ref="B4:C5"/>
    <mergeCell ref="R4:S4"/>
    <mergeCell ref="R5:S5"/>
    <mergeCell ref="Q33:S33"/>
    <mergeCell ref="Q22:S22"/>
    <mergeCell ref="Q23:S23"/>
    <mergeCell ref="Q12:S12"/>
    <mergeCell ref="Q24:S24"/>
    <mergeCell ref="Q29:S29"/>
    <mergeCell ref="Q30:S30"/>
    <mergeCell ref="Q20:S20"/>
    <mergeCell ref="Q36:S36"/>
    <mergeCell ref="R9:S9"/>
    <mergeCell ref="Q27:S27"/>
    <mergeCell ref="Q28:S28"/>
    <mergeCell ref="Q18:S18"/>
    <mergeCell ref="Q35:S35"/>
    <mergeCell ref="R10:S10"/>
    <mergeCell ref="I13:J13"/>
    <mergeCell ref="Q13:S13"/>
    <mergeCell ref="Q25:S25"/>
    <mergeCell ref="Q15:S15"/>
    <mergeCell ref="Q16:S16"/>
    <mergeCell ref="Q17:S17"/>
    <mergeCell ref="Q21:S21"/>
    <mergeCell ref="Q19:S19"/>
    <mergeCell ref="B40:B45"/>
    <mergeCell ref="C40:C42"/>
    <mergeCell ref="C43:C44"/>
    <mergeCell ref="C45:E45"/>
    <mergeCell ref="K12:K37"/>
    <mergeCell ref="G37:J37"/>
    <mergeCell ref="B6:B39"/>
    <mergeCell ref="D26:E26"/>
    <mergeCell ref="C27:C39"/>
    <mergeCell ref="G11:J11"/>
    <mergeCell ref="Q37:S37"/>
    <mergeCell ref="D39:E39"/>
    <mergeCell ref="R6:S6"/>
    <mergeCell ref="R7:S7"/>
    <mergeCell ref="R8:S8"/>
    <mergeCell ref="Q34:S34"/>
    <mergeCell ref="I14:J14"/>
    <mergeCell ref="Q14:S14"/>
    <mergeCell ref="D31:D32"/>
    <mergeCell ref="Q26:S26"/>
    <mergeCell ref="Q31:S31"/>
    <mergeCell ref="D15:D17"/>
    <mergeCell ref="G35:J35"/>
    <mergeCell ref="C6:C26"/>
    <mergeCell ref="D18:D21"/>
    <mergeCell ref="D13:D14"/>
    <mergeCell ref="D22:D23"/>
    <mergeCell ref="G10:J10"/>
    <mergeCell ref="D27:D29"/>
    <mergeCell ref="R11:S11"/>
  </mergeCells>
  <printOptions/>
  <pageMargins left="1.1811023622047245" right="0.7874015748031497" top="0.7874015748031497" bottom="0.7874015748031497" header="0.3937007874015748" footer="0.3937007874015748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V192"/>
  <sheetViews>
    <sheetView zoomScale="75" zoomScaleNormal="75" zoomScalePageLayoutView="80" workbookViewId="0" topLeftCell="A1">
      <selection activeCell="A1" sqref="A1"/>
    </sheetView>
  </sheetViews>
  <sheetFormatPr defaultColWidth="9.00390625" defaultRowHeight="13.5"/>
  <cols>
    <col min="1" max="1" width="1.625" style="87" customWidth="1"/>
    <col min="2" max="2" width="3.625" style="87" customWidth="1"/>
    <col min="3" max="3" width="19.50390625" style="87" customWidth="1"/>
    <col min="4" max="7" width="8.625" style="87" customWidth="1"/>
    <col min="8" max="8" width="2.375" style="200" customWidth="1"/>
    <col min="9" max="9" width="3.625" style="87" customWidth="1"/>
    <col min="10" max="10" width="15.625" style="87" customWidth="1"/>
    <col min="11" max="14" width="8.625" style="87" customWidth="1"/>
    <col min="15" max="15" width="3.50390625" style="87" customWidth="1"/>
    <col min="16" max="16" width="15.625" style="169" customWidth="1"/>
    <col min="17" max="17" width="8.625" style="87" customWidth="1"/>
    <col min="18" max="18" width="8.625" style="88" customWidth="1"/>
    <col min="19" max="21" width="8.625" style="87" customWidth="1"/>
    <col min="22" max="22" width="10.625" style="88" customWidth="1"/>
    <col min="23" max="16384" width="9.00390625" style="87" customWidth="1"/>
  </cols>
  <sheetData>
    <row r="1" ht="9.75" customHeight="1">
      <c r="A1" s="87" t="s">
        <v>358</v>
      </c>
    </row>
    <row r="2" spans="2:15" ht="24.75" customHeight="1">
      <c r="B2" s="1" t="s">
        <v>407</v>
      </c>
      <c r="C2" s="89"/>
      <c r="D2" s="13"/>
      <c r="E2" s="13"/>
      <c r="F2" s="89"/>
      <c r="G2" s="144"/>
      <c r="H2" s="154"/>
      <c r="I2" s="144"/>
      <c r="J2" s="144"/>
      <c r="K2" s="144"/>
      <c r="L2" s="144"/>
      <c r="M2" s="144"/>
      <c r="N2" s="144"/>
      <c r="O2" s="13"/>
    </row>
    <row r="3" spans="2:16" ht="15" customHeight="1" thickBot="1">
      <c r="B3" s="87" t="s">
        <v>220</v>
      </c>
      <c r="I3" s="13" t="s">
        <v>221</v>
      </c>
      <c r="P3" s="87" t="s">
        <v>241</v>
      </c>
    </row>
    <row r="4" spans="2:22" ht="15" customHeight="1">
      <c r="B4" s="290" t="s">
        <v>89</v>
      </c>
      <c r="C4" s="189" t="s">
        <v>181</v>
      </c>
      <c r="D4" s="189" t="s">
        <v>153</v>
      </c>
      <c r="E4" s="189" t="s">
        <v>154</v>
      </c>
      <c r="F4" s="354" t="s">
        <v>24</v>
      </c>
      <c r="G4" s="177" t="s">
        <v>155</v>
      </c>
      <c r="H4" s="190"/>
      <c r="I4" s="752" t="s">
        <v>89</v>
      </c>
      <c r="J4" s="750" t="s">
        <v>185</v>
      </c>
      <c r="K4" s="193" t="s">
        <v>182</v>
      </c>
      <c r="L4" s="193" t="s">
        <v>156</v>
      </c>
      <c r="M4" s="755" t="s">
        <v>24</v>
      </c>
      <c r="N4" s="757" t="s">
        <v>155</v>
      </c>
      <c r="O4" s="211"/>
      <c r="P4" s="291" t="s">
        <v>188</v>
      </c>
      <c r="Q4" s="292" t="s">
        <v>189</v>
      </c>
      <c r="R4" s="292" t="s">
        <v>190</v>
      </c>
      <c r="S4" s="292" t="s">
        <v>191</v>
      </c>
      <c r="T4" s="754" t="s">
        <v>192</v>
      </c>
      <c r="U4" s="707"/>
      <c r="V4" s="293" t="s">
        <v>193</v>
      </c>
    </row>
    <row r="5" spans="2:22" ht="15" customHeight="1">
      <c r="B5" s="766" t="s">
        <v>177</v>
      </c>
      <c r="C5" s="92"/>
      <c r="D5" s="92"/>
      <c r="E5" s="381"/>
      <c r="F5" s="92"/>
      <c r="G5" s="178">
        <f>D5*F5</f>
        <v>0</v>
      </c>
      <c r="H5" s="191"/>
      <c r="I5" s="753"/>
      <c r="J5" s="751"/>
      <c r="K5" s="195" t="s">
        <v>157</v>
      </c>
      <c r="L5" s="195" t="s">
        <v>300</v>
      </c>
      <c r="M5" s="756"/>
      <c r="N5" s="758"/>
      <c r="O5" s="211"/>
      <c r="P5" s="294" t="s">
        <v>413</v>
      </c>
      <c r="Q5" s="175"/>
      <c r="R5" s="206" t="s">
        <v>105</v>
      </c>
      <c r="S5" s="175"/>
      <c r="T5" s="744" t="s">
        <v>414</v>
      </c>
      <c r="U5" s="745"/>
      <c r="V5" s="411">
        <v>5806.666666666667</v>
      </c>
    </row>
    <row r="6" spans="2:22" ht="15" customHeight="1">
      <c r="B6" s="763"/>
      <c r="C6" s="86"/>
      <c r="D6" s="86"/>
      <c r="E6" s="91"/>
      <c r="F6" s="86"/>
      <c r="G6" s="179">
        <f>D6*F6</f>
        <v>0</v>
      </c>
      <c r="H6" s="191"/>
      <c r="I6" s="746" t="s">
        <v>184</v>
      </c>
      <c r="J6" s="92" t="s">
        <v>297</v>
      </c>
      <c r="K6" s="357">
        <v>4.2</v>
      </c>
      <c r="L6" s="357">
        <v>13</v>
      </c>
      <c r="M6" s="357">
        <v>84.7</v>
      </c>
      <c r="N6" s="342">
        <f aca="true" t="shared" si="0" ref="N6:N11">K6*L6*M6</f>
        <v>4624.62</v>
      </c>
      <c r="O6" s="211"/>
      <c r="P6" s="294"/>
      <c r="Q6" s="175"/>
      <c r="R6" s="206"/>
      <c r="S6" s="175"/>
      <c r="T6" s="744"/>
      <c r="U6" s="745"/>
      <c r="V6" s="201"/>
    </row>
    <row r="7" spans="2:22" ht="15" customHeight="1" thickBot="1">
      <c r="B7" s="765"/>
      <c r="C7" s="180" t="s">
        <v>158</v>
      </c>
      <c r="D7" s="180"/>
      <c r="E7" s="180"/>
      <c r="F7" s="180"/>
      <c r="G7" s="181">
        <f>SUM(G5:G6)</f>
        <v>0</v>
      </c>
      <c r="H7" s="191"/>
      <c r="I7" s="747"/>
      <c r="J7" s="92" t="s">
        <v>298</v>
      </c>
      <c r="K7" s="357">
        <v>2.6</v>
      </c>
      <c r="L7" s="357">
        <f>5+6.5</f>
        <v>11.5</v>
      </c>
      <c r="M7" s="357">
        <v>84.7</v>
      </c>
      <c r="N7" s="342">
        <f t="shared" si="0"/>
        <v>2532.53</v>
      </c>
      <c r="O7" s="211"/>
      <c r="P7" s="294"/>
      <c r="Q7" s="175"/>
      <c r="R7" s="206"/>
      <c r="S7" s="175"/>
      <c r="T7" s="744"/>
      <c r="U7" s="745"/>
      <c r="V7" s="201"/>
    </row>
    <row r="8" spans="2:22" ht="15" customHeight="1" thickTop="1">
      <c r="B8" s="762" t="s">
        <v>175</v>
      </c>
      <c r="C8" s="86" t="s">
        <v>392</v>
      </c>
      <c r="D8" s="86">
        <v>10</v>
      </c>
      <c r="E8" s="91" t="s">
        <v>282</v>
      </c>
      <c r="F8" s="86">
        <v>3840</v>
      </c>
      <c r="G8" s="179">
        <f>D8*F8</f>
        <v>38400</v>
      </c>
      <c r="H8" s="191"/>
      <c r="I8" s="747"/>
      <c r="J8" s="92" t="s">
        <v>306</v>
      </c>
      <c r="K8" s="357">
        <v>1.2</v>
      </c>
      <c r="L8" s="357">
        <v>3</v>
      </c>
      <c r="M8" s="357">
        <v>84.7</v>
      </c>
      <c r="N8" s="342">
        <f t="shared" si="0"/>
        <v>304.91999999999996</v>
      </c>
      <c r="O8" s="211"/>
      <c r="P8" s="294"/>
      <c r="Q8" s="175"/>
      <c r="R8" s="206"/>
      <c r="S8" s="175"/>
      <c r="T8" s="744"/>
      <c r="U8" s="745"/>
      <c r="V8" s="201"/>
    </row>
    <row r="9" spans="2:22" ht="15" customHeight="1">
      <c r="B9" s="763"/>
      <c r="C9" s="86"/>
      <c r="D9" s="86"/>
      <c r="E9" s="91"/>
      <c r="F9" s="86"/>
      <c r="G9" s="179">
        <f>D9*F9</f>
        <v>0</v>
      </c>
      <c r="H9" s="191"/>
      <c r="I9" s="747"/>
      <c r="J9" s="402" t="s">
        <v>301</v>
      </c>
      <c r="K9" s="403">
        <v>4.3</v>
      </c>
      <c r="L9" s="403">
        <v>5</v>
      </c>
      <c r="M9" s="357">
        <v>84.7</v>
      </c>
      <c r="N9" s="350">
        <f t="shared" si="0"/>
        <v>1821.05</v>
      </c>
      <c r="O9" s="211"/>
      <c r="P9" s="294"/>
      <c r="Q9" s="175"/>
      <c r="R9" s="206"/>
      <c r="S9" s="175"/>
      <c r="T9" s="744"/>
      <c r="U9" s="745"/>
      <c r="V9" s="201"/>
    </row>
    <row r="10" spans="2:22" ht="15" customHeight="1">
      <c r="B10" s="763"/>
      <c r="C10" s="86"/>
      <c r="D10" s="86"/>
      <c r="E10" s="91"/>
      <c r="F10" s="86"/>
      <c r="G10" s="179">
        <f>D10*F10</f>
        <v>0</v>
      </c>
      <c r="H10" s="191"/>
      <c r="I10" s="747"/>
      <c r="J10" s="405"/>
      <c r="K10" s="406"/>
      <c r="L10" s="406"/>
      <c r="M10" s="357"/>
      <c r="N10" s="352"/>
      <c r="O10" s="211"/>
      <c r="P10" s="294"/>
      <c r="Q10" s="175"/>
      <c r="R10" s="206"/>
      <c r="S10" s="175"/>
      <c r="T10" s="351"/>
      <c r="U10" s="340"/>
      <c r="V10" s="201"/>
    </row>
    <row r="11" spans="2:22" ht="15" customHeight="1" thickBot="1">
      <c r="B11" s="765"/>
      <c r="C11" s="182" t="s">
        <v>159</v>
      </c>
      <c r="D11" s="183"/>
      <c r="E11" s="183"/>
      <c r="F11" s="183"/>
      <c r="G11" s="184">
        <f>SUM(G8:G10)</f>
        <v>38400</v>
      </c>
      <c r="H11" s="191"/>
      <c r="I11" s="747"/>
      <c r="J11" s="408" t="s">
        <v>303</v>
      </c>
      <c r="K11" s="409">
        <v>1.2</v>
      </c>
      <c r="L11" s="409">
        <v>3.5</v>
      </c>
      <c r="M11" s="357">
        <v>84.7</v>
      </c>
      <c r="N11" s="353">
        <f t="shared" si="0"/>
        <v>355.74</v>
      </c>
      <c r="O11" s="211"/>
      <c r="P11" s="294"/>
      <c r="Q11" s="175"/>
      <c r="R11" s="206"/>
      <c r="S11" s="175"/>
      <c r="T11" s="744"/>
      <c r="U11" s="745"/>
      <c r="V11" s="201"/>
    </row>
    <row r="12" spans="2:22" ht="15" customHeight="1" thickBot="1" thickTop="1">
      <c r="B12" s="762" t="s">
        <v>176</v>
      </c>
      <c r="C12" s="92" t="s">
        <v>444</v>
      </c>
      <c r="D12" s="92">
        <v>350</v>
      </c>
      <c r="E12" s="91" t="s">
        <v>295</v>
      </c>
      <c r="F12" s="86">
        <f>3210/20</f>
        <v>160.5</v>
      </c>
      <c r="G12" s="179">
        <f>D12*F12</f>
        <v>56175</v>
      </c>
      <c r="H12" s="191"/>
      <c r="I12" s="748"/>
      <c r="J12" s="182" t="s">
        <v>246</v>
      </c>
      <c r="K12" s="341">
        <f>SUM(K6:K9)</f>
        <v>12.3</v>
      </c>
      <c r="L12" s="341">
        <f>SUM(L6:L11)</f>
        <v>36</v>
      </c>
      <c r="M12" s="341"/>
      <c r="N12" s="343">
        <f>SUM(N6:N11)</f>
        <v>9638.859999999999</v>
      </c>
      <c r="O12" s="211"/>
      <c r="P12" s="294"/>
      <c r="Q12" s="175"/>
      <c r="R12" s="206"/>
      <c r="S12" s="175"/>
      <c r="T12" s="744"/>
      <c r="U12" s="745"/>
      <c r="V12" s="201"/>
    </row>
    <row r="13" spans="2:22" ht="15" customHeight="1" thickTop="1">
      <c r="B13" s="763"/>
      <c r="C13" s="86"/>
      <c r="D13" s="86"/>
      <c r="E13" s="91"/>
      <c r="F13" s="86"/>
      <c r="G13" s="179">
        <f>D13*F13</f>
        <v>0</v>
      </c>
      <c r="H13" s="191"/>
      <c r="I13" s="778" t="s">
        <v>247</v>
      </c>
      <c r="J13" s="86" t="s">
        <v>299</v>
      </c>
      <c r="K13" s="196">
        <v>2.8</v>
      </c>
      <c r="L13" s="196">
        <v>3.3</v>
      </c>
      <c r="M13" s="357">
        <v>158.4</v>
      </c>
      <c r="N13" s="342">
        <f>K13*L13*M13</f>
        <v>1463.6159999999998</v>
      </c>
      <c r="O13" s="211"/>
      <c r="P13" s="294"/>
      <c r="Q13" s="175"/>
      <c r="R13" s="206"/>
      <c r="S13" s="175"/>
      <c r="T13" s="744"/>
      <c r="U13" s="745"/>
      <c r="V13" s="201"/>
    </row>
    <row r="14" spans="2:22" ht="15" customHeight="1">
      <c r="B14" s="763"/>
      <c r="C14" s="86"/>
      <c r="D14" s="86"/>
      <c r="E14" s="91"/>
      <c r="F14" s="86"/>
      <c r="G14" s="179">
        <f>D14*F14</f>
        <v>0</v>
      </c>
      <c r="H14" s="191"/>
      <c r="I14" s="779"/>
      <c r="J14" s="86"/>
      <c r="K14" s="196"/>
      <c r="L14" s="196"/>
      <c r="M14" s="196"/>
      <c r="N14" s="342">
        <f>K14*L14*M14</f>
        <v>0</v>
      </c>
      <c r="O14" s="211"/>
      <c r="P14" s="294"/>
      <c r="Q14" s="175"/>
      <c r="R14" s="206"/>
      <c r="S14" s="175"/>
      <c r="T14" s="744"/>
      <c r="U14" s="745"/>
      <c r="V14" s="201"/>
    </row>
    <row r="15" spans="2:22" ht="15" customHeight="1">
      <c r="B15" s="763"/>
      <c r="C15" s="86"/>
      <c r="D15" s="86"/>
      <c r="E15" s="86"/>
      <c r="F15" s="86"/>
      <c r="G15" s="179">
        <f>D15*F15</f>
        <v>0</v>
      </c>
      <c r="H15" s="191"/>
      <c r="I15" s="779"/>
      <c r="J15" s="86"/>
      <c r="K15" s="196"/>
      <c r="L15" s="196"/>
      <c r="M15" s="196"/>
      <c r="N15" s="342">
        <f>K15*L15*M15</f>
        <v>0</v>
      </c>
      <c r="O15" s="211"/>
      <c r="P15" s="294"/>
      <c r="Q15" s="175"/>
      <c r="R15" s="206"/>
      <c r="S15" s="175"/>
      <c r="T15" s="744"/>
      <c r="U15" s="745"/>
      <c r="V15" s="201"/>
    </row>
    <row r="16" spans="2:22" ht="15" customHeight="1" thickBot="1">
      <c r="B16" s="765"/>
      <c r="C16" s="182" t="s">
        <v>159</v>
      </c>
      <c r="D16" s="183"/>
      <c r="E16" s="183"/>
      <c r="F16" s="183"/>
      <c r="G16" s="184">
        <f>SUM(G12:G15)</f>
        <v>56175</v>
      </c>
      <c r="H16" s="191"/>
      <c r="I16" s="780"/>
      <c r="J16" s="295" t="s">
        <v>246</v>
      </c>
      <c r="K16" s="197">
        <f>SUM(K13:K15)</f>
        <v>2.8</v>
      </c>
      <c r="L16" s="197">
        <f>SUM(L13:L15)</f>
        <v>3.3</v>
      </c>
      <c r="M16" s="197"/>
      <c r="N16" s="344">
        <f>SUM(N13:N15)</f>
        <v>1463.6159999999998</v>
      </c>
      <c r="O16" s="211"/>
      <c r="P16" s="294"/>
      <c r="Q16" s="175"/>
      <c r="R16" s="206"/>
      <c r="S16" s="175"/>
      <c r="T16" s="744"/>
      <c r="U16" s="745"/>
      <c r="V16" s="201"/>
    </row>
    <row r="17" spans="2:22" ht="15" customHeight="1" thickTop="1">
      <c r="B17" s="762" t="s">
        <v>178</v>
      </c>
      <c r="C17" s="86"/>
      <c r="D17" s="86"/>
      <c r="E17" s="91"/>
      <c r="F17" s="86"/>
      <c r="G17" s="179">
        <f>D17*F17</f>
        <v>0</v>
      </c>
      <c r="H17" s="191"/>
      <c r="I17" s="778" t="s">
        <v>186</v>
      </c>
      <c r="J17" s="86"/>
      <c r="K17" s="196"/>
      <c r="L17" s="196"/>
      <c r="M17" s="196"/>
      <c r="N17" s="342">
        <f>K17*L17*M17</f>
        <v>0</v>
      </c>
      <c r="O17" s="211"/>
      <c r="P17" s="294"/>
      <c r="Q17" s="175"/>
      <c r="R17" s="206"/>
      <c r="S17" s="175"/>
      <c r="T17" s="744"/>
      <c r="U17" s="745"/>
      <c r="V17" s="201"/>
    </row>
    <row r="18" spans="2:22" ht="15" customHeight="1">
      <c r="B18" s="763"/>
      <c r="C18" s="86"/>
      <c r="D18" s="86"/>
      <c r="E18" s="91"/>
      <c r="F18" s="86"/>
      <c r="G18" s="179">
        <f>D18*F18</f>
        <v>0</v>
      </c>
      <c r="H18" s="191"/>
      <c r="I18" s="779"/>
      <c r="J18" s="86"/>
      <c r="K18" s="196"/>
      <c r="L18" s="196"/>
      <c r="M18" s="196"/>
      <c r="N18" s="342">
        <f>K18*L18*M18</f>
        <v>0</v>
      </c>
      <c r="O18" s="211"/>
      <c r="P18" s="294"/>
      <c r="Q18" s="175"/>
      <c r="R18" s="206"/>
      <c r="S18" s="175"/>
      <c r="T18" s="744"/>
      <c r="U18" s="745"/>
      <c r="V18" s="201"/>
    </row>
    <row r="19" spans="2:22" ht="15" customHeight="1">
      <c r="B19" s="763"/>
      <c r="C19" s="86"/>
      <c r="D19" s="86"/>
      <c r="E19" s="86"/>
      <c r="F19" s="86"/>
      <c r="G19" s="179">
        <f>D19*F19</f>
        <v>0</v>
      </c>
      <c r="H19" s="191"/>
      <c r="I19" s="779"/>
      <c r="J19" s="86"/>
      <c r="K19" s="196"/>
      <c r="L19" s="196"/>
      <c r="M19" s="196"/>
      <c r="N19" s="342">
        <f>K19*L19*M19</f>
        <v>0</v>
      </c>
      <c r="O19" s="211"/>
      <c r="P19" s="294"/>
      <c r="Q19" s="175"/>
      <c r="R19" s="206"/>
      <c r="S19" s="175"/>
      <c r="T19" s="744"/>
      <c r="U19" s="745"/>
      <c r="V19" s="201"/>
    </row>
    <row r="20" spans="2:22" ht="15" customHeight="1" thickBot="1">
      <c r="B20" s="765"/>
      <c r="C20" s="182" t="s">
        <v>159</v>
      </c>
      <c r="D20" s="183"/>
      <c r="E20" s="183"/>
      <c r="F20" s="183"/>
      <c r="G20" s="184">
        <f>SUM(G17:G19)</f>
        <v>0</v>
      </c>
      <c r="H20" s="191"/>
      <c r="I20" s="780"/>
      <c r="J20" s="295" t="s">
        <v>248</v>
      </c>
      <c r="K20" s="197">
        <f>SUM(K17:K19)</f>
        <v>0</v>
      </c>
      <c r="L20" s="198">
        <f>SUM(L17:L19)</f>
        <v>0</v>
      </c>
      <c r="M20" s="199"/>
      <c r="N20" s="344">
        <f>SUM(N17:N19)</f>
        <v>0</v>
      </c>
      <c r="O20" s="211"/>
      <c r="P20" s="294"/>
      <c r="Q20" s="175"/>
      <c r="R20" s="206"/>
      <c r="S20" s="175"/>
      <c r="T20" s="744"/>
      <c r="U20" s="745"/>
      <c r="V20" s="201"/>
    </row>
    <row r="21" spans="2:22" ht="15" customHeight="1" thickBot="1" thickTop="1">
      <c r="B21" s="762" t="s">
        <v>179</v>
      </c>
      <c r="C21" s="86" t="s">
        <v>445</v>
      </c>
      <c r="D21" s="86">
        <f>131*4.3</f>
        <v>563.3</v>
      </c>
      <c r="E21" s="91" t="s">
        <v>296</v>
      </c>
      <c r="F21" s="86">
        <f>510/20</f>
        <v>25.5</v>
      </c>
      <c r="G21" s="179">
        <f>D21*F21</f>
        <v>14364.15</v>
      </c>
      <c r="H21" s="191"/>
      <c r="I21" s="778" t="s">
        <v>187</v>
      </c>
      <c r="J21" s="86" t="s">
        <v>302</v>
      </c>
      <c r="K21" s="196">
        <v>28.2</v>
      </c>
      <c r="L21" s="196">
        <v>6.1</v>
      </c>
      <c r="M21" s="357">
        <v>102.1</v>
      </c>
      <c r="N21" s="342">
        <f>K21*L21*M21</f>
        <v>17563.242</v>
      </c>
      <c r="O21" s="211"/>
      <c r="P21" s="202" t="s">
        <v>29</v>
      </c>
      <c r="Q21" s="203"/>
      <c r="R21" s="203"/>
      <c r="S21" s="203"/>
      <c r="T21" s="743"/>
      <c r="U21" s="736"/>
      <c r="V21" s="204">
        <f>SUM(V5:V20)</f>
        <v>5806.666666666667</v>
      </c>
    </row>
    <row r="22" spans="2:15" ht="15" customHeight="1">
      <c r="B22" s="763"/>
      <c r="C22" s="86"/>
      <c r="D22" s="86"/>
      <c r="E22" s="91"/>
      <c r="F22" s="86"/>
      <c r="G22" s="179">
        <f>D22*F22</f>
        <v>0</v>
      </c>
      <c r="H22" s="191"/>
      <c r="I22" s="779"/>
      <c r="J22" s="86"/>
      <c r="K22" s="196"/>
      <c r="L22" s="196"/>
      <c r="M22" s="196"/>
      <c r="N22" s="342">
        <f>K22*L22*M22</f>
        <v>0</v>
      </c>
      <c r="O22" s="211"/>
    </row>
    <row r="23" spans="2:16" ht="15" customHeight="1" thickBot="1">
      <c r="B23" s="763"/>
      <c r="C23" s="86"/>
      <c r="D23" s="86"/>
      <c r="E23" s="91"/>
      <c r="F23" s="86"/>
      <c r="G23" s="179">
        <f>D23*F23</f>
        <v>0</v>
      </c>
      <c r="H23" s="191"/>
      <c r="I23" s="779"/>
      <c r="J23" s="86"/>
      <c r="K23" s="196"/>
      <c r="L23" s="196"/>
      <c r="M23" s="196"/>
      <c r="N23" s="342">
        <f>K23*L23*M23</f>
        <v>0</v>
      </c>
      <c r="O23" s="211"/>
      <c r="P23" s="87" t="s">
        <v>242</v>
      </c>
    </row>
    <row r="24" spans="2:22" ht="15" customHeight="1" thickBot="1">
      <c r="B24" s="764"/>
      <c r="C24" s="185" t="s">
        <v>160</v>
      </c>
      <c r="D24" s="186"/>
      <c r="E24" s="186"/>
      <c r="F24" s="186"/>
      <c r="G24" s="187">
        <f>SUM(G21:G23)</f>
        <v>14364.15</v>
      </c>
      <c r="H24" s="191"/>
      <c r="I24" s="780"/>
      <c r="J24" s="295" t="s">
        <v>248</v>
      </c>
      <c r="K24" s="197">
        <f>SUM(K21:K23)</f>
        <v>28.2</v>
      </c>
      <c r="L24" s="198">
        <f>SUM(L21:L23)</f>
        <v>6.1</v>
      </c>
      <c r="M24" s="199"/>
      <c r="N24" s="344">
        <f>SUM(N21:N23)</f>
        <v>17563.242</v>
      </c>
      <c r="O24" s="211"/>
      <c r="P24" s="291" t="s">
        <v>194</v>
      </c>
      <c r="Q24" s="292" t="s">
        <v>189</v>
      </c>
      <c r="R24" s="292" t="s">
        <v>190</v>
      </c>
      <c r="S24" s="292" t="s">
        <v>249</v>
      </c>
      <c r="T24" s="292" t="s">
        <v>192</v>
      </c>
      <c r="U24" s="171" t="s">
        <v>195</v>
      </c>
      <c r="V24" s="293" t="s">
        <v>193</v>
      </c>
    </row>
    <row r="25" spans="9:22" ht="15" customHeight="1" thickTop="1">
      <c r="I25" s="778" t="s">
        <v>266</v>
      </c>
      <c r="J25" s="86"/>
      <c r="K25" s="196"/>
      <c r="L25" s="196"/>
      <c r="M25" s="196"/>
      <c r="N25" s="342">
        <f>K25*L25*M25</f>
        <v>0</v>
      </c>
      <c r="O25" s="211"/>
      <c r="P25" s="294" t="s">
        <v>313</v>
      </c>
      <c r="Q25" s="175">
        <v>10</v>
      </c>
      <c r="R25" s="206" t="s">
        <v>245</v>
      </c>
      <c r="S25" s="250">
        <v>500</v>
      </c>
      <c r="T25" s="175">
        <v>2</v>
      </c>
      <c r="U25" s="176">
        <v>30</v>
      </c>
      <c r="V25" s="201">
        <f>Q25*S25/T25/U25</f>
        <v>83.33333333333333</v>
      </c>
    </row>
    <row r="26" spans="2:22" ht="15" customHeight="1" thickBot="1">
      <c r="B26" s="13" t="s">
        <v>250</v>
      </c>
      <c r="C26" s="13"/>
      <c r="D26" s="89"/>
      <c r="E26" s="13"/>
      <c r="F26" s="89"/>
      <c r="G26" s="90"/>
      <c r="H26" s="192"/>
      <c r="I26" s="779"/>
      <c r="J26" s="86"/>
      <c r="K26" s="196"/>
      <c r="L26" s="196"/>
      <c r="M26" s="196"/>
      <c r="N26" s="342">
        <f>K26*L26*M26</f>
        <v>0</v>
      </c>
      <c r="O26" s="211"/>
      <c r="P26" s="294"/>
      <c r="Q26" s="175"/>
      <c r="R26" s="206"/>
      <c r="S26" s="175"/>
      <c r="T26" s="175"/>
      <c r="U26" s="176">
        <v>24</v>
      </c>
      <c r="V26" s="201"/>
    </row>
    <row r="27" spans="2:22" ht="15" customHeight="1">
      <c r="B27" s="290" t="s">
        <v>89</v>
      </c>
      <c r="C27" s="189" t="s">
        <v>152</v>
      </c>
      <c r="D27" s="189" t="s">
        <v>153</v>
      </c>
      <c r="E27" s="189" t="s">
        <v>154</v>
      </c>
      <c r="F27" s="354" t="s">
        <v>24</v>
      </c>
      <c r="G27" s="177" t="s">
        <v>155</v>
      </c>
      <c r="H27" s="190"/>
      <c r="I27" s="779"/>
      <c r="J27" s="86"/>
      <c r="K27" s="196"/>
      <c r="L27" s="196"/>
      <c r="M27" s="196"/>
      <c r="N27" s="342">
        <f>K27*L27*M27</f>
        <v>0</v>
      </c>
      <c r="O27" s="211"/>
      <c r="P27" s="294"/>
      <c r="Q27" s="175"/>
      <c r="R27" s="206"/>
      <c r="S27" s="175"/>
      <c r="T27" s="175"/>
      <c r="U27" s="176">
        <v>36</v>
      </c>
      <c r="V27" s="201"/>
    </row>
    <row r="28" spans="2:22" ht="15" customHeight="1" thickBot="1">
      <c r="B28" s="766" t="s">
        <v>30</v>
      </c>
      <c r="C28" s="92" t="s">
        <v>446</v>
      </c>
      <c r="D28" s="92">
        <v>300</v>
      </c>
      <c r="E28" s="381" t="s">
        <v>293</v>
      </c>
      <c r="F28" s="92">
        <f>62610/10000</f>
        <v>6.261</v>
      </c>
      <c r="G28" s="178">
        <f>D28*F28</f>
        <v>1878.3</v>
      </c>
      <c r="H28" s="191"/>
      <c r="I28" s="780"/>
      <c r="J28" s="295" t="s">
        <v>246</v>
      </c>
      <c r="K28" s="197">
        <f>SUM(K25:K27)</f>
        <v>0</v>
      </c>
      <c r="L28" s="198">
        <f>SUM(L25:L27)</f>
        <v>0</v>
      </c>
      <c r="M28" s="199"/>
      <c r="N28" s="344">
        <f>SUM(N25:N27)</f>
        <v>0</v>
      </c>
      <c r="O28" s="211"/>
      <c r="P28" s="294"/>
      <c r="Q28" s="175"/>
      <c r="R28" s="206"/>
      <c r="S28" s="175"/>
      <c r="T28" s="175"/>
      <c r="U28" s="176">
        <v>36</v>
      </c>
      <c r="V28" s="201"/>
    </row>
    <row r="29" spans="2:22" ht="15" customHeight="1" thickTop="1">
      <c r="B29" s="763"/>
      <c r="C29" s="339" t="s">
        <v>447</v>
      </c>
      <c r="D29" s="92">
        <f>1*189</f>
        <v>189</v>
      </c>
      <c r="E29" s="381" t="s">
        <v>293</v>
      </c>
      <c r="F29" s="92">
        <f>4180/500</f>
        <v>8.36</v>
      </c>
      <c r="G29" s="178">
        <f>D29*F29</f>
        <v>1580.04</v>
      </c>
      <c r="H29" s="191"/>
      <c r="I29" s="778" t="s">
        <v>183</v>
      </c>
      <c r="J29" s="86" t="s">
        <v>302</v>
      </c>
      <c r="K29" s="196">
        <v>31.4</v>
      </c>
      <c r="L29" s="196">
        <v>3.2</v>
      </c>
      <c r="M29" s="196">
        <v>14</v>
      </c>
      <c r="N29" s="342">
        <f>K29*L29*M29</f>
        <v>1406.72</v>
      </c>
      <c r="O29" s="211"/>
      <c r="P29" s="294"/>
      <c r="Q29" s="175"/>
      <c r="R29" s="206"/>
      <c r="S29" s="175"/>
      <c r="T29" s="175"/>
      <c r="U29" s="176">
        <v>24</v>
      </c>
      <c r="V29" s="201"/>
    </row>
    <row r="30" spans="2:22" ht="15" customHeight="1">
      <c r="B30" s="763"/>
      <c r="C30" s="92" t="s">
        <v>30</v>
      </c>
      <c r="D30" s="92">
        <v>833</v>
      </c>
      <c r="E30" s="381" t="s">
        <v>307</v>
      </c>
      <c r="F30" s="92">
        <f>10590/5000</f>
        <v>2.118</v>
      </c>
      <c r="G30" s="178">
        <f>D30*F30</f>
        <v>1764.2939999999999</v>
      </c>
      <c r="H30" s="191"/>
      <c r="I30" s="779"/>
      <c r="J30" s="86" t="s">
        <v>304</v>
      </c>
      <c r="K30" s="196">
        <v>4</v>
      </c>
      <c r="L30" s="196">
        <v>1.9</v>
      </c>
      <c r="M30" s="196">
        <v>14</v>
      </c>
      <c r="N30" s="342">
        <f>K30*L30*M30</f>
        <v>106.39999999999999</v>
      </c>
      <c r="O30" s="88"/>
      <c r="P30" s="294"/>
      <c r="Q30" s="175"/>
      <c r="R30" s="206"/>
      <c r="S30" s="175"/>
      <c r="T30" s="175"/>
      <c r="U30" s="176"/>
      <c r="V30" s="201"/>
    </row>
    <row r="31" spans="2:22" ht="15" customHeight="1">
      <c r="B31" s="763"/>
      <c r="C31" s="92"/>
      <c r="D31" s="92"/>
      <c r="E31" s="381"/>
      <c r="F31" s="92"/>
      <c r="G31" s="178">
        <f>D31*F31</f>
        <v>0</v>
      </c>
      <c r="H31" s="191"/>
      <c r="I31" s="779"/>
      <c r="J31" s="86" t="s">
        <v>305</v>
      </c>
      <c r="K31" s="196">
        <v>24.5</v>
      </c>
      <c r="L31" s="196">
        <v>6.7</v>
      </c>
      <c r="M31" s="196">
        <v>14</v>
      </c>
      <c r="N31" s="342">
        <f>K31*L31*M31</f>
        <v>2298.1</v>
      </c>
      <c r="P31" s="294"/>
      <c r="Q31" s="175"/>
      <c r="R31" s="206"/>
      <c r="S31" s="175"/>
      <c r="T31" s="175"/>
      <c r="U31" s="176"/>
      <c r="V31" s="201"/>
    </row>
    <row r="32" spans="2:22" ht="15" customHeight="1" thickBot="1">
      <c r="B32" s="763"/>
      <c r="C32" s="92"/>
      <c r="D32" s="92"/>
      <c r="E32" s="381"/>
      <c r="F32" s="92"/>
      <c r="G32" s="179">
        <f aca="true" t="shared" si="1" ref="G32:G37">D32*F32</f>
        <v>0</v>
      </c>
      <c r="H32" s="191"/>
      <c r="I32" s="787"/>
      <c r="J32" s="345" t="s">
        <v>251</v>
      </c>
      <c r="K32" s="346">
        <f>SUM(K29:K31)</f>
        <v>59.9</v>
      </c>
      <c r="L32" s="347">
        <f>SUM(L29:L31)</f>
        <v>11.8</v>
      </c>
      <c r="M32" s="348"/>
      <c r="N32" s="349">
        <f>SUM(N29:N31)</f>
        <v>3811.2200000000003</v>
      </c>
      <c r="P32" s="294"/>
      <c r="Q32" s="175"/>
      <c r="R32" s="206"/>
      <c r="S32" s="175"/>
      <c r="T32" s="175"/>
      <c r="U32" s="176"/>
      <c r="V32" s="201"/>
    </row>
    <row r="33" spans="2:22" ht="15" customHeight="1">
      <c r="B33" s="763"/>
      <c r="C33" s="86"/>
      <c r="D33" s="86"/>
      <c r="E33" s="91"/>
      <c r="F33" s="86"/>
      <c r="G33" s="179">
        <f t="shared" si="1"/>
        <v>0</v>
      </c>
      <c r="H33" s="191"/>
      <c r="I33" s="170"/>
      <c r="J33" s="170"/>
      <c r="K33" s="170"/>
      <c r="L33" s="170"/>
      <c r="M33" s="170"/>
      <c r="N33" s="170"/>
      <c r="P33" s="294"/>
      <c r="Q33" s="175"/>
      <c r="R33" s="206"/>
      <c r="S33" s="175"/>
      <c r="T33" s="175"/>
      <c r="U33" s="176"/>
      <c r="V33" s="201"/>
    </row>
    <row r="34" spans="2:22" ht="15" customHeight="1" thickBot="1">
      <c r="B34" s="763"/>
      <c r="C34" s="86"/>
      <c r="D34" s="86"/>
      <c r="E34" s="91"/>
      <c r="F34" s="86"/>
      <c r="G34" s="179">
        <f t="shared" si="1"/>
        <v>0</v>
      </c>
      <c r="H34" s="191"/>
      <c r="I34" s="160" t="s">
        <v>240</v>
      </c>
      <c r="J34" s="160"/>
      <c r="K34" s="160"/>
      <c r="L34" s="160"/>
      <c r="M34" s="160"/>
      <c r="P34" s="298" t="s">
        <v>233</v>
      </c>
      <c r="Q34" s="203"/>
      <c r="R34" s="203"/>
      <c r="S34" s="203"/>
      <c r="T34" s="203"/>
      <c r="U34" s="205"/>
      <c r="V34" s="204">
        <f>SUM(V25:V33)</f>
        <v>83.33333333333333</v>
      </c>
    </row>
    <row r="35" spans="2:14" ht="15" customHeight="1">
      <c r="B35" s="763"/>
      <c r="C35" s="86"/>
      <c r="D35" s="86"/>
      <c r="E35" s="91"/>
      <c r="F35" s="86"/>
      <c r="G35" s="179">
        <f t="shared" si="1"/>
        <v>0</v>
      </c>
      <c r="H35" s="191"/>
      <c r="I35" s="272" t="s">
        <v>228</v>
      </c>
      <c r="J35" s="273" t="s">
        <v>5</v>
      </c>
      <c r="K35" s="785" t="s">
        <v>229</v>
      </c>
      <c r="L35" s="786"/>
      <c r="M35" s="299" t="s">
        <v>195</v>
      </c>
      <c r="N35" s="297" t="s">
        <v>252</v>
      </c>
    </row>
    <row r="36" spans="2:20" ht="15" customHeight="1" thickBot="1">
      <c r="B36" s="763"/>
      <c r="C36" s="86"/>
      <c r="D36" s="86"/>
      <c r="E36" s="91"/>
      <c r="F36" s="86"/>
      <c r="G36" s="179">
        <f t="shared" si="1"/>
        <v>0</v>
      </c>
      <c r="H36" s="191"/>
      <c r="I36" s="767" t="s">
        <v>2</v>
      </c>
      <c r="J36" s="188" t="str">
        <f>'６　資本装備と減価償却'!C5</f>
        <v>農機具庫</v>
      </c>
      <c r="K36" s="737">
        <f>'６　資本装備と減価償却'!I5</f>
        <v>5940000</v>
      </c>
      <c r="L36" s="737"/>
      <c r="M36" s="37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6" s="285">
        <f>+K36/M36*0.014*0.3</f>
        <v>831.6</v>
      </c>
      <c r="P36" s="160" t="s">
        <v>234</v>
      </c>
      <c r="Q36" s="160"/>
      <c r="R36" s="160"/>
      <c r="S36" s="160"/>
      <c r="T36" s="160"/>
    </row>
    <row r="37" spans="2:22" ht="15" customHeight="1">
      <c r="B37" s="763"/>
      <c r="C37" s="86"/>
      <c r="D37" s="86"/>
      <c r="E37" s="91"/>
      <c r="F37" s="86"/>
      <c r="G37" s="179">
        <f t="shared" si="1"/>
        <v>0</v>
      </c>
      <c r="H37" s="191"/>
      <c r="I37" s="783"/>
      <c r="J37" s="188" t="str">
        <f>'６　資本装備と減価償却'!C6</f>
        <v>乾燥調製施設</v>
      </c>
      <c r="K37" s="737">
        <f>'６　資本装備と減価償却'!I6</f>
        <v>10692000</v>
      </c>
      <c r="L37" s="737"/>
      <c r="M37" s="373">
        <f>'１　対象経営の概要，２　前提条件'!$N$7+'１　対象経営の概要，２　前提条件'!$N$8+'１　対象経営の概要，２　前提条件'!$N$9</f>
        <v>30</v>
      </c>
      <c r="N37" s="285">
        <f>+K37/M37*0.014*0.3</f>
        <v>1496.88</v>
      </c>
      <c r="P37" s="272" t="s">
        <v>227</v>
      </c>
      <c r="Q37" s="749" t="s">
        <v>235</v>
      </c>
      <c r="R37" s="749"/>
      <c r="S37" s="284" t="s">
        <v>238</v>
      </c>
      <c r="T37" s="284" t="s">
        <v>237</v>
      </c>
      <c r="U37" s="299" t="s">
        <v>195</v>
      </c>
      <c r="V37" s="300" t="s">
        <v>252</v>
      </c>
    </row>
    <row r="38" spans="2:22" ht="15" customHeight="1" thickBot="1">
      <c r="B38" s="765"/>
      <c r="C38" s="180" t="s">
        <v>158</v>
      </c>
      <c r="D38" s="180"/>
      <c r="E38" s="180"/>
      <c r="F38" s="180"/>
      <c r="G38" s="181">
        <f>SUM(G28:G37)</f>
        <v>5222.634</v>
      </c>
      <c r="H38" s="191"/>
      <c r="I38" s="783"/>
      <c r="J38" s="188" t="str">
        <f>'６　資本装備と減価償却'!C7</f>
        <v>育苗ハウス</v>
      </c>
      <c r="K38" s="737">
        <f>'６　資本装備と減価償却'!I7</f>
        <v>4301100</v>
      </c>
      <c r="L38" s="737"/>
      <c r="M38" s="373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38" s="285">
        <f>+K38/M38*0.014*0.3</f>
        <v>602.154</v>
      </c>
      <c r="O38" s="200"/>
      <c r="P38" s="781" t="s">
        <v>236</v>
      </c>
      <c r="Q38" s="278" t="s">
        <v>226</v>
      </c>
      <c r="R38" s="303"/>
      <c r="S38" s="412"/>
      <c r="T38" s="304"/>
      <c r="U38" s="279"/>
      <c r="V38" s="285">
        <v>3880</v>
      </c>
    </row>
    <row r="39" spans="2:22" ht="15" customHeight="1" thickTop="1">
      <c r="B39" s="762" t="s">
        <v>180</v>
      </c>
      <c r="C39" s="420" t="s">
        <v>448</v>
      </c>
      <c r="D39" s="92">
        <v>833</v>
      </c>
      <c r="E39" s="381" t="s">
        <v>307</v>
      </c>
      <c r="F39" s="92">
        <f>49110/10000</f>
        <v>4.911</v>
      </c>
      <c r="G39" s="419">
        <f>D39*F39</f>
        <v>4090.863</v>
      </c>
      <c r="H39" s="191"/>
      <c r="I39" s="783"/>
      <c r="J39" s="188"/>
      <c r="K39" s="737"/>
      <c r="L39" s="737"/>
      <c r="M39" s="271"/>
      <c r="N39" s="285"/>
      <c r="O39" s="200"/>
      <c r="P39" s="733"/>
      <c r="Q39" s="278"/>
      <c r="R39" s="303"/>
      <c r="S39" s="412"/>
      <c r="T39" s="304"/>
      <c r="U39" s="279"/>
      <c r="V39" s="285"/>
    </row>
    <row r="40" spans="2:22" ht="15" customHeight="1">
      <c r="B40" s="763"/>
      <c r="C40" s="86"/>
      <c r="D40" s="92"/>
      <c r="E40" s="91"/>
      <c r="F40" s="86"/>
      <c r="G40" s="179">
        <f>D40*F40</f>
        <v>0</v>
      </c>
      <c r="H40" s="191"/>
      <c r="I40" s="783"/>
      <c r="J40" s="188"/>
      <c r="K40" s="737"/>
      <c r="L40" s="737"/>
      <c r="M40" s="271"/>
      <c r="N40" s="285"/>
      <c r="O40" s="200"/>
      <c r="P40" s="733"/>
      <c r="Q40" s="278"/>
      <c r="R40" s="303"/>
      <c r="S40" s="279"/>
      <c r="T40" s="304"/>
      <c r="U40" s="279"/>
      <c r="V40" s="285"/>
    </row>
    <row r="41" spans="2:22" ht="15" customHeight="1">
      <c r="B41" s="763"/>
      <c r="C41" s="86"/>
      <c r="D41" s="86"/>
      <c r="E41" s="91"/>
      <c r="F41" s="86"/>
      <c r="G41" s="179">
        <f>D41*F41</f>
        <v>0</v>
      </c>
      <c r="H41" s="191"/>
      <c r="I41" s="783"/>
      <c r="J41" s="188"/>
      <c r="K41" s="737"/>
      <c r="L41" s="737"/>
      <c r="M41" s="271"/>
      <c r="N41" s="285"/>
      <c r="O41" s="200"/>
      <c r="P41" s="733"/>
      <c r="Q41" s="278"/>
      <c r="R41" s="303"/>
      <c r="S41" s="279"/>
      <c r="T41" s="304"/>
      <c r="U41" s="279"/>
      <c r="V41" s="285"/>
    </row>
    <row r="42" spans="2:22" ht="15" customHeight="1" thickBot="1">
      <c r="B42" s="763"/>
      <c r="C42" s="86"/>
      <c r="D42" s="86"/>
      <c r="E42" s="91"/>
      <c r="F42" s="86"/>
      <c r="G42" s="179">
        <f aca="true" t="shared" si="2" ref="G42:G47">D42*F42</f>
        <v>0</v>
      </c>
      <c r="H42" s="191"/>
      <c r="I42" s="784"/>
      <c r="J42" s="274" t="s">
        <v>159</v>
      </c>
      <c r="K42" s="759"/>
      <c r="L42" s="760"/>
      <c r="M42" s="275"/>
      <c r="N42" s="282">
        <f>SUM(N36:N41)</f>
        <v>2930.634</v>
      </c>
      <c r="O42" s="200"/>
      <c r="P42" s="733"/>
      <c r="Q42" s="278"/>
      <c r="R42" s="303"/>
      <c r="S42" s="279"/>
      <c r="T42" s="304"/>
      <c r="U42" s="279"/>
      <c r="V42" s="285"/>
    </row>
    <row r="43" spans="2:22" ht="15" customHeight="1" thickTop="1">
      <c r="B43" s="763"/>
      <c r="C43" s="86"/>
      <c r="D43" s="86"/>
      <c r="E43" s="91"/>
      <c r="F43" s="86"/>
      <c r="G43" s="179"/>
      <c r="H43" s="191"/>
      <c r="I43" s="740" t="s">
        <v>230</v>
      </c>
      <c r="J43" s="276" t="s">
        <v>253</v>
      </c>
      <c r="K43" s="761">
        <v>8200</v>
      </c>
      <c r="L43" s="761"/>
      <c r="M43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3" s="302">
        <f>+K43/M43</f>
        <v>273.3333333333333</v>
      </c>
      <c r="O43" s="200"/>
      <c r="P43" s="733"/>
      <c r="Q43" s="278"/>
      <c r="R43" s="303"/>
      <c r="S43" s="279"/>
      <c r="T43" s="304"/>
      <c r="U43" s="279"/>
      <c r="V43" s="285"/>
    </row>
    <row r="44" spans="2:22" ht="15" customHeight="1" thickBot="1">
      <c r="B44" s="763"/>
      <c r="C44" s="86"/>
      <c r="D44" s="86"/>
      <c r="E44" s="91"/>
      <c r="F44" s="86"/>
      <c r="G44" s="179"/>
      <c r="H44" s="191"/>
      <c r="I44" s="741"/>
      <c r="J44" s="278"/>
      <c r="K44" s="737"/>
      <c r="L44" s="737"/>
      <c r="M44" s="271"/>
      <c r="N44" s="285"/>
      <c r="O44" s="200"/>
      <c r="P44" s="782"/>
      <c r="Q44" s="286" t="s">
        <v>239</v>
      </c>
      <c r="R44" s="287"/>
      <c r="S44" s="287"/>
      <c r="T44" s="287"/>
      <c r="U44" s="287"/>
      <c r="V44" s="288">
        <f>SUM(V38:V43)</f>
        <v>3880</v>
      </c>
    </row>
    <row r="45" spans="2:22" ht="15" customHeight="1" thickTop="1">
      <c r="B45" s="763"/>
      <c r="C45" s="86"/>
      <c r="D45" s="86"/>
      <c r="E45" s="91"/>
      <c r="F45" s="86"/>
      <c r="G45" s="179"/>
      <c r="H45" s="191"/>
      <c r="I45" s="741"/>
      <c r="J45" s="188"/>
      <c r="K45" s="737"/>
      <c r="L45" s="737"/>
      <c r="M45" s="271"/>
      <c r="N45" s="285"/>
      <c r="O45" s="200"/>
      <c r="P45" s="732" t="s">
        <v>244</v>
      </c>
      <c r="Q45" s="729" t="s">
        <v>255</v>
      </c>
      <c r="R45" s="305" t="s">
        <v>256</v>
      </c>
      <c r="S45" s="276">
        <v>35750</v>
      </c>
      <c r="T45" s="306">
        <v>1</v>
      </c>
      <c r="U45" s="276">
        <v>30</v>
      </c>
      <c r="V45" s="301">
        <f>+S45*T45/U45</f>
        <v>1191.6666666666667</v>
      </c>
    </row>
    <row r="46" spans="2:22" ht="15" customHeight="1" thickBot="1">
      <c r="B46" s="763"/>
      <c r="C46" s="86"/>
      <c r="D46" s="86"/>
      <c r="E46" s="91"/>
      <c r="F46" s="86"/>
      <c r="G46" s="179">
        <f t="shared" si="2"/>
        <v>0</v>
      </c>
      <c r="H46" s="191"/>
      <c r="I46" s="742"/>
      <c r="J46" s="274" t="s">
        <v>159</v>
      </c>
      <c r="K46" s="759"/>
      <c r="L46" s="760"/>
      <c r="M46" s="275"/>
      <c r="N46" s="282">
        <f>SUM(N43:N45)</f>
        <v>273.3333333333333</v>
      </c>
      <c r="O46" s="200"/>
      <c r="P46" s="733"/>
      <c r="Q46" s="730"/>
      <c r="R46" s="307" t="s">
        <v>243</v>
      </c>
      <c r="S46" s="278">
        <v>15600</v>
      </c>
      <c r="T46" s="304">
        <v>1</v>
      </c>
      <c r="U46" s="278">
        <v>30</v>
      </c>
      <c r="V46" s="285">
        <f>+S46*T46/U46</f>
        <v>520</v>
      </c>
    </row>
    <row r="47" spans="2:22" ht="15" customHeight="1" thickTop="1">
      <c r="B47" s="763"/>
      <c r="C47" s="86"/>
      <c r="D47" s="86"/>
      <c r="E47" s="91"/>
      <c r="F47" s="86"/>
      <c r="G47" s="179">
        <f t="shared" si="2"/>
        <v>0</v>
      </c>
      <c r="H47" s="191"/>
      <c r="I47" s="740" t="s">
        <v>231</v>
      </c>
      <c r="J47" s="276" t="s">
        <v>254</v>
      </c>
      <c r="K47" s="761">
        <v>11500</v>
      </c>
      <c r="L47" s="761"/>
      <c r="M47" s="277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47" s="301">
        <f>K47/M47</f>
        <v>383.3333333333333</v>
      </c>
      <c r="O47" s="200"/>
      <c r="P47" s="733"/>
      <c r="Q47" s="730"/>
      <c r="R47" s="307"/>
      <c r="S47" s="278"/>
      <c r="T47" s="278"/>
      <c r="U47" s="188"/>
      <c r="V47" s="308"/>
    </row>
    <row r="48" spans="2:22" ht="15" customHeight="1">
      <c r="B48" s="763"/>
      <c r="C48" s="86"/>
      <c r="D48" s="86"/>
      <c r="E48" s="91"/>
      <c r="F48" s="86"/>
      <c r="G48" s="179">
        <f>D48*F48</f>
        <v>0</v>
      </c>
      <c r="H48" s="191"/>
      <c r="I48" s="741"/>
      <c r="J48" s="278"/>
      <c r="K48" s="737"/>
      <c r="L48" s="737"/>
      <c r="M48" s="271"/>
      <c r="N48" s="285"/>
      <c r="O48" s="200"/>
      <c r="P48" s="733"/>
      <c r="Q48" s="730"/>
      <c r="R48" s="307"/>
      <c r="S48" s="278"/>
      <c r="T48" s="304"/>
      <c r="U48" s="278"/>
      <c r="V48" s="285"/>
    </row>
    <row r="49" spans="2:22" ht="15" customHeight="1" thickBot="1">
      <c r="B49" s="765"/>
      <c r="C49" s="182" t="s">
        <v>159</v>
      </c>
      <c r="D49" s="183"/>
      <c r="E49" s="183"/>
      <c r="F49" s="183"/>
      <c r="G49" s="184">
        <f>SUM(G39:G48)</f>
        <v>4090.863</v>
      </c>
      <c r="H49" s="191"/>
      <c r="I49" s="741"/>
      <c r="J49" s="188"/>
      <c r="K49" s="737"/>
      <c r="L49" s="737"/>
      <c r="M49" s="271"/>
      <c r="N49" s="285"/>
      <c r="O49" s="200"/>
      <c r="P49" s="733"/>
      <c r="Q49" s="731"/>
      <c r="R49" s="307"/>
      <c r="S49" s="278"/>
      <c r="T49" s="278"/>
      <c r="U49" s="188"/>
      <c r="V49" s="308"/>
    </row>
    <row r="50" spans="2:22" ht="15" customHeight="1" thickBot="1" thickTop="1">
      <c r="B50" s="762" t="s">
        <v>32</v>
      </c>
      <c r="C50" s="86" t="s">
        <v>449</v>
      </c>
      <c r="D50" s="86">
        <v>10</v>
      </c>
      <c r="E50" s="91" t="s">
        <v>286</v>
      </c>
      <c r="F50" s="86">
        <f>24330/10</f>
        <v>2433</v>
      </c>
      <c r="G50" s="179">
        <f>D50*F50</f>
        <v>24330</v>
      </c>
      <c r="H50" s="191"/>
      <c r="I50" s="742"/>
      <c r="J50" s="274" t="s">
        <v>159</v>
      </c>
      <c r="K50" s="759"/>
      <c r="L50" s="760"/>
      <c r="M50" s="275"/>
      <c r="N50" s="282">
        <f>SUM(N47:N49)</f>
        <v>383.3333333333333</v>
      </c>
      <c r="O50" s="200"/>
      <c r="P50" s="733"/>
      <c r="Q50" s="286" t="s">
        <v>239</v>
      </c>
      <c r="R50" s="287"/>
      <c r="S50" s="287"/>
      <c r="T50" s="287"/>
      <c r="U50" s="287"/>
      <c r="V50" s="288">
        <f>SUM(V45:V49)</f>
        <v>1711.6666666666667</v>
      </c>
    </row>
    <row r="51" spans="2:22" ht="15" customHeight="1" thickTop="1">
      <c r="B51" s="763"/>
      <c r="C51" s="86"/>
      <c r="D51" s="86"/>
      <c r="E51" s="86"/>
      <c r="F51" s="86"/>
      <c r="G51" s="179">
        <f>D51*F51</f>
        <v>0</v>
      </c>
      <c r="H51" s="191"/>
      <c r="I51" s="740" t="s">
        <v>232</v>
      </c>
      <c r="J51" s="413" t="s">
        <v>54</v>
      </c>
      <c r="K51" s="768">
        <v>2400</v>
      </c>
      <c r="L51" s="769"/>
      <c r="M51" s="414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1" s="415">
        <f>+K51/M51</f>
        <v>80</v>
      </c>
      <c r="O51" s="200"/>
      <c r="P51" s="733"/>
      <c r="Q51" s="729" t="s">
        <v>257</v>
      </c>
      <c r="R51" s="305" t="s">
        <v>256</v>
      </c>
      <c r="S51" s="276">
        <v>60000</v>
      </c>
      <c r="T51" s="306">
        <v>1</v>
      </c>
      <c r="U51" s="276">
        <v>36</v>
      </c>
      <c r="V51" s="301">
        <f>+S51*T51/U51</f>
        <v>1666.6666666666667</v>
      </c>
    </row>
    <row r="52" spans="2:22" ht="15" customHeight="1">
      <c r="B52" s="763"/>
      <c r="C52" s="86"/>
      <c r="D52" s="86"/>
      <c r="E52" s="86"/>
      <c r="F52" s="86"/>
      <c r="G52" s="179">
        <f>D52*F52</f>
        <v>0</v>
      </c>
      <c r="H52" s="191"/>
      <c r="I52" s="741"/>
      <c r="J52" s="279" t="s">
        <v>54</v>
      </c>
      <c r="K52" s="770">
        <v>2400</v>
      </c>
      <c r="L52" s="771"/>
      <c r="M52" s="416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2" s="417">
        <f>+K52/M52</f>
        <v>80</v>
      </c>
      <c r="O52" s="200"/>
      <c r="P52" s="733"/>
      <c r="Q52" s="730"/>
      <c r="R52" s="307" t="s">
        <v>243</v>
      </c>
      <c r="S52" s="278">
        <v>25000</v>
      </c>
      <c r="T52" s="304">
        <v>1</v>
      </c>
      <c r="U52" s="278">
        <v>36</v>
      </c>
      <c r="V52" s="285">
        <f>+S52*T52/U52</f>
        <v>694.4444444444445</v>
      </c>
    </row>
    <row r="53" spans="2:22" ht="15" customHeight="1" thickBot="1">
      <c r="B53" s="765"/>
      <c r="C53" s="182" t="s">
        <v>159</v>
      </c>
      <c r="D53" s="183"/>
      <c r="E53" s="183"/>
      <c r="F53" s="183"/>
      <c r="G53" s="184">
        <f>SUM(G50:G52)</f>
        <v>24330</v>
      </c>
      <c r="H53" s="191"/>
      <c r="I53" s="741"/>
      <c r="J53" s="279" t="s">
        <v>56</v>
      </c>
      <c r="K53" s="772">
        <v>2400</v>
      </c>
      <c r="L53" s="773"/>
      <c r="M53" s="289">
        <f>'１　対象経営の概要，２　前提条件'!N7</f>
        <v>30</v>
      </c>
      <c r="N53" s="417">
        <f>+K53/M53</f>
        <v>80</v>
      </c>
      <c r="O53" s="200"/>
      <c r="P53" s="733"/>
      <c r="Q53" s="730"/>
      <c r="R53" s="307"/>
      <c r="S53" s="278"/>
      <c r="T53" s="278"/>
      <c r="U53" s="188"/>
      <c r="V53" s="308"/>
    </row>
    <row r="54" spans="2:22" ht="13.5" customHeight="1" thickTop="1">
      <c r="B54" s="762" t="s">
        <v>327</v>
      </c>
      <c r="C54" s="86" t="s">
        <v>450</v>
      </c>
      <c r="D54" s="356">
        <f>131*50/1000</f>
        <v>6.55</v>
      </c>
      <c r="E54" s="91" t="s">
        <v>286</v>
      </c>
      <c r="F54" s="86">
        <f>9650/3</f>
        <v>3216.6666666666665</v>
      </c>
      <c r="G54" s="178">
        <f>D54*F54</f>
        <v>21069.166666666664</v>
      </c>
      <c r="I54" s="741"/>
      <c r="J54" s="279" t="s">
        <v>56</v>
      </c>
      <c r="K54" s="772">
        <v>2400</v>
      </c>
      <c r="L54" s="773"/>
      <c r="M54" s="289">
        <f>'１　対象経営の概要，２　前提条件'!N7</f>
        <v>30</v>
      </c>
      <c r="N54" s="417">
        <f>+K54/M54</f>
        <v>80</v>
      </c>
      <c r="O54" s="200"/>
      <c r="P54" s="733"/>
      <c r="Q54" s="730"/>
      <c r="R54" s="307"/>
      <c r="S54" s="278"/>
      <c r="T54" s="304"/>
      <c r="U54" s="278"/>
      <c r="V54" s="285"/>
    </row>
    <row r="55" spans="2:22" ht="13.5">
      <c r="B55" s="763"/>
      <c r="C55" s="92" t="s">
        <v>451</v>
      </c>
      <c r="D55" s="92">
        <v>1667</v>
      </c>
      <c r="E55" s="381" t="s">
        <v>293</v>
      </c>
      <c r="F55" s="92">
        <f>90790/20000</f>
        <v>4.5395</v>
      </c>
      <c r="G55" s="179">
        <f>D55*F55</f>
        <v>7567.346500000001</v>
      </c>
      <c r="I55" s="741"/>
      <c r="J55" s="418" t="s">
        <v>243</v>
      </c>
      <c r="K55" s="774">
        <v>5000</v>
      </c>
      <c r="L55" s="775"/>
      <c r="M55" s="416">
        <f>'１　対象経営の概要，２　前提条件'!$N$7+'１　対象経営の概要，２　前提条件'!$Y$7+'１　対象経営の概要，２　前提条件'!$N$8+'１　対象経営の概要，２　前提条件'!$N$9</f>
        <v>30</v>
      </c>
      <c r="N55" s="417">
        <f>+K55/M55</f>
        <v>166.66666666666666</v>
      </c>
      <c r="O55" s="200"/>
      <c r="P55" s="733"/>
      <c r="Q55" s="731"/>
      <c r="R55" s="307"/>
      <c r="S55" s="278"/>
      <c r="T55" s="278"/>
      <c r="U55" s="188"/>
      <c r="V55" s="308"/>
    </row>
    <row r="56" spans="2:22" ht="13.5">
      <c r="B56" s="763"/>
      <c r="C56" s="86"/>
      <c r="D56" s="86"/>
      <c r="E56" s="91"/>
      <c r="F56" s="86"/>
      <c r="G56" s="179">
        <f>D56*F56</f>
        <v>0</v>
      </c>
      <c r="I56" s="767"/>
      <c r="J56" s="280" t="s">
        <v>159</v>
      </c>
      <c r="K56" s="776"/>
      <c r="L56" s="777"/>
      <c r="M56" s="281"/>
      <c r="N56" s="283">
        <f>SUM(N51:N55)</f>
        <v>486.66666666666663</v>
      </c>
      <c r="O56" s="200"/>
      <c r="P56" s="734"/>
      <c r="Q56" s="309" t="s">
        <v>239</v>
      </c>
      <c r="R56" s="310"/>
      <c r="S56" s="310"/>
      <c r="T56" s="310"/>
      <c r="U56" s="310"/>
      <c r="V56" s="311">
        <f>SUM(V51:V55)</f>
        <v>2361.1111111111113</v>
      </c>
    </row>
    <row r="57" spans="2:22" ht="14.25" thickBot="1">
      <c r="B57" s="764"/>
      <c r="C57" s="185" t="s">
        <v>160</v>
      </c>
      <c r="D57" s="186"/>
      <c r="E57" s="186"/>
      <c r="F57" s="186"/>
      <c r="G57" s="187">
        <f>SUM(G54:G56)</f>
        <v>28636.513166666664</v>
      </c>
      <c r="I57" s="735" t="s">
        <v>233</v>
      </c>
      <c r="J57" s="736"/>
      <c r="K57" s="738"/>
      <c r="L57" s="739"/>
      <c r="M57" s="205"/>
      <c r="N57" s="194">
        <f>SUM(N42,N46,N50,N56)</f>
        <v>4073.9673333333335</v>
      </c>
      <c r="O57" s="200"/>
      <c r="P57" s="727" t="s">
        <v>233</v>
      </c>
      <c r="Q57" s="728"/>
      <c r="R57" s="203"/>
      <c r="S57" s="203"/>
      <c r="T57" s="203"/>
      <c r="U57" s="203"/>
      <c r="V57" s="194">
        <f>SUM(V44,V50,V56)</f>
        <v>7952.777777777778</v>
      </c>
    </row>
    <row r="58" spans="15:22" ht="13.5">
      <c r="O58" s="200"/>
      <c r="V58" s="87"/>
    </row>
    <row r="59" spans="9:15" ht="13.5">
      <c r="I59" s="200"/>
      <c r="J59" s="200"/>
      <c r="K59" s="200"/>
      <c r="L59" s="200"/>
      <c r="M59" s="200"/>
      <c r="N59" s="200"/>
      <c r="O59" s="200"/>
    </row>
    <row r="60" spans="9:15" ht="13.5">
      <c r="I60" s="200"/>
      <c r="J60" s="200"/>
      <c r="K60" s="200"/>
      <c r="L60" s="200"/>
      <c r="M60" s="200"/>
      <c r="N60" s="200"/>
      <c r="O60" s="200"/>
    </row>
    <row r="61" spans="9:15" ht="13.5">
      <c r="I61" s="200"/>
      <c r="J61" s="200"/>
      <c r="K61" s="200"/>
      <c r="L61" s="200"/>
      <c r="M61" s="200"/>
      <c r="N61" s="200"/>
      <c r="O61" s="200"/>
    </row>
    <row r="62" spans="9:15" ht="13.5">
      <c r="I62" s="200"/>
      <c r="J62" s="200"/>
      <c r="K62" s="200"/>
      <c r="L62" s="200"/>
      <c r="M62" s="200"/>
      <c r="N62" s="200"/>
      <c r="O62" s="200"/>
    </row>
    <row r="63" spans="9:15" ht="13.5">
      <c r="I63" s="200"/>
      <c r="J63" s="200"/>
      <c r="K63" s="200"/>
      <c r="L63" s="200"/>
      <c r="M63" s="200"/>
      <c r="N63" s="200"/>
      <c r="O63" s="200"/>
    </row>
    <row r="64" spans="9:15" ht="13.5">
      <c r="I64" s="200"/>
      <c r="J64" s="200"/>
      <c r="K64" s="200"/>
      <c r="L64" s="200"/>
      <c r="M64" s="200"/>
      <c r="N64" s="200"/>
      <c r="O64" s="200"/>
    </row>
    <row r="65" spans="9:15" ht="13.5">
      <c r="I65" s="200"/>
      <c r="J65" s="200"/>
      <c r="K65" s="200"/>
      <c r="L65" s="200"/>
      <c r="M65" s="200"/>
      <c r="N65" s="200"/>
      <c r="O65" s="200"/>
    </row>
    <row r="66" spans="9:15" ht="13.5">
      <c r="I66" s="200"/>
      <c r="J66" s="200"/>
      <c r="K66" s="200"/>
      <c r="L66" s="200"/>
      <c r="M66" s="200"/>
      <c r="N66" s="200"/>
      <c r="O66" s="200"/>
    </row>
    <row r="67" spans="9:15" ht="13.5">
      <c r="I67" s="200"/>
      <c r="J67" s="200"/>
      <c r="K67" s="200"/>
      <c r="L67" s="200"/>
      <c r="M67" s="200"/>
      <c r="N67" s="200"/>
      <c r="O67" s="200"/>
    </row>
    <row r="68" spans="9:15" ht="13.5">
      <c r="I68" s="200"/>
      <c r="J68" s="200"/>
      <c r="K68" s="200"/>
      <c r="L68" s="200"/>
      <c r="M68" s="200"/>
      <c r="N68" s="200"/>
      <c r="O68" s="200"/>
    </row>
    <row r="69" spans="9:15" ht="13.5">
      <c r="I69" s="200"/>
      <c r="J69" s="200"/>
      <c r="K69" s="200"/>
      <c r="L69" s="200"/>
      <c r="M69" s="200"/>
      <c r="N69" s="200"/>
      <c r="O69" s="200"/>
    </row>
    <row r="70" spans="9:15" ht="13.5">
      <c r="I70" s="200"/>
      <c r="J70" s="200"/>
      <c r="K70" s="200"/>
      <c r="L70" s="200"/>
      <c r="M70" s="200"/>
      <c r="N70" s="200"/>
      <c r="O70" s="200"/>
    </row>
    <row r="71" spans="9:15" ht="13.5">
      <c r="I71" s="200"/>
      <c r="J71" s="200"/>
      <c r="K71" s="200"/>
      <c r="L71" s="200"/>
      <c r="M71" s="200"/>
      <c r="N71" s="200"/>
      <c r="O71" s="200"/>
    </row>
    <row r="72" spans="9:15" ht="13.5">
      <c r="I72" s="200"/>
      <c r="J72" s="200"/>
      <c r="K72" s="200"/>
      <c r="L72" s="200"/>
      <c r="M72" s="200"/>
      <c r="N72" s="200"/>
      <c r="O72" s="200"/>
    </row>
    <row r="73" spans="9:15" ht="13.5">
      <c r="I73" s="200"/>
      <c r="J73" s="200"/>
      <c r="K73" s="200"/>
      <c r="L73" s="200"/>
      <c r="M73" s="200"/>
      <c r="N73" s="200"/>
      <c r="O73" s="200"/>
    </row>
    <row r="74" spans="9:15" ht="13.5">
      <c r="I74" s="200"/>
      <c r="J74" s="200"/>
      <c r="K74" s="200"/>
      <c r="L74" s="200"/>
      <c r="M74" s="200"/>
      <c r="N74" s="200"/>
      <c r="O74" s="200"/>
    </row>
    <row r="75" spans="9:15" ht="13.5">
      <c r="I75" s="200"/>
      <c r="J75" s="200"/>
      <c r="K75" s="200"/>
      <c r="L75" s="200"/>
      <c r="M75" s="200"/>
      <c r="N75" s="200"/>
      <c r="O75" s="200"/>
    </row>
    <row r="76" spans="9:15" ht="13.5">
      <c r="I76" s="200"/>
      <c r="J76" s="200"/>
      <c r="K76" s="200"/>
      <c r="L76" s="200"/>
      <c r="M76" s="200"/>
      <c r="N76" s="200"/>
      <c r="O76" s="200"/>
    </row>
    <row r="77" spans="9:15" ht="13.5">
      <c r="I77" s="200"/>
      <c r="J77" s="200"/>
      <c r="K77" s="200"/>
      <c r="L77" s="200"/>
      <c r="M77" s="200"/>
      <c r="N77" s="200"/>
      <c r="O77" s="200"/>
    </row>
    <row r="78" spans="9:15" ht="13.5">
      <c r="I78" s="200"/>
      <c r="J78" s="200"/>
      <c r="K78" s="200"/>
      <c r="L78" s="200"/>
      <c r="M78" s="200"/>
      <c r="N78" s="200"/>
      <c r="O78" s="200"/>
    </row>
    <row r="79" spans="9:15" ht="13.5">
      <c r="I79" s="200"/>
      <c r="J79" s="200"/>
      <c r="K79" s="200"/>
      <c r="L79" s="200"/>
      <c r="M79" s="200"/>
      <c r="N79" s="200"/>
      <c r="O79" s="200"/>
    </row>
    <row r="80" spans="9:15" ht="13.5">
      <c r="I80" s="200"/>
      <c r="J80" s="200"/>
      <c r="K80" s="200"/>
      <c r="L80" s="200"/>
      <c r="M80" s="200"/>
      <c r="N80" s="200"/>
      <c r="O80" s="200"/>
    </row>
    <row r="81" spans="9:15" ht="13.5">
      <c r="I81" s="200"/>
      <c r="J81" s="200"/>
      <c r="K81" s="200"/>
      <c r="L81" s="200"/>
      <c r="M81" s="200"/>
      <c r="N81" s="200"/>
      <c r="O81" s="200"/>
    </row>
    <row r="82" spans="9:15" ht="13.5">
      <c r="I82" s="200"/>
      <c r="J82" s="200"/>
      <c r="K82" s="200"/>
      <c r="L82" s="200"/>
      <c r="M82" s="200"/>
      <c r="N82" s="200"/>
      <c r="O82" s="200"/>
    </row>
    <row r="83" spans="2:15" ht="13.5">
      <c r="B83" s="190"/>
      <c r="C83" s="191"/>
      <c r="D83" s="191"/>
      <c r="E83" s="191"/>
      <c r="F83" s="191"/>
      <c r="I83" s="200"/>
      <c r="J83" s="200"/>
      <c r="K83" s="200"/>
      <c r="L83" s="200"/>
      <c r="M83" s="200"/>
      <c r="N83" s="200"/>
      <c r="O83" s="200"/>
    </row>
    <row r="84" spans="2:15" ht="13.5">
      <c r="B84" s="190"/>
      <c r="C84" s="191"/>
      <c r="D84" s="191"/>
      <c r="E84" s="191"/>
      <c r="F84" s="191"/>
      <c r="I84" s="200"/>
      <c r="J84" s="200"/>
      <c r="K84" s="200"/>
      <c r="L84" s="200"/>
      <c r="M84" s="200"/>
      <c r="N84" s="200"/>
      <c r="O84" s="200"/>
    </row>
    <row r="85" spans="9:15" ht="13.5">
      <c r="I85" s="200"/>
      <c r="J85" s="200"/>
      <c r="K85" s="200"/>
      <c r="L85" s="200"/>
      <c r="M85" s="200"/>
      <c r="N85" s="200"/>
      <c r="O85" s="200"/>
    </row>
    <row r="86" spans="9:15" ht="13.5">
      <c r="I86" s="200"/>
      <c r="J86" s="200"/>
      <c r="K86" s="200"/>
      <c r="L86" s="200"/>
      <c r="M86" s="200"/>
      <c r="N86" s="200"/>
      <c r="O86" s="200"/>
    </row>
    <row r="87" spans="9:15" ht="13.5">
      <c r="I87" s="200"/>
      <c r="J87" s="200"/>
      <c r="K87" s="200"/>
      <c r="L87" s="200"/>
      <c r="M87" s="200"/>
      <c r="N87" s="200"/>
      <c r="O87" s="200"/>
    </row>
    <row r="88" spans="9:15" ht="13.5">
      <c r="I88" s="200"/>
      <c r="J88" s="200"/>
      <c r="K88" s="200"/>
      <c r="L88" s="200"/>
      <c r="M88" s="200"/>
      <c r="N88" s="200"/>
      <c r="O88" s="200"/>
    </row>
    <row r="89" spans="9:15" ht="13.5">
      <c r="I89" s="200"/>
      <c r="J89" s="200"/>
      <c r="K89" s="200"/>
      <c r="L89" s="200"/>
      <c r="M89" s="200"/>
      <c r="N89" s="200"/>
      <c r="O89" s="200"/>
    </row>
    <row r="90" spans="9:15" ht="13.5">
      <c r="I90" s="200"/>
      <c r="J90" s="200"/>
      <c r="K90" s="200"/>
      <c r="L90" s="200"/>
      <c r="M90" s="200"/>
      <c r="N90" s="200"/>
      <c r="O90" s="200"/>
    </row>
    <row r="91" spans="9:15" ht="13.5">
      <c r="I91" s="200"/>
      <c r="J91" s="200"/>
      <c r="K91" s="200"/>
      <c r="L91" s="200"/>
      <c r="M91" s="200"/>
      <c r="N91" s="200"/>
      <c r="O91" s="200"/>
    </row>
    <row r="92" spans="9:15" ht="13.5">
      <c r="I92" s="200"/>
      <c r="J92" s="200"/>
      <c r="K92" s="200"/>
      <c r="L92" s="200"/>
      <c r="M92" s="200"/>
      <c r="N92" s="200"/>
      <c r="O92" s="200"/>
    </row>
    <row r="93" spans="9:15" ht="13.5">
      <c r="I93" s="200"/>
      <c r="J93" s="200"/>
      <c r="K93" s="200"/>
      <c r="L93" s="200"/>
      <c r="M93" s="200"/>
      <c r="N93" s="200"/>
      <c r="O93" s="200"/>
    </row>
    <row r="94" spans="9:15" ht="13.5">
      <c r="I94" s="200"/>
      <c r="J94" s="200"/>
      <c r="K94" s="200"/>
      <c r="L94" s="200"/>
      <c r="M94" s="200"/>
      <c r="N94" s="200"/>
      <c r="O94" s="200"/>
    </row>
    <row r="95" spans="9:15" ht="13.5">
      <c r="I95" s="200"/>
      <c r="J95" s="200"/>
      <c r="K95" s="200"/>
      <c r="L95" s="200"/>
      <c r="M95" s="200"/>
      <c r="N95" s="200"/>
      <c r="O95" s="200"/>
    </row>
    <row r="96" spans="9:15" ht="13.5">
      <c r="I96" s="200"/>
      <c r="J96" s="200"/>
      <c r="K96" s="200"/>
      <c r="L96" s="200"/>
      <c r="M96" s="200"/>
      <c r="N96" s="200"/>
      <c r="O96" s="200"/>
    </row>
    <row r="97" spans="9:15" ht="13.5">
      <c r="I97" s="200"/>
      <c r="J97" s="200"/>
      <c r="K97" s="200"/>
      <c r="L97" s="200"/>
      <c r="M97" s="200"/>
      <c r="N97" s="200"/>
      <c r="O97" s="200"/>
    </row>
    <row r="98" spans="9:15" ht="13.5">
      <c r="I98" s="200"/>
      <c r="J98" s="200"/>
      <c r="K98" s="200"/>
      <c r="L98" s="200"/>
      <c r="M98" s="200"/>
      <c r="N98" s="200"/>
      <c r="O98" s="200"/>
    </row>
    <row r="99" spans="9:15" ht="13.5">
      <c r="I99" s="200"/>
      <c r="J99" s="200"/>
      <c r="K99" s="200"/>
      <c r="L99" s="200"/>
      <c r="M99" s="200"/>
      <c r="N99" s="200"/>
      <c r="O99" s="200"/>
    </row>
    <row r="100" spans="9:15" ht="13.5">
      <c r="I100" s="200"/>
      <c r="J100" s="200"/>
      <c r="K100" s="200"/>
      <c r="L100" s="200"/>
      <c r="M100" s="200"/>
      <c r="N100" s="200"/>
      <c r="O100" s="200"/>
    </row>
    <row r="101" spans="9:15" ht="13.5">
      <c r="I101" s="200"/>
      <c r="J101" s="200"/>
      <c r="K101" s="200"/>
      <c r="L101" s="200"/>
      <c r="M101" s="200"/>
      <c r="N101" s="200"/>
      <c r="O101" s="200"/>
    </row>
    <row r="102" spans="9:15" ht="13.5">
      <c r="I102" s="200"/>
      <c r="J102" s="200"/>
      <c r="K102" s="200"/>
      <c r="L102" s="200"/>
      <c r="M102" s="200"/>
      <c r="N102" s="200"/>
      <c r="O102" s="200"/>
    </row>
    <row r="103" spans="9:15" ht="13.5">
      <c r="I103" s="200"/>
      <c r="J103" s="200"/>
      <c r="K103" s="200"/>
      <c r="L103" s="200"/>
      <c r="M103" s="200"/>
      <c r="N103" s="200"/>
      <c r="O103" s="200"/>
    </row>
    <row r="104" spans="9:15" ht="13.5">
      <c r="I104" s="200"/>
      <c r="J104" s="200"/>
      <c r="K104" s="200"/>
      <c r="L104" s="200"/>
      <c r="M104" s="200"/>
      <c r="N104" s="200"/>
      <c r="O104" s="200"/>
    </row>
    <row r="105" spans="9:15" ht="13.5">
      <c r="I105" s="200"/>
      <c r="J105" s="200"/>
      <c r="K105" s="200"/>
      <c r="L105" s="200"/>
      <c r="M105" s="200"/>
      <c r="N105" s="200"/>
      <c r="O105" s="200"/>
    </row>
    <row r="106" spans="9:15" ht="13.5">
      <c r="I106" s="200"/>
      <c r="J106" s="200"/>
      <c r="K106" s="200"/>
      <c r="L106" s="200"/>
      <c r="M106" s="200"/>
      <c r="N106" s="200"/>
      <c r="O106" s="200"/>
    </row>
    <row r="107" spans="9:15" ht="13.5">
      <c r="I107" s="200"/>
      <c r="J107" s="200"/>
      <c r="K107" s="200"/>
      <c r="L107" s="200"/>
      <c r="M107" s="200"/>
      <c r="N107" s="200"/>
      <c r="O107" s="200"/>
    </row>
    <row r="108" spans="9:15" ht="13.5">
      <c r="I108" s="200"/>
      <c r="J108" s="200"/>
      <c r="K108" s="200"/>
      <c r="L108" s="200"/>
      <c r="M108" s="200"/>
      <c r="N108" s="200"/>
      <c r="O108" s="200"/>
    </row>
    <row r="109" spans="9:15" ht="13.5">
      <c r="I109" s="200"/>
      <c r="J109" s="200"/>
      <c r="K109" s="200"/>
      <c r="L109" s="200"/>
      <c r="M109" s="200"/>
      <c r="N109" s="200"/>
      <c r="O109" s="200"/>
    </row>
    <row r="110" spans="9:15" ht="13.5">
      <c r="I110" s="200"/>
      <c r="J110" s="200"/>
      <c r="K110" s="200"/>
      <c r="L110" s="200"/>
      <c r="M110" s="200"/>
      <c r="N110" s="200"/>
      <c r="O110" s="200"/>
    </row>
    <row r="111" spans="9:15" ht="13.5">
      <c r="I111" s="200"/>
      <c r="J111" s="200"/>
      <c r="K111" s="200"/>
      <c r="L111" s="200"/>
      <c r="M111" s="200"/>
      <c r="N111" s="200"/>
      <c r="O111" s="200"/>
    </row>
    <row r="112" spans="9:15" ht="13.5">
      <c r="I112" s="200"/>
      <c r="J112" s="200"/>
      <c r="K112" s="200"/>
      <c r="L112" s="200"/>
      <c r="M112" s="200"/>
      <c r="N112" s="200"/>
      <c r="O112" s="200"/>
    </row>
    <row r="113" spans="9:15" ht="13.5">
      <c r="I113" s="200"/>
      <c r="J113" s="200"/>
      <c r="K113" s="200"/>
      <c r="L113" s="200"/>
      <c r="M113" s="200"/>
      <c r="N113" s="200"/>
      <c r="O113" s="200"/>
    </row>
    <row r="114" spans="9:15" ht="13.5">
      <c r="I114" s="200"/>
      <c r="J114" s="200"/>
      <c r="K114" s="200"/>
      <c r="L114" s="200"/>
      <c r="M114" s="200"/>
      <c r="N114" s="200"/>
      <c r="O114" s="200"/>
    </row>
    <row r="115" spans="9:15" ht="13.5">
      <c r="I115" s="200"/>
      <c r="J115" s="200"/>
      <c r="K115" s="200"/>
      <c r="L115" s="200"/>
      <c r="M115" s="200"/>
      <c r="N115" s="200"/>
      <c r="O115" s="200"/>
    </row>
    <row r="116" spans="9:15" ht="13.5">
      <c r="I116" s="200"/>
      <c r="J116" s="200"/>
      <c r="K116" s="200"/>
      <c r="L116" s="200"/>
      <c r="M116" s="200"/>
      <c r="N116" s="200"/>
      <c r="O116" s="200"/>
    </row>
    <row r="117" spans="9:15" ht="13.5">
      <c r="I117" s="200"/>
      <c r="J117" s="200"/>
      <c r="K117" s="200"/>
      <c r="L117" s="200"/>
      <c r="M117" s="200"/>
      <c r="N117" s="200"/>
      <c r="O117" s="200"/>
    </row>
    <row r="118" spans="9:15" ht="13.5">
      <c r="I118" s="200"/>
      <c r="J118" s="200"/>
      <c r="K118" s="200"/>
      <c r="L118" s="200"/>
      <c r="M118" s="200"/>
      <c r="N118" s="200"/>
      <c r="O118" s="200"/>
    </row>
    <row r="119" spans="9:15" ht="13.5">
      <c r="I119" s="200"/>
      <c r="J119" s="200"/>
      <c r="K119" s="200"/>
      <c r="L119" s="200"/>
      <c r="M119" s="200"/>
      <c r="N119" s="200"/>
      <c r="O119" s="200"/>
    </row>
    <row r="120" spans="9:15" ht="13.5">
      <c r="I120" s="200"/>
      <c r="J120" s="200"/>
      <c r="K120" s="200"/>
      <c r="L120" s="200"/>
      <c r="M120" s="200"/>
      <c r="N120" s="200"/>
      <c r="O120" s="200"/>
    </row>
    <row r="121" spans="9:15" ht="13.5">
      <c r="I121" s="200"/>
      <c r="J121" s="200"/>
      <c r="K121" s="200"/>
      <c r="L121" s="200"/>
      <c r="M121" s="200"/>
      <c r="N121" s="200"/>
      <c r="O121" s="200"/>
    </row>
    <row r="122" spans="9:15" ht="13.5">
      <c r="I122" s="200"/>
      <c r="J122" s="200"/>
      <c r="K122" s="200"/>
      <c r="L122" s="200"/>
      <c r="M122" s="200"/>
      <c r="N122" s="200"/>
      <c r="O122" s="200"/>
    </row>
    <row r="123" spans="9:15" ht="13.5">
      <c r="I123" s="200"/>
      <c r="J123" s="200"/>
      <c r="K123" s="200"/>
      <c r="L123" s="200"/>
      <c r="M123" s="200"/>
      <c r="N123" s="200"/>
      <c r="O123" s="200"/>
    </row>
    <row r="124" spans="9:15" ht="13.5">
      <c r="I124" s="200"/>
      <c r="J124" s="200"/>
      <c r="K124" s="200"/>
      <c r="L124" s="200"/>
      <c r="M124" s="200"/>
      <c r="N124" s="200"/>
      <c r="O124" s="200"/>
    </row>
    <row r="125" spans="9:15" ht="13.5">
      <c r="I125" s="200"/>
      <c r="J125" s="200"/>
      <c r="K125" s="200"/>
      <c r="L125" s="200"/>
      <c r="M125" s="200"/>
      <c r="N125" s="200"/>
      <c r="O125" s="200"/>
    </row>
    <row r="126" spans="9:15" ht="13.5">
      <c r="I126" s="200"/>
      <c r="J126" s="200"/>
      <c r="K126" s="200"/>
      <c r="L126" s="200"/>
      <c r="M126" s="200"/>
      <c r="N126" s="200"/>
      <c r="O126" s="200"/>
    </row>
    <row r="127" spans="9:15" ht="13.5">
      <c r="I127" s="200"/>
      <c r="J127" s="200"/>
      <c r="K127" s="200"/>
      <c r="L127" s="200"/>
      <c r="M127" s="200"/>
      <c r="N127" s="200"/>
      <c r="O127" s="200"/>
    </row>
    <row r="128" spans="9:15" ht="13.5">
      <c r="I128" s="200"/>
      <c r="J128" s="200"/>
      <c r="K128" s="200"/>
      <c r="L128" s="200"/>
      <c r="M128" s="200"/>
      <c r="N128" s="200"/>
      <c r="O128" s="200"/>
    </row>
    <row r="129" spans="9:15" ht="13.5">
      <c r="I129" s="200"/>
      <c r="J129" s="200"/>
      <c r="K129" s="200"/>
      <c r="L129" s="200"/>
      <c r="M129" s="200"/>
      <c r="N129" s="200"/>
      <c r="O129" s="200"/>
    </row>
    <row r="130" spans="9:15" ht="13.5">
      <c r="I130" s="200"/>
      <c r="J130" s="200"/>
      <c r="K130" s="200"/>
      <c r="L130" s="200"/>
      <c r="M130" s="200"/>
      <c r="N130" s="200"/>
      <c r="O130" s="200"/>
    </row>
    <row r="131" spans="9:15" ht="13.5">
      <c r="I131" s="200"/>
      <c r="J131" s="200"/>
      <c r="K131" s="200"/>
      <c r="L131" s="200"/>
      <c r="M131" s="200"/>
      <c r="N131" s="200"/>
      <c r="O131" s="200"/>
    </row>
    <row r="132" spans="9:15" ht="13.5">
      <c r="I132" s="200"/>
      <c r="J132" s="200"/>
      <c r="K132" s="200"/>
      <c r="L132" s="200"/>
      <c r="M132" s="200"/>
      <c r="N132" s="200"/>
      <c r="O132" s="200"/>
    </row>
    <row r="133" spans="9:15" ht="13.5">
      <c r="I133" s="200"/>
      <c r="J133" s="200"/>
      <c r="K133" s="200"/>
      <c r="L133" s="200"/>
      <c r="M133" s="200"/>
      <c r="N133" s="200"/>
      <c r="O133" s="200"/>
    </row>
    <row r="134" spans="9:15" ht="13.5">
      <c r="I134" s="200"/>
      <c r="J134" s="200"/>
      <c r="K134" s="200"/>
      <c r="L134" s="200"/>
      <c r="M134" s="200"/>
      <c r="N134" s="200"/>
      <c r="O134" s="200"/>
    </row>
    <row r="135" spans="9:15" ht="13.5">
      <c r="I135" s="200"/>
      <c r="J135" s="200"/>
      <c r="K135" s="200"/>
      <c r="L135" s="200"/>
      <c r="M135" s="200"/>
      <c r="N135" s="200"/>
      <c r="O135" s="200"/>
    </row>
    <row r="136" spans="9:15" ht="13.5">
      <c r="I136" s="200"/>
      <c r="J136" s="200"/>
      <c r="K136" s="200"/>
      <c r="L136" s="200"/>
      <c r="M136" s="200"/>
      <c r="N136" s="200"/>
      <c r="O136" s="200"/>
    </row>
    <row r="137" spans="9:15" ht="13.5">
      <c r="I137" s="200"/>
      <c r="J137" s="200"/>
      <c r="K137" s="200"/>
      <c r="L137" s="200"/>
      <c r="M137" s="200"/>
      <c r="N137" s="200"/>
      <c r="O137" s="200"/>
    </row>
    <row r="138" spans="9:15" ht="13.5">
      <c r="I138" s="200"/>
      <c r="J138" s="200"/>
      <c r="K138" s="200"/>
      <c r="L138" s="200"/>
      <c r="M138" s="200"/>
      <c r="N138" s="200"/>
      <c r="O138" s="200"/>
    </row>
    <row r="139" spans="9:15" ht="13.5">
      <c r="I139" s="200"/>
      <c r="J139" s="200"/>
      <c r="K139" s="200"/>
      <c r="L139" s="200"/>
      <c r="M139" s="200"/>
      <c r="N139" s="200"/>
      <c r="O139" s="200"/>
    </row>
    <row r="140" spans="9:14" ht="13.5">
      <c r="I140" s="200"/>
      <c r="J140" s="200"/>
      <c r="K140" s="200"/>
      <c r="L140" s="200"/>
      <c r="M140" s="200"/>
      <c r="N140" s="200"/>
    </row>
    <row r="141" spans="9:14" ht="13.5">
      <c r="I141" s="200"/>
      <c r="J141" s="200"/>
      <c r="K141" s="200"/>
      <c r="L141" s="200"/>
      <c r="M141" s="200"/>
      <c r="N141" s="200"/>
    </row>
    <row r="142" spans="9:14" ht="13.5">
      <c r="I142" s="200"/>
      <c r="J142" s="200"/>
      <c r="K142" s="200"/>
      <c r="L142" s="200"/>
      <c r="M142" s="200"/>
      <c r="N142" s="200"/>
    </row>
    <row r="143" spans="9:14" ht="13.5">
      <c r="I143" s="200"/>
      <c r="J143" s="200"/>
      <c r="K143" s="200"/>
      <c r="L143" s="200"/>
      <c r="M143" s="200"/>
      <c r="N143" s="200"/>
    </row>
    <row r="144" spans="9:14" ht="13.5">
      <c r="I144" s="200"/>
      <c r="J144" s="200"/>
      <c r="K144" s="200"/>
      <c r="L144" s="200"/>
      <c r="M144" s="200"/>
      <c r="N144" s="200"/>
    </row>
    <row r="145" spans="9:14" ht="13.5">
      <c r="I145" s="200"/>
      <c r="J145" s="200"/>
      <c r="K145" s="200"/>
      <c r="L145" s="200"/>
      <c r="M145" s="200"/>
      <c r="N145" s="200"/>
    </row>
    <row r="146" spans="9:14" ht="13.5">
      <c r="I146" s="200"/>
      <c r="J146" s="200"/>
      <c r="K146" s="200"/>
      <c r="L146" s="200"/>
      <c r="M146" s="200"/>
      <c r="N146" s="200"/>
    </row>
    <row r="147" spans="9:14" ht="13.5">
      <c r="I147" s="200"/>
      <c r="J147" s="200"/>
      <c r="K147" s="200"/>
      <c r="L147" s="200"/>
      <c r="M147" s="200"/>
      <c r="N147" s="200"/>
    </row>
    <row r="148" spans="9:14" ht="13.5">
      <c r="I148" s="200"/>
      <c r="J148" s="200"/>
      <c r="K148" s="200"/>
      <c r="L148" s="200"/>
      <c r="M148" s="200"/>
      <c r="N148" s="200"/>
    </row>
    <row r="149" spans="9:14" ht="13.5">
      <c r="I149" s="200"/>
      <c r="J149" s="200"/>
      <c r="K149" s="200"/>
      <c r="L149" s="200"/>
      <c r="M149" s="200"/>
      <c r="N149" s="200"/>
    </row>
    <row r="150" spans="9:14" ht="13.5">
      <c r="I150" s="200"/>
      <c r="J150" s="200"/>
      <c r="K150" s="200"/>
      <c r="L150" s="200"/>
      <c r="M150" s="200"/>
      <c r="N150" s="200"/>
    </row>
    <row r="151" spans="9:14" ht="13.5">
      <c r="I151" s="200"/>
      <c r="J151" s="200"/>
      <c r="K151" s="200"/>
      <c r="L151" s="200"/>
      <c r="M151" s="200"/>
      <c r="N151" s="200"/>
    </row>
    <row r="152" spans="9:14" ht="13.5">
      <c r="I152" s="200"/>
      <c r="J152" s="200"/>
      <c r="K152" s="200"/>
      <c r="L152" s="200"/>
      <c r="M152" s="200"/>
      <c r="N152" s="200"/>
    </row>
    <row r="153" spans="9:14" ht="13.5">
      <c r="I153" s="200"/>
      <c r="J153" s="200"/>
      <c r="K153" s="200"/>
      <c r="L153" s="200"/>
      <c r="M153" s="200"/>
      <c r="N153" s="200"/>
    </row>
    <row r="154" spans="9:14" ht="13.5">
      <c r="I154" s="200"/>
      <c r="J154" s="200"/>
      <c r="K154" s="200"/>
      <c r="L154" s="200"/>
      <c r="M154" s="200"/>
      <c r="N154" s="200"/>
    </row>
    <row r="155" spans="10:14" ht="13.5">
      <c r="J155" s="200"/>
      <c r="K155" s="200"/>
      <c r="L155" s="200"/>
      <c r="M155" s="200"/>
      <c r="N155" s="200"/>
    </row>
    <row r="156" spans="10:14" ht="13.5">
      <c r="J156" s="200"/>
      <c r="K156" s="200"/>
      <c r="L156" s="200"/>
      <c r="M156" s="200"/>
      <c r="N156" s="200"/>
    </row>
    <row r="173" ht="13.5">
      <c r="O173" s="200"/>
    </row>
    <row r="174" ht="13.5">
      <c r="O174" s="200"/>
    </row>
    <row r="175" ht="13.5">
      <c r="O175" s="200"/>
    </row>
    <row r="176" ht="13.5">
      <c r="O176" s="200"/>
    </row>
    <row r="177" ht="13.5">
      <c r="O177" s="200"/>
    </row>
    <row r="178" ht="13.5">
      <c r="O178" s="200"/>
    </row>
    <row r="179" ht="13.5">
      <c r="O179" s="200"/>
    </row>
    <row r="180" ht="13.5">
      <c r="O180" s="200"/>
    </row>
    <row r="181" ht="13.5">
      <c r="O181" s="200"/>
    </row>
    <row r="182" ht="13.5">
      <c r="O182" s="200"/>
    </row>
    <row r="183" ht="13.5">
      <c r="O183" s="200"/>
    </row>
    <row r="184" ht="13.5">
      <c r="O184" s="200"/>
    </row>
    <row r="185" ht="13.5">
      <c r="O185" s="200"/>
    </row>
    <row r="186" ht="13.5">
      <c r="O186" s="200"/>
    </row>
    <row r="187" ht="13.5">
      <c r="O187" s="200"/>
    </row>
    <row r="188" ht="13.5">
      <c r="O188" s="200"/>
    </row>
    <row r="189" ht="13.5">
      <c r="O189" s="200"/>
    </row>
    <row r="190" ht="13.5">
      <c r="O190" s="200"/>
    </row>
    <row r="191" ht="13.5">
      <c r="O191" s="200"/>
    </row>
    <row r="192" ht="13.5">
      <c r="O192" s="200"/>
    </row>
  </sheetData>
  <sheetProtection/>
  <mergeCells count="70">
    <mergeCell ref="I21:I24"/>
    <mergeCell ref="I36:I42"/>
    <mergeCell ref="B8:B11"/>
    <mergeCell ref="I43:I46"/>
    <mergeCell ref="I13:I16"/>
    <mergeCell ref="K43:L43"/>
    <mergeCell ref="K44:L44"/>
    <mergeCell ref="K46:L46"/>
    <mergeCell ref="K35:L35"/>
    <mergeCell ref="I29:I32"/>
    <mergeCell ref="I25:I28"/>
    <mergeCell ref="I17:I20"/>
    <mergeCell ref="P38:P44"/>
    <mergeCell ref="K41:L41"/>
    <mergeCell ref="K38:L38"/>
    <mergeCell ref="K36:L36"/>
    <mergeCell ref="K37:L37"/>
    <mergeCell ref="K39:L39"/>
    <mergeCell ref="K40:L40"/>
    <mergeCell ref="K42:L42"/>
    <mergeCell ref="I51:I56"/>
    <mergeCell ref="K51:L51"/>
    <mergeCell ref="K52:L52"/>
    <mergeCell ref="K53:L53"/>
    <mergeCell ref="K54:L54"/>
    <mergeCell ref="K55:L55"/>
    <mergeCell ref="K56:L56"/>
    <mergeCell ref="K50:L50"/>
    <mergeCell ref="K47:L47"/>
    <mergeCell ref="B54:B57"/>
    <mergeCell ref="B50:B53"/>
    <mergeCell ref="B5:B7"/>
    <mergeCell ref="B12:B16"/>
    <mergeCell ref="B21:B24"/>
    <mergeCell ref="B17:B20"/>
    <mergeCell ref="B28:B38"/>
    <mergeCell ref="B39:B49"/>
    <mergeCell ref="J4:J5"/>
    <mergeCell ref="I4:I5"/>
    <mergeCell ref="T4:U4"/>
    <mergeCell ref="T5:U5"/>
    <mergeCell ref="M4:M5"/>
    <mergeCell ref="N4:N5"/>
    <mergeCell ref="T6:U6"/>
    <mergeCell ref="I6:I12"/>
    <mergeCell ref="Q37:R37"/>
    <mergeCell ref="T14:U14"/>
    <mergeCell ref="T7:U7"/>
    <mergeCell ref="T8:U8"/>
    <mergeCell ref="T9:U9"/>
    <mergeCell ref="T11:U11"/>
    <mergeCell ref="T12:U12"/>
    <mergeCell ref="T13:U13"/>
    <mergeCell ref="T21:U21"/>
    <mergeCell ref="T15:U15"/>
    <mergeCell ref="T16:U16"/>
    <mergeCell ref="T19:U19"/>
    <mergeCell ref="T20:U20"/>
    <mergeCell ref="T17:U17"/>
    <mergeCell ref="T18:U18"/>
    <mergeCell ref="P57:Q57"/>
    <mergeCell ref="Q45:Q49"/>
    <mergeCell ref="Q51:Q55"/>
    <mergeCell ref="P45:P56"/>
    <mergeCell ref="I57:J57"/>
    <mergeCell ref="K45:L45"/>
    <mergeCell ref="K48:L48"/>
    <mergeCell ref="K49:L49"/>
    <mergeCell ref="K57:L57"/>
    <mergeCell ref="I47:I50"/>
  </mergeCells>
  <printOptions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61" r:id="rId1"/>
  <headerFooter alignWithMargins="0">
    <oddHeader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2015-02-16T04:03:19Z</cp:lastPrinted>
  <dcterms:created xsi:type="dcterms:W3CDTF">2005-02-26T02:20:11Z</dcterms:created>
  <dcterms:modified xsi:type="dcterms:W3CDTF">2015-03-27T09:12:41Z</dcterms:modified>
  <cp:category/>
  <cp:version/>
  <cp:contentType/>
  <cp:contentStatus/>
</cp:coreProperties>
</file>